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skatuwal_iu_edu/Documents/IU Kelley/Project portfolio/"/>
    </mc:Choice>
  </mc:AlternateContent>
  <xr:revisionPtr revIDLastSave="34" documentId="8_{294E4F1C-116B-49B7-B334-45E7240CD19D}" xr6:coauthVersionLast="47" xr6:coauthVersionMax="47" xr10:uidLastSave="{B6CD154C-43DE-724A-B499-28909DE6FF88}"/>
  <bookViews>
    <workbookView xWindow="0" yWindow="660" windowWidth="29400" windowHeight="18460" xr2:uid="{00000000-000D-0000-FFFF-FFFF00000000}"/>
  </bookViews>
  <sheets>
    <sheet name="Overview" sheetId="16" r:id="rId1"/>
    <sheet name="Balance Sheet" sheetId="1" r:id="rId2"/>
    <sheet name="Income Statement" sheetId="2" r:id="rId3"/>
    <sheet name="Cash Flows" sheetId="3" r:id="rId4"/>
    <sheet name="Proforma" sheetId="5" state="hidden" r:id="rId5"/>
    <sheet name="Balanced Proforma" sheetId="14" r:id="rId6"/>
    <sheet name="Sheet1" sheetId="13" state="hidden" r:id="rId7"/>
    <sheet name="Working Capital" sheetId="6" r:id="rId8"/>
    <sheet name="Capital Expenditure" sheetId="11" r:id="rId9"/>
    <sheet name="Free Cash Flow" sheetId="7" r:id="rId10"/>
    <sheet name="Capital Structure" sheetId="15" state="hidden" r:id="rId11"/>
    <sheet name="Cost of Capital" sheetId="8" r:id="rId12"/>
    <sheet name="Value Investing" sheetId="9" r:id="rId13"/>
    <sheet name="Appendix" sheetId="10" r:id="rId14"/>
  </sheets>
  <externalReferences>
    <externalReference r:id="rId15"/>
  </externalReferenc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I36" i="2"/>
  <c r="B27" i="9"/>
  <c r="R26" i="9"/>
  <c r="H26" i="9"/>
  <c r="K33" i="2"/>
  <c r="K19" i="1" l="1"/>
  <c r="L19" i="1"/>
  <c r="M19" i="1"/>
  <c r="N19" i="1"/>
  <c r="O19" i="1"/>
  <c r="P19" i="1"/>
  <c r="Q19" i="1"/>
  <c r="R19" i="1"/>
  <c r="S19" i="1"/>
  <c r="Q8" i="11"/>
  <c r="Q9" i="11" s="1"/>
  <c r="Q11" i="7" s="1"/>
  <c r="R8" i="11"/>
  <c r="R9" i="11" s="1"/>
  <c r="R11" i="7" s="1"/>
  <c r="E8" i="11"/>
  <c r="E9" i="11" s="1"/>
  <c r="E11" i="7" s="1"/>
  <c r="F8" i="11"/>
  <c r="F9" i="11" s="1"/>
  <c r="F11" i="7" s="1"/>
  <c r="G8" i="11"/>
  <c r="G9" i="11" s="1"/>
  <c r="G11" i="7" s="1"/>
  <c r="H8" i="11"/>
  <c r="H9" i="11" s="1"/>
  <c r="H11" i="7" s="1"/>
  <c r="G9" i="9" s="1"/>
  <c r="I8" i="11"/>
  <c r="I9" i="11" s="1"/>
  <c r="I11" i="7" s="1"/>
  <c r="H9" i="9" s="1"/>
  <c r="J8" i="11"/>
  <c r="J9" i="11" s="1"/>
  <c r="J11" i="7" s="1"/>
  <c r="K8" i="11"/>
  <c r="K9" i="11" s="1"/>
  <c r="K11" i="7" s="1"/>
  <c r="L8" i="11"/>
  <c r="L9" i="11" s="1"/>
  <c r="L11" i="7" s="1"/>
  <c r="M8" i="11"/>
  <c r="M9" i="11" s="1"/>
  <c r="M11" i="7" s="1"/>
  <c r="N8" i="11"/>
  <c r="N9" i="11" s="1"/>
  <c r="N11" i="7" s="1"/>
  <c r="O8" i="11"/>
  <c r="O9" i="11" s="1"/>
  <c r="O11" i="7" s="1"/>
  <c r="P8" i="11"/>
  <c r="P9" i="11" s="1"/>
  <c r="P11" i="7" s="1"/>
  <c r="D8" i="11"/>
  <c r="D9" i="11" s="1"/>
  <c r="D11" i="7" s="1"/>
  <c r="K19" i="8"/>
  <c r="I4" i="8"/>
  <c r="H4" i="8" s="1"/>
  <c r="O32" i="2"/>
  <c r="L32" i="2"/>
  <c r="M32" i="2"/>
  <c r="N32" i="2"/>
  <c r="K32" i="2"/>
  <c r="K5" i="15"/>
  <c r="K6" i="15" s="1"/>
  <c r="G5" i="15"/>
  <c r="G6" i="15" s="1"/>
  <c r="H5" i="15"/>
  <c r="I5" i="15"/>
  <c r="I6" i="15" s="1"/>
  <c r="J5" i="15"/>
  <c r="J7" i="15" s="1"/>
  <c r="F5" i="15"/>
  <c r="F6" i="15" s="1"/>
  <c r="C7" i="9"/>
  <c r="D7" i="9"/>
  <c r="E7" i="9"/>
  <c r="F7" i="9"/>
  <c r="G7" i="9"/>
  <c r="B7" i="9"/>
  <c r="B54" i="5"/>
  <c r="C8" i="11"/>
  <c r="C9" i="11" s="1"/>
  <c r="C11" i="7" s="1"/>
  <c r="B9" i="9" s="1"/>
  <c r="B35" i="14"/>
  <c r="B44" i="14"/>
  <c r="B49" i="14"/>
  <c r="C51" i="14"/>
  <c r="D51" i="14"/>
  <c r="E51" i="14"/>
  <c r="F51" i="14" s="1"/>
  <c r="G51" i="14" s="1"/>
  <c r="H51" i="14" s="1"/>
  <c r="I51" i="14" s="1"/>
  <c r="J51" i="14" s="1"/>
  <c r="K51" i="14" s="1"/>
  <c r="L51" i="14"/>
  <c r="B54" i="14"/>
  <c r="B55" i="14"/>
  <c r="B8" i="14"/>
  <c r="B10" i="14" s="1"/>
  <c r="B14" i="14" s="1"/>
  <c r="B16" i="14" s="1"/>
  <c r="B18" i="13"/>
  <c r="B45" i="13"/>
  <c r="B23" i="13"/>
  <c r="B32" i="13"/>
  <c r="B33" i="13"/>
  <c r="B55" i="13" s="1"/>
  <c r="B41" i="13"/>
  <c r="B46" i="13"/>
  <c r="C47" i="13"/>
  <c r="D47" i="13"/>
  <c r="E47" i="13"/>
  <c r="F47" i="13" s="1"/>
  <c r="C48" i="13"/>
  <c r="D48" i="13"/>
  <c r="E48" i="13"/>
  <c r="F48" i="13" s="1"/>
  <c r="G48" i="13" s="1"/>
  <c r="H48" i="13" s="1"/>
  <c r="I48" i="13" s="1"/>
  <c r="J48" i="13" s="1"/>
  <c r="K48" i="13" s="1"/>
  <c r="L48" i="13" s="1"/>
  <c r="B51" i="13"/>
  <c r="B52" i="13"/>
  <c r="B5" i="13"/>
  <c r="B7" i="13" s="1"/>
  <c r="B11" i="13" s="1"/>
  <c r="B13" i="13" s="1"/>
  <c r="B23" i="5"/>
  <c r="B33" i="5"/>
  <c r="B51" i="5"/>
  <c r="B52" i="5" s="1"/>
  <c r="B32" i="5"/>
  <c r="I14" i="2"/>
  <c r="J12" i="2"/>
  <c r="J10" i="2"/>
  <c r="K40" i="1"/>
  <c r="L40" i="1"/>
  <c r="M40" i="1"/>
  <c r="N40" i="1"/>
  <c r="O40" i="1"/>
  <c r="P40" i="1"/>
  <c r="Q40" i="1"/>
  <c r="R40" i="1"/>
  <c r="S40" i="1"/>
  <c r="J40" i="1"/>
  <c r="D48" i="5"/>
  <c r="E48" i="5" s="1"/>
  <c r="F48" i="5" s="1"/>
  <c r="G48" i="5" s="1"/>
  <c r="H48" i="5" s="1"/>
  <c r="I48" i="5" s="1"/>
  <c r="J48" i="5" s="1"/>
  <c r="K48" i="5" s="1"/>
  <c r="L48" i="5" s="1"/>
  <c r="C48" i="5"/>
  <c r="B80" i="14" l="1"/>
  <c r="J6" i="15"/>
  <c r="G7" i="15"/>
  <c r="K7" i="15"/>
  <c r="H7" i="15"/>
  <c r="I7" i="15"/>
  <c r="H6" i="15"/>
  <c r="F9" i="9"/>
  <c r="P9" i="9"/>
  <c r="E9" i="9"/>
  <c r="O9" i="9"/>
  <c r="M9" i="9"/>
  <c r="L9" i="9"/>
  <c r="Q9" i="9"/>
  <c r="D9" i="9"/>
  <c r="C9" i="9"/>
  <c r="N9" i="9"/>
  <c r="K9" i="9"/>
  <c r="J9" i="9"/>
  <c r="I9" i="9"/>
  <c r="B21" i="14"/>
  <c r="G47" i="13"/>
  <c r="B26" i="14" l="1"/>
  <c r="B36" i="14" s="1"/>
  <c r="B57" i="14" s="1"/>
  <c r="B74" i="14"/>
  <c r="B76" i="14" s="1"/>
  <c r="H47" i="13"/>
  <c r="E46" i="1"/>
  <c r="F46" i="1"/>
  <c r="G46" i="1"/>
  <c r="H46" i="1"/>
  <c r="I46" i="1"/>
  <c r="D46" i="1"/>
  <c r="D9" i="7"/>
  <c r="E9" i="7"/>
  <c r="F9" i="7"/>
  <c r="G9" i="7"/>
  <c r="H9" i="7"/>
  <c r="C9" i="7"/>
  <c r="D14" i="6"/>
  <c r="E14" i="6"/>
  <c r="F14" i="6"/>
  <c r="G14" i="6"/>
  <c r="H14" i="6"/>
  <c r="C14" i="6"/>
  <c r="D13" i="6"/>
  <c r="E13" i="6"/>
  <c r="F13" i="6"/>
  <c r="G13" i="6"/>
  <c r="H13" i="6"/>
  <c r="C13" i="6"/>
  <c r="D12" i="6"/>
  <c r="E12" i="6"/>
  <c r="F12" i="6"/>
  <c r="G12" i="6"/>
  <c r="H12" i="6"/>
  <c r="C12" i="6"/>
  <c r="D10" i="6"/>
  <c r="E10" i="6"/>
  <c r="F10" i="6"/>
  <c r="G10" i="6"/>
  <c r="H10" i="6"/>
  <c r="C10" i="6"/>
  <c r="D9" i="6"/>
  <c r="E9" i="6"/>
  <c r="F9" i="6"/>
  <c r="G9" i="6"/>
  <c r="H9" i="6"/>
  <c r="C9" i="6"/>
  <c r="D8" i="6"/>
  <c r="E8" i="6"/>
  <c r="F8" i="6"/>
  <c r="G8" i="6"/>
  <c r="H8" i="6"/>
  <c r="C8" i="6"/>
  <c r="D7" i="6"/>
  <c r="E7" i="6"/>
  <c r="F7" i="6"/>
  <c r="G7" i="6"/>
  <c r="H7" i="6"/>
  <c r="C7" i="6"/>
  <c r="B46" i="5"/>
  <c r="D69" i="1"/>
  <c r="B41" i="5"/>
  <c r="I65" i="1"/>
  <c r="E67" i="1"/>
  <c r="F67" i="1"/>
  <c r="G67" i="1"/>
  <c r="H67" i="1"/>
  <c r="I67" i="1"/>
  <c r="D67" i="1"/>
  <c r="E66" i="1"/>
  <c r="I66" i="1"/>
  <c r="E64" i="1"/>
  <c r="F64" i="1"/>
  <c r="G64" i="1"/>
  <c r="H64" i="1"/>
  <c r="I64" i="1"/>
  <c r="D64" i="1"/>
  <c r="D65" i="1"/>
  <c r="D63" i="1"/>
  <c r="I56" i="1"/>
  <c r="E59" i="1"/>
  <c r="F59" i="1"/>
  <c r="G59" i="1"/>
  <c r="H59" i="1"/>
  <c r="I59" i="1"/>
  <c r="D59" i="1"/>
  <c r="D54" i="1"/>
  <c r="E56" i="1"/>
  <c r="F56" i="1"/>
  <c r="G56" i="1"/>
  <c r="H56" i="1"/>
  <c r="D56" i="1"/>
  <c r="F58" i="1"/>
  <c r="E53" i="1"/>
  <c r="F53" i="1"/>
  <c r="G53" i="1"/>
  <c r="H53" i="1"/>
  <c r="I53" i="1"/>
  <c r="D53" i="1"/>
  <c r="E43" i="2"/>
  <c r="F43" i="2"/>
  <c r="G43" i="2"/>
  <c r="H43" i="2"/>
  <c r="I43" i="2"/>
  <c r="D43" i="2"/>
  <c r="G7" i="8"/>
  <c r="H14" i="1"/>
  <c r="H22" i="1" s="1"/>
  <c r="D14" i="1"/>
  <c r="D22" i="1" s="1"/>
  <c r="E14" i="1"/>
  <c r="E22" i="1" s="1"/>
  <c r="F14" i="1"/>
  <c r="F22" i="1" s="1"/>
  <c r="G14" i="1"/>
  <c r="G22" i="1" s="1"/>
  <c r="I14" i="1"/>
  <c r="I22" i="1" s="1"/>
  <c r="E70" i="1"/>
  <c r="F70" i="1"/>
  <c r="G70" i="1"/>
  <c r="H70" i="1"/>
  <c r="I70" i="1"/>
  <c r="D70" i="1"/>
  <c r="E69" i="1"/>
  <c r="F69" i="1"/>
  <c r="G69" i="1"/>
  <c r="H69" i="1"/>
  <c r="I69" i="1"/>
  <c r="E68" i="1"/>
  <c r="F68" i="1"/>
  <c r="G68" i="1"/>
  <c r="H68" i="1"/>
  <c r="I68" i="1"/>
  <c r="D68" i="1"/>
  <c r="F66" i="1"/>
  <c r="G66" i="1"/>
  <c r="H66" i="1"/>
  <c r="D66" i="1"/>
  <c r="J66" i="1" l="1"/>
  <c r="J64" i="1"/>
  <c r="J67" i="1"/>
  <c r="F16" i="6"/>
  <c r="D16" i="6"/>
  <c r="H16" i="6"/>
  <c r="G16" i="6"/>
  <c r="G17" i="6" s="1"/>
  <c r="G10" i="7" s="1"/>
  <c r="F8" i="9" s="1"/>
  <c r="I47" i="13"/>
  <c r="E16" i="6"/>
  <c r="C16" i="6"/>
  <c r="D17" i="6" s="1"/>
  <c r="D10" i="7" s="1"/>
  <c r="J69" i="1"/>
  <c r="J59" i="1"/>
  <c r="I57" i="1"/>
  <c r="G58" i="1"/>
  <c r="E58" i="1"/>
  <c r="D57" i="1"/>
  <c r="J68" i="1"/>
  <c r="D58" i="1"/>
  <c r="I58" i="1"/>
  <c r="H58" i="1"/>
  <c r="J70" i="1"/>
  <c r="J43" i="2"/>
  <c r="H57" i="1"/>
  <c r="G57" i="1"/>
  <c r="F57" i="1"/>
  <c r="E57" i="1"/>
  <c r="J53" i="1"/>
  <c r="E65" i="1"/>
  <c r="F65" i="1"/>
  <c r="G65" i="1"/>
  <c r="H65" i="1"/>
  <c r="D37" i="2"/>
  <c r="B5" i="5"/>
  <c r="B7" i="5" s="1"/>
  <c r="B11" i="5" s="1"/>
  <c r="B13" i="5" s="1"/>
  <c r="F36" i="2"/>
  <c r="E63" i="1"/>
  <c r="F63" i="1"/>
  <c r="G63" i="1"/>
  <c r="H63" i="1"/>
  <c r="I63" i="1"/>
  <c r="E36" i="2"/>
  <c r="D36" i="2"/>
  <c r="E62" i="1"/>
  <c r="F62" i="1"/>
  <c r="G62" i="1"/>
  <c r="H62" i="1"/>
  <c r="I62" i="1"/>
  <c r="D62" i="1"/>
  <c r="E34" i="2"/>
  <c r="E61" i="1"/>
  <c r="J61" i="1" s="1"/>
  <c r="F61" i="1"/>
  <c r="G61" i="1"/>
  <c r="H61" i="1"/>
  <c r="I61" i="1"/>
  <c r="E55" i="1"/>
  <c r="F55" i="1"/>
  <c r="G55" i="1"/>
  <c r="H55" i="1"/>
  <c r="I55" i="1"/>
  <c r="D55" i="1"/>
  <c r="E54" i="1"/>
  <c r="F54" i="1"/>
  <c r="G54" i="1"/>
  <c r="H54" i="1"/>
  <c r="I54" i="1"/>
  <c r="E17" i="6" l="1"/>
  <c r="E10" i="7" s="1"/>
  <c r="D8" i="9" s="1"/>
  <c r="F17" i="6"/>
  <c r="F10" i="7" s="1"/>
  <c r="E8" i="9" s="1"/>
  <c r="H17" i="6"/>
  <c r="J54" i="1"/>
  <c r="H30" i="14"/>
  <c r="H27" i="13"/>
  <c r="J30" i="14"/>
  <c r="L27" i="13"/>
  <c r="C30" i="14"/>
  <c r="C27" i="13"/>
  <c r="I30" i="14"/>
  <c r="I27" i="13"/>
  <c r="J27" i="13"/>
  <c r="K30" i="14"/>
  <c r="K27" i="13"/>
  <c r="L30" i="14"/>
  <c r="D30" i="14"/>
  <c r="D27" i="13"/>
  <c r="G30" i="14"/>
  <c r="E30" i="14"/>
  <c r="F30" i="14"/>
  <c r="E27" i="13"/>
  <c r="F27" i="13"/>
  <c r="G27" i="13"/>
  <c r="K27" i="5"/>
  <c r="R17" i="1" s="1"/>
  <c r="G27" i="5"/>
  <c r="N17" i="1" s="1"/>
  <c r="I27" i="5"/>
  <c r="P17" i="1" s="1"/>
  <c r="L27" i="5"/>
  <c r="S17" i="1" s="1"/>
  <c r="D27" i="5"/>
  <c r="K17" i="1" s="1"/>
  <c r="E27" i="5"/>
  <c r="L17" i="1" s="1"/>
  <c r="F27" i="5"/>
  <c r="M17" i="1" s="1"/>
  <c r="J27" i="5"/>
  <c r="Q17" i="1" s="1"/>
  <c r="C27" i="5"/>
  <c r="J17" i="1" s="1"/>
  <c r="H27" i="5"/>
  <c r="O17" i="1" s="1"/>
  <c r="D45" i="14"/>
  <c r="C42" i="13"/>
  <c r="F45" i="14"/>
  <c r="G45" i="14"/>
  <c r="F42" i="13"/>
  <c r="H45" i="14"/>
  <c r="G42" i="13"/>
  <c r="I45" i="14"/>
  <c r="E45" i="14"/>
  <c r="D42" i="13"/>
  <c r="E42" i="13"/>
  <c r="H42" i="13"/>
  <c r="J45" i="14"/>
  <c r="K45" i="14"/>
  <c r="L45" i="14"/>
  <c r="I42" i="13"/>
  <c r="J42" i="13"/>
  <c r="K42" i="13"/>
  <c r="C45" i="14"/>
  <c r="L42" i="13"/>
  <c r="H42" i="5"/>
  <c r="C42" i="5"/>
  <c r="D42" i="5"/>
  <c r="I42" i="5"/>
  <c r="L42" i="5"/>
  <c r="J42" i="5"/>
  <c r="K42" i="5"/>
  <c r="F42" i="5"/>
  <c r="G42" i="5"/>
  <c r="E42" i="5"/>
  <c r="H32" i="14"/>
  <c r="H29" i="13"/>
  <c r="K29" i="13"/>
  <c r="L32" i="14"/>
  <c r="L29" i="13"/>
  <c r="I32" i="14"/>
  <c r="I29" i="13"/>
  <c r="J32" i="14"/>
  <c r="J29" i="13"/>
  <c r="K32" i="14"/>
  <c r="C32" i="14"/>
  <c r="C29" i="13"/>
  <c r="D32" i="14"/>
  <c r="E32" i="14"/>
  <c r="F29" i="13"/>
  <c r="F32" i="14"/>
  <c r="D29" i="13"/>
  <c r="G29" i="13"/>
  <c r="G32" i="14"/>
  <c r="E29" i="13"/>
  <c r="F29" i="5"/>
  <c r="G29" i="5"/>
  <c r="H29" i="5"/>
  <c r="I29" i="5"/>
  <c r="J29" i="5"/>
  <c r="K29" i="5"/>
  <c r="C29" i="5"/>
  <c r="J19" i="1" s="1"/>
  <c r="L29" i="5"/>
  <c r="D29" i="5"/>
  <c r="E29" i="5"/>
  <c r="C8" i="9"/>
  <c r="C17" i="6"/>
  <c r="C10" i="7" s="1"/>
  <c r="J47" i="13"/>
  <c r="J63" i="1"/>
  <c r="J58" i="1"/>
  <c r="J57" i="1"/>
  <c r="J65" i="1"/>
  <c r="J56" i="1"/>
  <c r="J62" i="1"/>
  <c r="J55" i="1"/>
  <c r="E52" i="1"/>
  <c r="F52" i="1"/>
  <c r="G52" i="1"/>
  <c r="H52" i="1"/>
  <c r="I52" i="1"/>
  <c r="D52" i="1"/>
  <c r="E51" i="1"/>
  <c r="F51" i="1"/>
  <c r="G51" i="1"/>
  <c r="H51" i="1"/>
  <c r="I51" i="1"/>
  <c r="D51" i="1"/>
  <c r="B51" i="1"/>
  <c r="C51" i="1"/>
  <c r="B52" i="1"/>
  <c r="C52" i="1"/>
  <c r="B53" i="1"/>
  <c r="C53" i="1"/>
  <c r="B55" i="1"/>
  <c r="C55" i="1"/>
  <c r="B56" i="1"/>
  <c r="C56" i="1"/>
  <c r="B61" i="1"/>
  <c r="C61" i="1"/>
  <c r="B63" i="1"/>
  <c r="C63" i="1"/>
  <c r="B65" i="1"/>
  <c r="C65" i="1"/>
  <c r="B68" i="1"/>
  <c r="C68" i="1"/>
  <c r="B69" i="1"/>
  <c r="C69" i="1"/>
  <c r="B70" i="1"/>
  <c r="C70" i="1"/>
  <c r="G10" i="8"/>
  <c r="G9" i="8"/>
  <c r="G8" i="8"/>
  <c r="G4" i="8"/>
  <c r="I40" i="2"/>
  <c r="H40" i="2"/>
  <c r="G40" i="2"/>
  <c r="F40" i="2"/>
  <c r="E40" i="2"/>
  <c r="D40" i="2"/>
  <c r="I39" i="2"/>
  <c r="H39" i="2"/>
  <c r="I37" i="2"/>
  <c r="H37" i="2"/>
  <c r="G37" i="2"/>
  <c r="F37" i="2"/>
  <c r="E37" i="2"/>
  <c r="H36" i="2"/>
  <c r="G36" i="2"/>
  <c r="J36" i="2" s="1"/>
  <c r="I35" i="2"/>
  <c r="H35" i="2"/>
  <c r="G35" i="2"/>
  <c r="F35" i="2"/>
  <c r="E35" i="2"/>
  <c r="I34" i="2"/>
  <c r="H34" i="2"/>
  <c r="G34" i="2"/>
  <c r="F34" i="2"/>
  <c r="I33" i="2"/>
  <c r="H33" i="2"/>
  <c r="G33" i="2"/>
  <c r="F33" i="2"/>
  <c r="E33" i="2"/>
  <c r="I21" i="2"/>
  <c r="I22" i="2" s="1"/>
  <c r="H21" i="2"/>
  <c r="H22" i="2" s="1"/>
  <c r="G21" i="2"/>
  <c r="F21" i="2"/>
  <c r="E21" i="2"/>
  <c r="D21" i="2"/>
  <c r="C21" i="2"/>
  <c r="B21" i="2"/>
  <c r="H14" i="2"/>
  <c r="G14" i="2"/>
  <c r="F14" i="2"/>
  <c r="E14" i="2"/>
  <c r="D14" i="2"/>
  <c r="C14" i="2"/>
  <c r="I8" i="2"/>
  <c r="H8" i="2"/>
  <c r="G8" i="2"/>
  <c r="F8" i="2"/>
  <c r="F42" i="2" s="1"/>
  <c r="E8" i="2"/>
  <c r="E10" i="2" s="1"/>
  <c r="D6" i="7" s="1"/>
  <c r="D7" i="7" s="1"/>
  <c r="D8" i="7" s="1"/>
  <c r="C6" i="9" s="1"/>
  <c r="D8" i="2"/>
  <c r="D10" i="2" s="1"/>
  <c r="C8" i="2"/>
  <c r="C10" i="2" s="1"/>
  <c r="C15" i="2" s="1"/>
  <c r="C17" i="2" s="1"/>
  <c r="B8" i="2"/>
  <c r="B10" i="2" s="1"/>
  <c r="B15" i="2" s="1"/>
  <c r="B17" i="2" s="1"/>
  <c r="I43" i="1"/>
  <c r="H43" i="1"/>
  <c r="G43" i="1"/>
  <c r="F43" i="1"/>
  <c r="E43" i="1"/>
  <c r="D43" i="1"/>
  <c r="C43" i="1"/>
  <c r="B43" i="1"/>
  <c r="I32" i="1"/>
  <c r="I38" i="1" s="1"/>
  <c r="H32" i="1"/>
  <c r="H38" i="1" s="1"/>
  <c r="G32" i="1"/>
  <c r="G38" i="1" s="1"/>
  <c r="F32" i="1"/>
  <c r="F38" i="1" s="1"/>
  <c r="E32" i="1"/>
  <c r="E38" i="1" s="1"/>
  <c r="D32" i="1"/>
  <c r="D38" i="1" s="1"/>
  <c r="C32" i="1"/>
  <c r="C38" i="1" s="1"/>
  <c r="B32" i="1"/>
  <c r="B38" i="1" s="1"/>
  <c r="I13" i="1"/>
  <c r="I23" i="1" s="1"/>
  <c r="H13" i="1"/>
  <c r="H23" i="1" s="1"/>
  <c r="G13" i="1"/>
  <c r="G23" i="1" s="1"/>
  <c r="F13" i="1"/>
  <c r="F23" i="1" s="1"/>
  <c r="E13" i="1"/>
  <c r="E23" i="1" s="1"/>
  <c r="D13" i="1"/>
  <c r="D23" i="1" s="1"/>
  <c r="C13" i="1"/>
  <c r="C23" i="1" s="1"/>
  <c r="B13" i="1"/>
  <c r="B23" i="1" s="1"/>
  <c r="G42" i="2" l="1"/>
  <c r="G10" i="2"/>
  <c r="H42" i="2"/>
  <c r="H10" i="2"/>
  <c r="I42" i="2"/>
  <c r="I10" i="2"/>
  <c r="F10" i="2"/>
  <c r="D12" i="7"/>
  <c r="C10" i="9" s="1"/>
  <c r="N33" i="1"/>
  <c r="M33" i="1"/>
  <c r="L33" i="1"/>
  <c r="G41" i="2"/>
  <c r="F6" i="7"/>
  <c r="B22" i="2"/>
  <c r="H41" i="2"/>
  <c r="G6" i="7"/>
  <c r="J40" i="2"/>
  <c r="C22" i="2"/>
  <c r="I41" i="2"/>
  <c r="H6" i="7"/>
  <c r="J34" i="2"/>
  <c r="R33" i="1"/>
  <c r="D41" i="2"/>
  <c r="C6" i="7"/>
  <c r="C7" i="7" s="1"/>
  <c r="C8" i="7" s="1"/>
  <c r="B6" i="9" s="1"/>
  <c r="Q33" i="1"/>
  <c r="S33" i="1"/>
  <c r="P33" i="1"/>
  <c r="J35" i="2"/>
  <c r="K33" i="1"/>
  <c r="J33" i="1"/>
  <c r="J33" i="2"/>
  <c r="C3" i="5" s="1"/>
  <c r="C4" i="13" s="1"/>
  <c r="J37" i="2"/>
  <c r="H31" i="14"/>
  <c r="H28" i="13"/>
  <c r="J28" i="13"/>
  <c r="C31" i="14"/>
  <c r="I31" i="14"/>
  <c r="I28" i="13"/>
  <c r="J31" i="14"/>
  <c r="K31" i="14"/>
  <c r="K28" i="13"/>
  <c r="L31" i="14"/>
  <c r="L28" i="13"/>
  <c r="C28" i="13"/>
  <c r="D31" i="14"/>
  <c r="E28" i="13"/>
  <c r="F28" i="13"/>
  <c r="G28" i="13"/>
  <c r="E31" i="14"/>
  <c r="F31" i="14"/>
  <c r="G31" i="14"/>
  <c r="D28" i="13"/>
  <c r="F28" i="5"/>
  <c r="M18" i="1" s="1"/>
  <c r="K28" i="5"/>
  <c r="R18" i="1" s="1"/>
  <c r="G28" i="5"/>
  <c r="N18" i="1" s="1"/>
  <c r="H28" i="5"/>
  <c r="O18" i="1" s="1"/>
  <c r="I28" i="5"/>
  <c r="P18" i="1" s="1"/>
  <c r="J28" i="5"/>
  <c r="Q18" i="1" s="1"/>
  <c r="C28" i="5"/>
  <c r="J18" i="1" s="1"/>
  <c r="D28" i="5"/>
  <c r="K18" i="1" s="1"/>
  <c r="L28" i="5"/>
  <c r="S18" i="1" s="1"/>
  <c r="E28" i="5"/>
  <c r="L18" i="1" s="1"/>
  <c r="O33" i="1"/>
  <c r="B8" i="9"/>
  <c r="K18" i="8"/>
  <c r="B35" i="9" s="1"/>
  <c r="K4" i="8"/>
  <c r="K12" i="8" s="1"/>
  <c r="K16" i="8" s="1"/>
  <c r="K47" i="13"/>
  <c r="H8" i="8"/>
  <c r="G44" i="1"/>
  <c r="I44" i="1"/>
  <c r="C44" i="1"/>
  <c r="B44" i="1"/>
  <c r="D44" i="1"/>
  <c r="D15" i="2"/>
  <c r="D38" i="2" s="1"/>
  <c r="E44" i="1"/>
  <c r="E41" i="2"/>
  <c r="E15" i="2"/>
  <c r="F44" i="1"/>
  <c r="H44" i="1"/>
  <c r="G15" i="2"/>
  <c r="D42" i="2"/>
  <c r="H7" i="8"/>
  <c r="H9" i="8"/>
  <c r="H15" i="2"/>
  <c r="H38" i="2" s="1"/>
  <c r="E42" i="2"/>
  <c r="H10" i="8"/>
  <c r="F15" i="2"/>
  <c r="I15" i="2"/>
  <c r="I38" i="2" s="1"/>
  <c r="I10" i="8" l="1"/>
  <c r="K10" i="8"/>
  <c r="J42" i="2"/>
  <c r="C20" i="13"/>
  <c r="C45" i="13"/>
  <c r="C46" i="13" s="1"/>
  <c r="C38" i="13"/>
  <c r="C36" i="13"/>
  <c r="C35" i="13"/>
  <c r="G7" i="7"/>
  <c r="G8" i="7" s="1"/>
  <c r="F6" i="9" s="1"/>
  <c r="G12" i="7"/>
  <c r="F10" i="9" s="1"/>
  <c r="C19" i="5"/>
  <c r="J8" i="1" s="1"/>
  <c r="I7" i="6" s="1"/>
  <c r="J6" i="2"/>
  <c r="C24" i="5"/>
  <c r="C56" i="5"/>
  <c r="C37" i="5"/>
  <c r="J28" i="1" s="1"/>
  <c r="C18" i="5"/>
  <c r="C6" i="14"/>
  <c r="C59" i="14" s="1"/>
  <c r="C3" i="13"/>
  <c r="C7" i="14"/>
  <c r="C9" i="5"/>
  <c r="K12" i="2" s="1"/>
  <c r="C31" i="5"/>
  <c r="J21" i="1" s="1"/>
  <c r="F7" i="7"/>
  <c r="F8" i="7" s="1"/>
  <c r="E6" i="9" s="1"/>
  <c r="F12" i="7"/>
  <c r="E10" i="9" s="1"/>
  <c r="D3" i="5"/>
  <c r="C6" i="5"/>
  <c r="J9" i="2" s="1"/>
  <c r="C4" i="5"/>
  <c r="C12" i="7"/>
  <c r="B10" i="9" s="1"/>
  <c r="H7" i="7"/>
  <c r="H8" i="7"/>
  <c r="G6" i="9" s="1"/>
  <c r="F41" i="2"/>
  <c r="J41" i="2" s="1"/>
  <c r="E6" i="7"/>
  <c r="B33" i="9"/>
  <c r="L47" i="13"/>
  <c r="I9" i="8"/>
  <c r="K9" i="8"/>
  <c r="I7" i="8"/>
  <c r="K7" i="8"/>
  <c r="I8" i="8"/>
  <c r="K8" i="8" s="1"/>
  <c r="C25" i="5"/>
  <c r="D4" i="5"/>
  <c r="D18" i="5"/>
  <c r="D19" i="5"/>
  <c r="C20" i="5"/>
  <c r="J9" i="1" s="1"/>
  <c r="I8" i="6" s="1"/>
  <c r="C21" i="5"/>
  <c r="J10" i="1" s="1"/>
  <c r="D6" i="5"/>
  <c r="K9" i="2" s="1"/>
  <c r="D9" i="5"/>
  <c r="L12" i="2" s="1"/>
  <c r="E3" i="5"/>
  <c r="D17" i="2"/>
  <c r="D39" i="2" s="1"/>
  <c r="F38" i="2"/>
  <c r="F17" i="2"/>
  <c r="G38" i="2"/>
  <c r="G17" i="2"/>
  <c r="E38" i="2"/>
  <c r="J38" i="2" s="1"/>
  <c r="E17" i="2"/>
  <c r="E39" i="2" s="1"/>
  <c r="K11" i="8" l="1"/>
  <c r="K7" i="1"/>
  <c r="J9" i="6" s="1"/>
  <c r="K8" i="1"/>
  <c r="J7" i="6" s="1"/>
  <c r="E7" i="7"/>
  <c r="E8" i="7"/>
  <c r="D6" i="9" s="1"/>
  <c r="E12" i="7"/>
  <c r="D10" i="9" s="1"/>
  <c r="C48" i="14"/>
  <c r="C49" i="14" s="1"/>
  <c r="C41" i="14"/>
  <c r="C23" i="14"/>
  <c r="C38" i="14"/>
  <c r="C39" i="14"/>
  <c r="D3" i="13"/>
  <c r="C19" i="13"/>
  <c r="C31" i="13"/>
  <c r="C24" i="13"/>
  <c r="C9" i="13"/>
  <c r="C6" i="13"/>
  <c r="C5" i="13"/>
  <c r="C7" i="13" s="1"/>
  <c r="C11" i="13" s="1"/>
  <c r="C37" i="13"/>
  <c r="J7" i="2"/>
  <c r="C45" i="5"/>
  <c r="C38" i="5"/>
  <c r="J29" i="1" s="1"/>
  <c r="I13" i="6" s="1"/>
  <c r="C36" i="5"/>
  <c r="J27" i="1" s="1"/>
  <c r="I12" i="6" s="1"/>
  <c r="C21" i="13"/>
  <c r="C24" i="14"/>
  <c r="C35" i="5"/>
  <c r="C5" i="5"/>
  <c r="C41" i="13"/>
  <c r="D5" i="5"/>
  <c r="K7" i="2"/>
  <c r="D38" i="5"/>
  <c r="K29" i="1" s="1"/>
  <c r="J13" i="6" s="1"/>
  <c r="D45" i="5"/>
  <c r="D36" i="5"/>
  <c r="K27" i="1" s="1"/>
  <c r="J12" i="6" s="1"/>
  <c r="D21" i="13"/>
  <c r="D24" i="14"/>
  <c r="D35" i="5"/>
  <c r="L6" i="2"/>
  <c r="E56" i="5"/>
  <c r="E18" i="13"/>
  <c r="E37" i="5"/>
  <c r="L28" i="1" s="1"/>
  <c r="E31" i="5"/>
  <c r="E24" i="5"/>
  <c r="L14" i="1" s="1"/>
  <c r="E7" i="14"/>
  <c r="E4" i="13"/>
  <c r="C8" i="14"/>
  <c r="C22" i="14"/>
  <c r="C9" i="14"/>
  <c r="C27" i="14"/>
  <c r="C34" i="14"/>
  <c r="C12" i="14"/>
  <c r="D6" i="14"/>
  <c r="C40" i="14"/>
  <c r="L5" i="15" s="1"/>
  <c r="K6" i="2"/>
  <c r="D56" i="5"/>
  <c r="D18" i="13"/>
  <c r="D37" i="5"/>
  <c r="K28" i="1" s="1"/>
  <c r="D31" i="5"/>
  <c r="D7" i="14"/>
  <c r="D4" i="13"/>
  <c r="D24" i="5"/>
  <c r="K14" i="1" s="1"/>
  <c r="J14" i="1"/>
  <c r="C28" i="14"/>
  <c r="C25" i="13"/>
  <c r="J15" i="1"/>
  <c r="H7" i="9" s="1"/>
  <c r="C32" i="5"/>
  <c r="I9" i="7"/>
  <c r="C23" i="5"/>
  <c r="J13" i="1" s="1"/>
  <c r="E18" i="5"/>
  <c r="E19" i="5"/>
  <c r="D20" i="5"/>
  <c r="D21" i="5"/>
  <c r="K10" i="1" s="1"/>
  <c r="E6" i="5"/>
  <c r="L9" i="2" s="1"/>
  <c r="F3" i="5"/>
  <c r="E9" i="5"/>
  <c r="M12" i="2" s="1"/>
  <c r="E4" i="5"/>
  <c r="G39" i="2"/>
  <c r="G22" i="2"/>
  <c r="E22" i="2"/>
  <c r="F39" i="2"/>
  <c r="J39" i="2" s="1"/>
  <c r="F22" i="2"/>
  <c r="D22" i="2"/>
  <c r="L7" i="1" l="1"/>
  <c r="K9" i="6" s="1"/>
  <c r="C32" i="13"/>
  <c r="K9" i="1"/>
  <c r="J8" i="6" s="1"/>
  <c r="L8" i="1"/>
  <c r="K7" i="6" s="1"/>
  <c r="D31" i="13"/>
  <c r="E3" i="13"/>
  <c r="D5" i="13"/>
  <c r="D6" i="13"/>
  <c r="D19" i="13"/>
  <c r="D9" i="13"/>
  <c r="D24" i="13"/>
  <c r="D37" i="13"/>
  <c r="E25" i="5"/>
  <c r="L15" i="1" s="1"/>
  <c r="E28" i="14"/>
  <c r="E25" i="13"/>
  <c r="D28" i="14"/>
  <c r="D25" i="13"/>
  <c r="D32" i="13" s="1"/>
  <c r="D25" i="5"/>
  <c r="K15" i="1" s="1"/>
  <c r="D9" i="14"/>
  <c r="D12" i="14"/>
  <c r="D27" i="14"/>
  <c r="D22" i="14"/>
  <c r="D34" i="14"/>
  <c r="E6" i="14"/>
  <c r="D8" i="14"/>
  <c r="D10" i="14" s="1"/>
  <c r="D59" i="14"/>
  <c r="D40" i="14"/>
  <c r="M5" i="15" s="1"/>
  <c r="J37" i="1"/>
  <c r="C46" i="5"/>
  <c r="J38" i="1" s="1"/>
  <c r="D20" i="13"/>
  <c r="D45" i="13"/>
  <c r="D46" i="13" s="1"/>
  <c r="D38" i="13"/>
  <c r="D36" i="13"/>
  <c r="D35" i="13"/>
  <c r="C44" i="14"/>
  <c r="L7" i="2"/>
  <c r="E45" i="5"/>
  <c r="E38" i="5"/>
  <c r="L29" i="1" s="1"/>
  <c r="K13" i="6" s="1"/>
  <c r="E36" i="5"/>
  <c r="L27" i="1" s="1"/>
  <c r="K12" i="6" s="1"/>
  <c r="E21" i="13"/>
  <c r="E24" i="14"/>
  <c r="E35" i="5"/>
  <c r="D39" i="14"/>
  <c r="D41" i="14"/>
  <c r="D38" i="14"/>
  <c r="D23" i="14"/>
  <c r="D48" i="14"/>
  <c r="D49" i="14" s="1"/>
  <c r="D7" i="5"/>
  <c r="K8" i="2"/>
  <c r="C35" i="14"/>
  <c r="C12" i="13"/>
  <c r="C13" i="13"/>
  <c r="C49" i="13" s="1"/>
  <c r="J8" i="2"/>
  <c r="C7" i="5"/>
  <c r="L7" i="15"/>
  <c r="L6" i="15"/>
  <c r="E23" i="14"/>
  <c r="E48" i="14"/>
  <c r="E49" i="14" s="1"/>
  <c r="E41" i="14"/>
  <c r="E39" i="14"/>
  <c r="E38" i="14"/>
  <c r="K37" i="1"/>
  <c r="D46" i="5"/>
  <c r="K38" i="1" s="1"/>
  <c r="M6" i="2"/>
  <c r="F56" i="5"/>
  <c r="F37" i="5"/>
  <c r="M28" i="1" s="1"/>
  <c r="F18" i="13"/>
  <c r="F4" i="13"/>
  <c r="F31" i="5"/>
  <c r="F7" i="14"/>
  <c r="F24" i="5"/>
  <c r="M14" i="1" s="1"/>
  <c r="D41" i="5"/>
  <c r="K32" i="1" s="1"/>
  <c r="J14" i="6" s="1"/>
  <c r="K26" i="1"/>
  <c r="J26" i="1"/>
  <c r="C41" i="5"/>
  <c r="J32" i="1" s="1"/>
  <c r="I14" i="6" s="1"/>
  <c r="C10" i="14"/>
  <c r="C14" i="14" s="1"/>
  <c r="C15" i="14" s="1"/>
  <c r="C16" i="14" s="1"/>
  <c r="C52" i="14" s="1"/>
  <c r="C61" i="14"/>
  <c r="E20" i="13"/>
  <c r="E38" i="13"/>
  <c r="E36" i="13"/>
  <c r="E45" i="13"/>
  <c r="E46" i="13" s="1"/>
  <c r="E35" i="13"/>
  <c r="I10" i="6"/>
  <c r="C33" i="5"/>
  <c r="J22" i="1"/>
  <c r="D23" i="5"/>
  <c r="K13" i="1" s="1"/>
  <c r="E5" i="5"/>
  <c r="E20" i="5"/>
  <c r="E21" i="5"/>
  <c r="L10" i="1" s="1"/>
  <c r="F18" i="5"/>
  <c r="F19" i="5"/>
  <c r="F6" i="5"/>
  <c r="M9" i="2" s="1"/>
  <c r="G3" i="5"/>
  <c r="F9" i="5"/>
  <c r="N12" i="2" s="1"/>
  <c r="F4" i="5"/>
  <c r="M7" i="1" l="1"/>
  <c r="L9" i="6" s="1"/>
  <c r="L9" i="1"/>
  <c r="K8" i="6" s="1"/>
  <c r="D23" i="13"/>
  <c r="M8" i="1"/>
  <c r="L7" i="6" s="1"/>
  <c r="C60" i="14"/>
  <c r="C50" i="14"/>
  <c r="C54" i="14" s="1"/>
  <c r="C55" i="14" s="1"/>
  <c r="C21" i="14" s="1"/>
  <c r="D35" i="14"/>
  <c r="E32" i="5"/>
  <c r="L22" i="1" s="1"/>
  <c r="J7" i="9"/>
  <c r="K9" i="7"/>
  <c r="F45" i="13"/>
  <c r="F46" i="13" s="1"/>
  <c r="F20" i="13"/>
  <c r="F38" i="13"/>
  <c r="F36" i="13"/>
  <c r="F35" i="13"/>
  <c r="D11" i="5"/>
  <c r="L10" i="2"/>
  <c r="J6" i="7"/>
  <c r="J7" i="7" s="1"/>
  <c r="J8" i="7" s="1"/>
  <c r="I6" i="9" s="1"/>
  <c r="E7" i="5"/>
  <c r="L8" i="2"/>
  <c r="L37" i="1"/>
  <c r="E46" i="5"/>
  <c r="L38" i="1" s="1"/>
  <c r="I7" i="9"/>
  <c r="J9" i="7"/>
  <c r="D32" i="5"/>
  <c r="K22" i="1" s="1"/>
  <c r="K10" i="2"/>
  <c r="I6" i="7"/>
  <c r="C11" i="5"/>
  <c r="D7" i="13"/>
  <c r="D11" i="13" s="1"/>
  <c r="M7" i="15"/>
  <c r="M6" i="15"/>
  <c r="N6" i="2"/>
  <c r="G37" i="5"/>
  <c r="N28" i="1" s="1"/>
  <c r="G18" i="13"/>
  <c r="G56" i="5"/>
  <c r="G7" i="14"/>
  <c r="G31" i="5"/>
  <c r="G4" i="13"/>
  <c r="G24" i="5"/>
  <c r="N14" i="1" s="1"/>
  <c r="D44" i="14"/>
  <c r="D80" i="14" s="1"/>
  <c r="C74" i="14"/>
  <c r="C76" i="14" s="1"/>
  <c r="D33" i="13"/>
  <c r="D41" i="13"/>
  <c r="E9" i="14"/>
  <c r="E12" i="14"/>
  <c r="E22" i="14"/>
  <c r="F6" i="14"/>
  <c r="E40" i="14"/>
  <c r="N5" i="15" s="1"/>
  <c r="E8" i="14"/>
  <c r="E10" i="14" s="1"/>
  <c r="E14" i="14" s="1"/>
  <c r="E27" i="14"/>
  <c r="E34" i="14"/>
  <c r="E59" i="14"/>
  <c r="E19" i="13"/>
  <c r="E23" i="13" s="1"/>
  <c r="E24" i="13"/>
  <c r="E31" i="13"/>
  <c r="F3" i="13"/>
  <c r="E6" i="13"/>
  <c r="E5" i="13"/>
  <c r="E7" i="13" s="1"/>
  <c r="E9" i="13"/>
  <c r="E37" i="13"/>
  <c r="E41" i="13" s="1"/>
  <c r="C80" i="14"/>
  <c r="D14" i="14"/>
  <c r="D15" i="14" s="1"/>
  <c r="D16" i="14" s="1"/>
  <c r="D52" i="14" s="1"/>
  <c r="D61" i="14" s="1"/>
  <c r="F28" i="14"/>
  <c r="F25" i="5"/>
  <c r="F25" i="13"/>
  <c r="E44" i="14"/>
  <c r="L26" i="1"/>
  <c r="E41" i="5"/>
  <c r="L32" i="1" s="1"/>
  <c r="K14" i="6" s="1"/>
  <c r="M7" i="2"/>
  <c r="F38" i="5"/>
  <c r="M29" i="1" s="1"/>
  <c r="L13" i="6" s="1"/>
  <c r="F45" i="5"/>
  <c r="F36" i="5"/>
  <c r="M27" i="1" s="1"/>
  <c r="L12" i="6" s="1"/>
  <c r="F21" i="13"/>
  <c r="F24" i="14"/>
  <c r="F35" i="5"/>
  <c r="C51" i="13"/>
  <c r="C52" i="13" s="1"/>
  <c r="I16" i="6"/>
  <c r="I17" i="6" s="1"/>
  <c r="J46" i="1"/>
  <c r="F41" i="14"/>
  <c r="F23" i="14"/>
  <c r="F48" i="14"/>
  <c r="F49" i="14" s="1"/>
  <c r="F39" i="14"/>
  <c r="F38" i="14"/>
  <c r="D33" i="5"/>
  <c r="K23" i="1" s="1"/>
  <c r="H10" i="7"/>
  <c r="I10" i="7"/>
  <c r="J23" i="1"/>
  <c r="E23" i="5"/>
  <c r="L13" i="1" s="1"/>
  <c r="F5" i="5"/>
  <c r="F20" i="5"/>
  <c r="F21" i="5"/>
  <c r="M10" i="1" s="1"/>
  <c r="G19" i="5"/>
  <c r="G18" i="5"/>
  <c r="G6" i="5"/>
  <c r="N9" i="2" s="1"/>
  <c r="H3" i="5"/>
  <c r="G9" i="5"/>
  <c r="O12" i="2" s="1"/>
  <c r="G4" i="5"/>
  <c r="G5" i="5" s="1"/>
  <c r="N8" i="2" s="1"/>
  <c r="N7" i="1" l="1"/>
  <c r="M9" i="6" s="1"/>
  <c r="F32" i="5"/>
  <c r="M22" i="1" s="1"/>
  <c r="M15" i="1"/>
  <c r="E32" i="13"/>
  <c r="E33" i="13" s="1"/>
  <c r="E35" i="14"/>
  <c r="M9" i="1"/>
  <c r="L8" i="6" s="1"/>
  <c r="N8" i="1"/>
  <c r="M7" i="6" s="1"/>
  <c r="C26" i="14"/>
  <c r="C36" i="14" s="1"/>
  <c r="C57" i="14" s="1"/>
  <c r="J7" i="1"/>
  <c r="I9" i="6" s="1"/>
  <c r="D60" i="14"/>
  <c r="D50" i="14"/>
  <c r="D54" i="14" s="1"/>
  <c r="D55" i="14" s="1"/>
  <c r="D21" i="14" s="1"/>
  <c r="E15" i="14"/>
  <c r="E16" i="14"/>
  <c r="E52" i="14" s="1"/>
  <c r="N7" i="15"/>
  <c r="N6" i="15"/>
  <c r="G28" i="14"/>
  <c r="G25" i="5"/>
  <c r="N15" i="1" s="1"/>
  <c r="G25" i="13"/>
  <c r="G32" i="5"/>
  <c r="N22" i="1" s="1"/>
  <c r="F9" i="13"/>
  <c r="G3" i="13"/>
  <c r="F37" i="13"/>
  <c r="F41" i="13" s="1"/>
  <c r="F5" i="13"/>
  <c r="F6" i="13"/>
  <c r="F24" i="13"/>
  <c r="F19" i="13"/>
  <c r="F23" i="13" s="1"/>
  <c r="F31" i="13"/>
  <c r="F27" i="14"/>
  <c r="F8" i="14"/>
  <c r="G6" i="14"/>
  <c r="F9" i="14"/>
  <c r="F34" i="14"/>
  <c r="F59" i="14"/>
  <c r="F12" i="14"/>
  <c r="F22" i="14"/>
  <c r="F40" i="14"/>
  <c r="O5" i="15" s="1"/>
  <c r="G35" i="13"/>
  <c r="G45" i="13"/>
  <c r="G46" i="13" s="1"/>
  <c r="G38" i="13"/>
  <c r="G36" i="13"/>
  <c r="G20" i="13"/>
  <c r="D12" i="13"/>
  <c r="D13" i="13"/>
  <c r="D49" i="13" s="1"/>
  <c r="D51" i="13" s="1"/>
  <c r="D52" i="13" s="1"/>
  <c r="D55" i="13" s="1"/>
  <c r="M10" i="2"/>
  <c r="K6" i="7"/>
  <c r="E11" i="5"/>
  <c r="F41" i="5"/>
  <c r="M32" i="1" s="1"/>
  <c r="L14" i="6" s="1"/>
  <c r="M26" i="1"/>
  <c r="E11" i="13"/>
  <c r="E12" i="13" s="1"/>
  <c r="E13" i="13" s="1"/>
  <c r="F7" i="5"/>
  <c r="M8" i="2"/>
  <c r="F44" i="14"/>
  <c r="F35" i="14"/>
  <c r="O6" i="2"/>
  <c r="H37" i="5"/>
  <c r="O28" i="1" s="1"/>
  <c r="H18" i="13"/>
  <c r="H56" i="5"/>
  <c r="H24" i="5"/>
  <c r="O14" i="1" s="1"/>
  <c r="H4" i="13"/>
  <c r="H31" i="5"/>
  <c r="H7" i="14"/>
  <c r="K7" i="9"/>
  <c r="L9" i="7"/>
  <c r="E80" i="14"/>
  <c r="G48" i="14"/>
  <c r="G49" i="14" s="1"/>
  <c r="G23" i="14"/>
  <c r="G39" i="14"/>
  <c r="G38" i="14"/>
  <c r="G41" i="14"/>
  <c r="N7" i="2"/>
  <c r="G38" i="5"/>
  <c r="N29" i="1" s="1"/>
  <c r="M13" i="6" s="1"/>
  <c r="G45" i="5"/>
  <c r="G36" i="5"/>
  <c r="N27" i="1" s="1"/>
  <c r="M12" i="6" s="1"/>
  <c r="G21" i="13"/>
  <c r="G24" i="14"/>
  <c r="G35" i="5"/>
  <c r="K15" i="2"/>
  <c r="D12" i="5"/>
  <c r="J15" i="2"/>
  <c r="C12" i="5"/>
  <c r="J16" i="2" s="1"/>
  <c r="K17" i="8" s="1"/>
  <c r="K20" i="8" s="1"/>
  <c r="C13" i="5"/>
  <c r="M37" i="1"/>
  <c r="F46" i="5"/>
  <c r="M38" i="1" s="1"/>
  <c r="I7" i="7"/>
  <c r="I8" i="7"/>
  <c r="H6" i="9" s="1"/>
  <c r="E61" i="14"/>
  <c r="J10" i="6"/>
  <c r="J16" i="6" s="1"/>
  <c r="J17" i="6" s="1"/>
  <c r="J10" i="7" s="1"/>
  <c r="K46" i="1"/>
  <c r="E33" i="5"/>
  <c r="L23" i="1" s="1"/>
  <c r="D26" i="14"/>
  <c r="D36" i="14" s="1"/>
  <c r="D57" i="14" s="1"/>
  <c r="D74" i="14"/>
  <c r="D76" i="14" s="1"/>
  <c r="H8" i="9"/>
  <c r="I12" i="7"/>
  <c r="H10" i="9" s="1"/>
  <c r="G8" i="9"/>
  <c r="H12" i="7"/>
  <c r="G10" i="9" s="1"/>
  <c r="F23" i="5"/>
  <c r="M13" i="1" s="1"/>
  <c r="G7" i="5"/>
  <c r="G20" i="5"/>
  <c r="G21" i="5"/>
  <c r="N10" i="1" s="1"/>
  <c r="H19" i="5"/>
  <c r="H18" i="5"/>
  <c r="I3" i="5"/>
  <c r="H9" i="5"/>
  <c r="P12" i="2" s="1"/>
  <c r="H6" i="5"/>
  <c r="O9" i="2" s="1"/>
  <c r="H4" i="5"/>
  <c r="H5" i="5" s="1"/>
  <c r="O8" i="2" s="1"/>
  <c r="O7" i="1" l="1"/>
  <c r="N9" i="6" s="1"/>
  <c r="F10" i="14"/>
  <c r="F14" i="14" s="1"/>
  <c r="F32" i="13"/>
  <c r="F7" i="13"/>
  <c r="F11" i="13" s="1"/>
  <c r="N9" i="1"/>
  <c r="M8" i="6" s="1"/>
  <c r="O8" i="1"/>
  <c r="N7" i="6" s="1"/>
  <c r="F33" i="13"/>
  <c r="K7" i="7"/>
  <c r="K8" i="7" s="1"/>
  <c r="J6" i="9" s="1"/>
  <c r="M9" i="7"/>
  <c r="L7" i="9"/>
  <c r="F80" i="14"/>
  <c r="F12" i="13"/>
  <c r="F13" i="13"/>
  <c r="C49" i="5"/>
  <c r="J17" i="2"/>
  <c r="H38" i="14"/>
  <c r="H23" i="14"/>
  <c r="H48" i="14"/>
  <c r="H49" i="14" s="1"/>
  <c r="H41" i="14"/>
  <c r="H39" i="14"/>
  <c r="G11" i="5"/>
  <c r="O10" i="2"/>
  <c r="M6" i="7"/>
  <c r="M7" i="7" s="1"/>
  <c r="M8" i="7" s="1"/>
  <c r="L6" i="9" s="1"/>
  <c r="G6" i="13"/>
  <c r="H3" i="13"/>
  <c r="G37" i="13"/>
  <c r="G41" i="13" s="1"/>
  <c r="G9" i="13"/>
  <c r="G24" i="13"/>
  <c r="G19" i="13"/>
  <c r="G23" i="13" s="1"/>
  <c r="G5" i="13"/>
  <c r="G31" i="13"/>
  <c r="H6" i="14"/>
  <c r="G27" i="14"/>
  <c r="G8" i="14"/>
  <c r="G9" i="14"/>
  <c r="G12" i="14"/>
  <c r="G59" i="14"/>
  <c r="G22" i="14"/>
  <c r="G34" i="14"/>
  <c r="G40" i="14"/>
  <c r="P5" i="15" s="1"/>
  <c r="B34" i="9"/>
  <c r="B37" i="9"/>
  <c r="D13" i="5"/>
  <c r="K17" i="2" s="1"/>
  <c r="K16" i="2"/>
  <c r="H45" i="13"/>
  <c r="H46" i="13" s="1"/>
  <c r="H38" i="13"/>
  <c r="H35" i="13"/>
  <c r="H36" i="13"/>
  <c r="H20" i="13"/>
  <c r="N10" i="2"/>
  <c r="L6" i="7"/>
  <c r="L7" i="7" s="1"/>
  <c r="L8" i="7" s="1"/>
  <c r="K6" i="9" s="1"/>
  <c r="F11" i="5"/>
  <c r="O7" i="2"/>
  <c r="H38" i="5"/>
  <c r="O29" i="1" s="1"/>
  <c r="N13" i="6" s="1"/>
  <c r="H45" i="5"/>
  <c r="H36" i="5"/>
  <c r="O27" i="1" s="1"/>
  <c r="N12" i="6" s="1"/>
  <c r="H24" i="14"/>
  <c r="H21" i="13"/>
  <c r="H35" i="5"/>
  <c r="G44" i="14"/>
  <c r="H25" i="13"/>
  <c r="H28" i="14"/>
  <c r="H25" i="5"/>
  <c r="O15" i="1" s="1"/>
  <c r="E49" i="13"/>
  <c r="E51" i="13" s="1"/>
  <c r="E52" i="13" s="1"/>
  <c r="E55" i="13" s="1"/>
  <c r="F15" i="14"/>
  <c r="F16" i="14"/>
  <c r="F52" i="14" s="1"/>
  <c r="F61" i="14" s="1"/>
  <c r="F60" i="14" s="1"/>
  <c r="N37" i="1"/>
  <c r="G46" i="5"/>
  <c r="N38" i="1" s="1"/>
  <c r="E60" i="14"/>
  <c r="E50" i="14"/>
  <c r="G41" i="5"/>
  <c r="N32" i="1" s="1"/>
  <c r="M14" i="6" s="1"/>
  <c r="N26" i="1"/>
  <c r="P6" i="2"/>
  <c r="I18" i="13"/>
  <c r="I37" i="5"/>
  <c r="P28" i="1" s="1"/>
  <c r="I56" i="5"/>
  <c r="I4" i="13"/>
  <c r="I24" i="5"/>
  <c r="P14" i="1" s="1"/>
  <c r="I7" i="14"/>
  <c r="I31" i="5"/>
  <c r="E12" i="5"/>
  <c r="L16" i="2" s="1"/>
  <c r="L15" i="2"/>
  <c r="O7" i="15"/>
  <c r="O6" i="15"/>
  <c r="G32" i="13"/>
  <c r="G33" i="13" s="1"/>
  <c r="L46" i="1"/>
  <c r="K10" i="6"/>
  <c r="K16" i="6" s="1"/>
  <c r="K17" i="6" s="1"/>
  <c r="K10" i="7" s="1"/>
  <c r="I8" i="9"/>
  <c r="J12" i="7"/>
  <c r="I10" i="9" s="1"/>
  <c r="F33" i="5"/>
  <c r="M23" i="1" s="1"/>
  <c r="G23" i="5"/>
  <c r="N13" i="1" s="1"/>
  <c r="H7" i="5"/>
  <c r="H20" i="5"/>
  <c r="H21" i="5"/>
  <c r="O10" i="1" s="1"/>
  <c r="I19" i="5"/>
  <c r="I18" i="5"/>
  <c r="I9" i="5"/>
  <c r="Q12" i="2" s="1"/>
  <c r="J3" i="5"/>
  <c r="I6" i="5"/>
  <c r="P9" i="2" s="1"/>
  <c r="I4" i="5"/>
  <c r="P7" i="1" l="1"/>
  <c r="O9" i="6" s="1"/>
  <c r="G10" i="14"/>
  <c r="G14" i="14" s="1"/>
  <c r="G15" i="14" s="1"/>
  <c r="G16" i="14" s="1"/>
  <c r="G35" i="14"/>
  <c r="G52" i="14"/>
  <c r="O9" i="1"/>
  <c r="N8" i="6" s="1"/>
  <c r="P8" i="1"/>
  <c r="O7" i="6" s="1"/>
  <c r="C58" i="5"/>
  <c r="C47" i="5" s="1"/>
  <c r="D49" i="5"/>
  <c r="F49" i="13"/>
  <c r="F51" i="13" s="1"/>
  <c r="F52" i="13" s="1"/>
  <c r="F55" i="13" s="1"/>
  <c r="M7" i="9"/>
  <c r="N9" i="7"/>
  <c r="F50" i="14"/>
  <c r="E54" i="14"/>
  <c r="E55" i="14" s="1"/>
  <c r="E21" i="14" s="1"/>
  <c r="M15" i="2"/>
  <c r="F12" i="5"/>
  <c r="M16" i="2" s="1"/>
  <c r="F13" i="5"/>
  <c r="M17" i="2" s="1"/>
  <c r="H11" i="5"/>
  <c r="P10" i="2"/>
  <c r="N6" i="7"/>
  <c r="I38" i="14"/>
  <c r="I23" i="14"/>
  <c r="I48" i="14"/>
  <c r="I49" i="14" s="1"/>
  <c r="I41" i="14"/>
  <c r="I39" i="14"/>
  <c r="Q6" i="2"/>
  <c r="J37" i="5"/>
  <c r="Q28" i="1" s="1"/>
  <c r="J18" i="13"/>
  <c r="J56" i="5"/>
  <c r="J7" i="14"/>
  <c r="J4" i="13"/>
  <c r="J24" i="5"/>
  <c r="Q14" i="1" s="1"/>
  <c r="J31" i="5"/>
  <c r="I28" i="14"/>
  <c r="I25" i="13"/>
  <c r="I25" i="5"/>
  <c r="P15" i="1" s="1"/>
  <c r="P7" i="15"/>
  <c r="P6" i="15"/>
  <c r="G7" i="13"/>
  <c r="G11" i="13" s="1"/>
  <c r="G12" i="13" s="1"/>
  <c r="G13" i="13" s="1"/>
  <c r="G49" i="13" s="1"/>
  <c r="G51" i="13" s="1"/>
  <c r="G52" i="13" s="1"/>
  <c r="G55" i="13" s="1"/>
  <c r="P7" i="2"/>
  <c r="I45" i="5"/>
  <c r="I38" i="5"/>
  <c r="P29" i="1" s="1"/>
  <c r="O13" i="6" s="1"/>
  <c r="I36" i="5"/>
  <c r="P27" i="1" s="1"/>
  <c r="O12" i="6" s="1"/>
  <c r="I21" i="13"/>
  <c r="I24" i="14"/>
  <c r="I35" i="5"/>
  <c r="I6" i="14"/>
  <c r="H22" i="14"/>
  <c r="H34" i="14"/>
  <c r="H12" i="14"/>
  <c r="H27" i="14"/>
  <c r="H40" i="14"/>
  <c r="Q5" i="15" s="1"/>
  <c r="H9" i="14"/>
  <c r="H8" i="14"/>
  <c r="H59" i="14"/>
  <c r="G12" i="5"/>
  <c r="N15" i="2"/>
  <c r="I35" i="13"/>
  <c r="I45" i="13"/>
  <c r="I46" i="13" s="1"/>
  <c r="I36" i="13"/>
  <c r="I38" i="13"/>
  <c r="I20" i="13"/>
  <c r="H41" i="5"/>
  <c r="O32" i="1" s="1"/>
  <c r="N14" i="6" s="1"/>
  <c r="O26" i="1"/>
  <c r="G61" i="14"/>
  <c r="G60" i="14" s="1"/>
  <c r="G80" i="14"/>
  <c r="H44" i="14"/>
  <c r="E13" i="5"/>
  <c r="L17" i="2" s="1"/>
  <c r="H32" i="5"/>
  <c r="O22" i="1" s="1"/>
  <c r="O37" i="1"/>
  <c r="H46" i="5"/>
  <c r="O38" i="1" s="1"/>
  <c r="I3" i="13"/>
  <c r="H5" i="13"/>
  <c r="H19" i="13"/>
  <c r="H23" i="13" s="1"/>
  <c r="H6" i="13"/>
  <c r="H9" i="13"/>
  <c r="H31" i="13"/>
  <c r="H24" i="13"/>
  <c r="H32" i="13" s="1"/>
  <c r="H33" i="13" s="1"/>
  <c r="H37" i="13"/>
  <c r="H41" i="13" s="1"/>
  <c r="L10" i="6"/>
  <c r="L16" i="6" s="1"/>
  <c r="L17" i="6" s="1"/>
  <c r="L10" i="7" s="1"/>
  <c r="M46" i="1"/>
  <c r="G33" i="5"/>
  <c r="N23" i="1" s="1"/>
  <c r="J8" i="9"/>
  <c r="K12" i="7"/>
  <c r="J10" i="9" s="1"/>
  <c r="H23" i="5"/>
  <c r="O13" i="1" s="1"/>
  <c r="J19" i="5"/>
  <c r="J18" i="5"/>
  <c r="I5" i="5"/>
  <c r="P8" i="2" s="1"/>
  <c r="I20" i="5"/>
  <c r="I21" i="5"/>
  <c r="P10" i="1" s="1"/>
  <c r="J9" i="5"/>
  <c r="R12" i="2" s="1"/>
  <c r="K3" i="5"/>
  <c r="J6" i="5"/>
  <c r="Q9" i="2" s="1"/>
  <c r="J4" i="5"/>
  <c r="Q7" i="1" l="1"/>
  <c r="P9" i="6" s="1"/>
  <c r="H7" i="13"/>
  <c r="H11" i="13" s="1"/>
  <c r="H12" i="13" s="1"/>
  <c r="H13" i="13" s="1"/>
  <c r="H49" i="13" s="1"/>
  <c r="H51" i="13" s="1"/>
  <c r="H80" i="14"/>
  <c r="H10" i="14"/>
  <c r="P9" i="1"/>
  <c r="O8" i="6" s="1"/>
  <c r="Q8" i="1"/>
  <c r="P7" i="6" s="1"/>
  <c r="R6" i="2"/>
  <c r="K56" i="5"/>
  <c r="K37" i="5"/>
  <c r="R28" i="1" s="1"/>
  <c r="K18" i="13"/>
  <c r="K24" i="5"/>
  <c r="R14" i="1" s="1"/>
  <c r="K7" i="14"/>
  <c r="K4" i="13"/>
  <c r="K31" i="5"/>
  <c r="N7" i="9"/>
  <c r="O9" i="7"/>
  <c r="H14" i="14"/>
  <c r="H52" i="13"/>
  <c r="H55" i="13" s="1"/>
  <c r="E26" i="14"/>
  <c r="E36" i="14" s="1"/>
  <c r="E57" i="14" s="1"/>
  <c r="E74" i="14"/>
  <c r="E76" i="14" s="1"/>
  <c r="Q7" i="15"/>
  <c r="Q6" i="15"/>
  <c r="P37" i="1"/>
  <c r="I46" i="5"/>
  <c r="P38" i="1" s="1"/>
  <c r="G50" i="14"/>
  <c r="F54" i="14"/>
  <c r="F55" i="14" s="1"/>
  <c r="F21" i="14" s="1"/>
  <c r="I31" i="13"/>
  <c r="I37" i="13"/>
  <c r="I41" i="13" s="1"/>
  <c r="I9" i="13"/>
  <c r="I6" i="13"/>
  <c r="I19" i="13"/>
  <c r="I23" i="13" s="1"/>
  <c r="J3" i="13"/>
  <c r="I5" i="13"/>
  <c r="I7" i="13" s="1"/>
  <c r="I11" i="13" s="1"/>
  <c r="I24" i="13"/>
  <c r="I32" i="13" s="1"/>
  <c r="I33" i="13" s="1"/>
  <c r="I32" i="5"/>
  <c r="P22" i="1" s="1"/>
  <c r="Q7" i="2"/>
  <c r="J45" i="5"/>
  <c r="J38" i="5"/>
  <c r="Q29" i="1" s="1"/>
  <c r="P13" i="6" s="1"/>
  <c r="J36" i="5"/>
  <c r="Q27" i="1" s="1"/>
  <c r="P12" i="6" s="1"/>
  <c r="J24" i="14"/>
  <c r="J21" i="13"/>
  <c r="J35" i="5"/>
  <c r="H35" i="14"/>
  <c r="J25" i="5"/>
  <c r="Q15" i="1" s="1"/>
  <c r="J28" i="14"/>
  <c r="J25" i="13"/>
  <c r="J23" i="14"/>
  <c r="J48" i="14"/>
  <c r="J49" i="14" s="1"/>
  <c r="J38" i="14"/>
  <c r="J39" i="14"/>
  <c r="J41" i="14"/>
  <c r="N7" i="7"/>
  <c r="N8" i="7"/>
  <c r="M6" i="9" s="1"/>
  <c r="J20" i="13"/>
  <c r="J36" i="13"/>
  <c r="J45" i="13"/>
  <c r="J46" i="13" s="1"/>
  <c r="J35" i="13"/>
  <c r="J38" i="13"/>
  <c r="D58" i="5"/>
  <c r="D47" i="5" s="1"/>
  <c r="K39" i="1" s="1"/>
  <c r="E49" i="5"/>
  <c r="I7" i="5"/>
  <c r="G13" i="5"/>
  <c r="N17" i="2" s="1"/>
  <c r="N16" i="2"/>
  <c r="J6" i="14"/>
  <c r="I34" i="14"/>
  <c r="I40" i="14"/>
  <c r="R5" i="15" s="1"/>
  <c r="I12" i="14"/>
  <c r="I9" i="14"/>
  <c r="I27" i="14"/>
  <c r="I8" i="14"/>
  <c r="I10" i="14" s="1"/>
  <c r="I14" i="14" s="1"/>
  <c r="I59" i="14"/>
  <c r="I22" i="14"/>
  <c r="I41" i="5"/>
  <c r="P32" i="1" s="1"/>
  <c r="O14" i="6" s="1"/>
  <c r="P26" i="1"/>
  <c r="H12" i="5"/>
  <c r="O15" i="2"/>
  <c r="M10" i="6"/>
  <c r="M16" i="6" s="1"/>
  <c r="N46" i="1"/>
  <c r="H33" i="5"/>
  <c r="O23" i="1" s="1"/>
  <c r="K8" i="9"/>
  <c r="L12" i="7"/>
  <c r="K10" i="9" s="1"/>
  <c r="I23" i="5"/>
  <c r="P13" i="1" s="1"/>
  <c r="J5" i="5"/>
  <c r="J20" i="5"/>
  <c r="J21" i="5"/>
  <c r="Q10" i="1" s="1"/>
  <c r="K19" i="5"/>
  <c r="K18" i="5"/>
  <c r="K9" i="5"/>
  <c r="S12" i="2" s="1"/>
  <c r="L3" i="5"/>
  <c r="K6" i="5"/>
  <c r="R9" i="2" s="1"/>
  <c r="K4" i="5"/>
  <c r="R7" i="1" l="1"/>
  <c r="Q9" i="6" s="1"/>
  <c r="Q9" i="1"/>
  <c r="P8" i="6" s="1"/>
  <c r="R8" i="1"/>
  <c r="Q7" i="6" s="1"/>
  <c r="J32" i="5"/>
  <c r="Q22" i="1" s="1"/>
  <c r="O7" i="9"/>
  <c r="P9" i="7"/>
  <c r="J7" i="5"/>
  <c r="Q8" i="2"/>
  <c r="I11" i="5"/>
  <c r="Q10" i="2"/>
  <c r="O6" i="7"/>
  <c r="Q26" i="1"/>
  <c r="J41" i="5"/>
  <c r="Q32" i="1" s="1"/>
  <c r="P14" i="6" s="1"/>
  <c r="J19" i="13"/>
  <c r="J23" i="13" s="1"/>
  <c r="J24" i="13"/>
  <c r="J31" i="13"/>
  <c r="J37" i="13"/>
  <c r="J41" i="13" s="1"/>
  <c r="K3" i="13"/>
  <c r="J9" i="13"/>
  <c r="J5" i="13"/>
  <c r="J6" i="13"/>
  <c r="K20" i="13"/>
  <c r="K36" i="13"/>
  <c r="K38" i="13"/>
  <c r="K35" i="13"/>
  <c r="K45" i="13"/>
  <c r="K46" i="13" s="1"/>
  <c r="I15" i="14"/>
  <c r="I16" i="14"/>
  <c r="E58" i="5"/>
  <c r="E47" i="5" s="1"/>
  <c r="L39" i="1" s="1"/>
  <c r="F49" i="5"/>
  <c r="I35" i="14"/>
  <c r="K28" i="14"/>
  <c r="K25" i="13"/>
  <c r="K25" i="5"/>
  <c r="H13" i="5"/>
  <c r="O17" i="2" s="1"/>
  <c r="O16" i="2"/>
  <c r="I12" i="13"/>
  <c r="I13" i="13"/>
  <c r="K23" i="14"/>
  <c r="K38" i="14"/>
  <c r="K48" i="14"/>
  <c r="K49" i="14" s="1"/>
  <c r="K39" i="14"/>
  <c r="K41" i="14"/>
  <c r="R7" i="2"/>
  <c r="K45" i="5"/>
  <c r="K38" i="5"/>
  <c r="R29" i="1" s="1"/>
  <c r="Q13" i="6" s="1"/>
  <c r="K36" i="5"/>
  <c r="R27" i="1" s="1"/>
  <c r="Q12" i="6" s="1"/>
  <c r="K21" i="13"/>
  <c r="K24" i="14"/>
  <c r="K35" i="5"/>
  <c r="S6" i="2"/>
  <c r="L37" i="5"/>
  <c r="S28" i="1" s="1"/>
  <c r="L56" i="5"/>
  <c r="L18" i="13"/>
  <c r="L31" i="5"/>
  <c r="L24" i="5"/>
  <c r="S14" i="1" s="1"/>
  <c r="L4" i="13"/>
  <c r="R7" i="15"/>
  <c r="R6" i="15"/>
  <c r="Q37" i="1"/>
  <c r="J46" i="5"/>
  <c r="Q38" i="1" s="1"/>
  <c r="H15" i="14"/>
  <c r="H16" i="14"/>
  <c r="H52" i="14" s="1"/>
  <c r="H61" i="14" s="1"/>
  <c r="H60" i="14" s="1"/>
  <c r="F74" i="14"/>
  <c r="F76" i="14" s="1"/>
  <c r="F26" i="14"/>
  <c r="F36" i="14" s="1"/>
  <c r="F57" i="14" s="1"/>
  <c r="K6" i="14"/>
  <c r="J12" i="14"/>
  <c r="J9" i="14"/>
  <c r="J40" i="14"/>
  <c r="J22" i="14"/>
  <c r="J59" i="14"/>
  <c r="J27" i="14"/>
  <c r="J34" i="14"/>
  <c r="J8" i="14"/>
  <c r="H50" i="14"/>
  <c r="G54" i="14"/>
  <c r="G55" i="14" s="1"/>
  <c r="G21" i="14" s="1"/>
  <c r="I44" i="14"/>
  <c r="I33" i="5"/>
  <c r="P23" i="1" s="1"/>
  <c r="N10" i="6"/>
  <c r="N16" i="6" s="1"/>
  <c r="N17" i="6" s="1"/>
  <c r="O46" i="1"/>
  <c r="M17" i="6"/>
  <c r="M10" i="7" s="1"/>
  <c r="J23" i="5"/>
  <c r="Q13" i="1" s="1"/>
  <c r="K5" i="5"/>
  <c r="K20" i="5"/>
  <c r="K21" i="5"/>
  <c r="R10" i="1" s="1"/>
  <c r="L19" i="5"/>
  <c r="L18" i="5"/>
  <c r="L9" i="5"/>
  <c r="L6" i="5"/>
  <c r="S9" i="2" s="1"/>
  <c r="L4" i="5"/>
  <c r="S7" i="1" l="1"/>
  <c r="R9" i="6" s="1"/>
  <c r="S5" i="15"/>
  <c r="J44" i="14"/>
  <c r="K32" i="5"/>
  <c r="R22" i="1" s="1"/>
  <c r="R15" i="1"/>
  <c r="J10" i="14"/>
  <c r="J80" i="14"/>
  <c r="R9" i="1"/>
  <c r="Q8" i="6" s="1"/>
  <c r="S8" i="1"/>
  <c r="R7" i="6" s="1"/>
  <c r="I80" i="14"/>
  <c r="O7" i="7"/>
  <c r="O8" i="7"/>
  <c r="N6" i="9" s="1"/>
  <c r="G26" i="14"/>
  <c r="G36" i="14" s="1"/>
  <c r="G57" i="14" s="1"/>
  <c r="G74" i="14"/>
  <c r="G76" i="14" s="1"/>
  <c r="L25" i="13"/>
  <c r="L28" i="14"/>
  <c r="L25" i="5"/>
  <c r="S15" i="1" s="1"/>
  <c r="G49" i="5"/>
  <c r="F58" i="5"/>
  <c r="J7" i="13"/>
  <c r="J11" i="13" s="1"/>
  <c r="J12" i="13" s="1"/>
  <c r="J13" i="13" s="1"/>
  <c r="R37" i="1"/>
  <c r="K46" i="5"/>
  <c r="R38" i="1" s="1"/>
  <c r="I52" i="14"/>
  <c r="I61" i="14" s="1"/>
  <c r="I60" i="14" s="1"/>
  <c r="K19" i="13"/>
  <c r="K23" i="13" s="1"/>
  <c r="K37" i="13"/>
  <c r="K41" i="13" s="1"/>
  <c r="K24" i="13"/>
  <c r="K31" i="13"/>
  <c r="L3" i="13"/>
  <c r="K5" i="13"/>
  <c r="K9" i="13"/>
  <c r="K6" i="13"/>
  <c r="J14" i="14"/>
  <c r="J15" i="14" s="1"/>
  <c r="J16" i="14" s="1"/>
  <c r="J52" i="14" s="1"/>
  <c r="J61" i="14" s="1"/>
  <c r="J60" i="14" s="1"/>
  <c r="I12" i="5"/>
  <c r="P15" i="2"/>
  <c r="J35" i="14"/>
  <c r="L6" i="14"/>
  <c r="K40" i="14"/>
  <c r="T5" i="15" s="1"/>
  <c r="K22" i="14"/>
  <c r="K27" i="14"/>
  <c r="K12" i="14"/>
  <c r="K8" i="14"/>
  <c r="K9" i="14"/>
  <c r="K59" i="14"/>
  <c r="K34" i="14"/>
  <c r="L20" i="13"/>
  <c r="L35" i="13"/>
  <c r="L45" i="13"/>
  <c r="L46" i="13" s="1"/>
  <c r="L36" i="13"/>
  <c r="L38" i="13"/>
  <c r="I49" i="13"/>
  <c r="I51" i="13" s="1"/>
  <c r="I52" i="13" s="1"/>
  <c r="I55" i="13" s="1"/>
  <c r="C18" i="13"/>
  <c r="C23" i="13" s="1"/>
  <c r="C33" i="13" s="1"/>
  <c r="C55" i="13" s="1"/>
  <c r="I50" i="14"/>
  <c r="H54" i="14"/>
  <c r="H55" i="14" s="1"/>
  <c r="H21" i="14" s="1"/>
  <c r="K7" i="5"/>
  <c r="R8" i="2"/>
  <c r="Q9" i="7"/>
  <c r="P7" i="9"/>
  <c r="J11" i="5"/>
  <c r="R10" i="2"/>
  <c r="P6" i="7"/>
  <c r="J32" i="13"/>
  <c r="J33" i="13" s="1"/>
  <c r="S7" i="15"/>
  <c r="S6" i="15"/>
  <c r="S7" i="2"/>
  <c r="L45" i="5"/>
  <c r="L38" i="5"/>
  <c r="S29" i="1" s="1"/>
  <c r="R13" i="6" s="1"/>
  <c r="L36" i="5"/>
  <c r="S27" i="1" s="1"/>
  <c r="R12" i="6" s="1"/>
  <c r="L21" i="13"/>
  <c r="L24" i="14"/>
  <c r="L35" i="5"/>
  <c r="K41" i="5"/>
  <c r="R32" i="1" s="1"/>
  <c r="Q14" i="6" s="1"/>
  <c r="R26" i="1"/>
  <c r="L8" i="9"/>
  <c r="M12" i="7"/>
  <c r="L10" i="9" s="1"/>
  <c r="J33" i="5"/>
  <c r="Q23" i="1" s="1"/>
  <c r="P46" i="1"/>
  <c r="O10" i="6"/>
  <c r="O16" i="6" s="1"/>
  <c r="K23" i="5"/>
  <c r="R13" i="1" s="1"/>
  <c r="L5" i="5"/>
  <c r="L20" i="5"/>
  <c r="L21" i="5"/>
  <c r="S10" i="1" s="1"/>
  <c r="K35" i="14" l="1"/>
  <c r="L9" i="14"/>
  <c r="L7" i="14"/>
  <c r="K7" i="13"/>
  <c r="K11" i="13" s="1"/>
  <c r="S9" i="1"/>
  <c r="R8" i="6" s="1"/>
  <c r="K32" i="13"/>
  <c r="L32" i="5"/>
  <c r="S22" i="1" s="1"/>
  <c r="Q7" i="9"/>
  <c r="R9" i="7"/>
  <c r="P7" i="7"/>
  <c r="P8" i="7"/>
  <c r="O6" i="9" s="1"/>
  <c r="K10" i="14"/>
  <c r="K14" i="14" s="1"/>
  <c r="K15" i="14" s="1"/>
  <c r="K16" i="14" s="1"/>
  <c r="K52" i="14" s="1"/>
  <c r="J12" i="5"/>
  <c r="Q15" i="2"/>
  <c r="K33" i="13"/>
  <c r="L41" i="5"/>
  <c r="S32" i="1" s="1"/>
  <c r="R14" i="6" s="1"/>
  <c r="S26" i="1"/>
  <c r="J50" i="14"/>
  <c r="I54" i="14"/>
  <c r="I55" i="14" s="1"/>
  <c r="I21" i="14" s="1"/>
  <c r="S37" i="1"/>
  <c r="L46" i="5"/>
  <c r="S38" i="1" s="1"/>
  <c r="L27" i="14"/>
  <c r="L34" i="14"/>
  <c r="L40" i="14"/>
  <c r="U5" i="15" s="1"/>
  <c r="L8" i="14"/>
  <c r="L59" i="14"/>
  <c r="L12" i="14"/>
  <c r="L22" i="14"/>
  <c r="J49" i="13"/>
  <c r="J51" i="13" s="1"/>
  <c r="J52" i="13" s="1"/>
  <c r="J55" i="13" s="1"/>
  <c r="L7" i="5"/>
  <c r="S8" i="2"/>
  <c r="T6" i="15"/>
  <c r="T7" i="15"/>
  <c r="K44" i="14"/>
  <c r="K80" i="14" s="1"/>
  <c r="K11" i="5"/>
  <c r="S10" i="2"/>
  <c r="Q6" i="7"/>
  <c r="Q7" i="7" s="1"/>
  <c r="Q8" i="7" s="1"/>
  <c r="P6" i="9" s="1"/>
  <c r="K12" i="13"/>
  <c r="K13" i="13"/>
  <c r="K49" i="13" s="1"/>
  <c r="K51" i="13" s="1"/>
  <c r="K52" i="13" s="1"/>
  <c r="K55" i="13" s="1"/>
  <c r="H26" i="14"/>
  <c r="H36" i="14" s="1"/>
  <c r="H57" i="14" s="1"/>
  <c r="H74" i="14"/>
  <c r="H76" i="14" s="1"/>
  <c r="K61" i="14"/>
  <c r="K60" i="14" s="1"/>
  <c r="I13" i="5"/>
  <c r="P17" i="2" s="1"/>
  <c r="P16" i="2"/>
  <c r="L9" i="13"/>
  <c r="L24" i="13"/>
  <c r="L6" i="13"/>
  <c r="L19" i="13"/>
  <c r="L23" i="13" s="1"/>
  <c r="L5" i="13"/>
  <c r="L7" i="13" s="1"/>
  <c r="L11" i="13" s="1"/>
  <c r="L31" i="13"/>
  <c r="L37" i="13"/>
  <c r="L41" i="13" s="1"/>
  <c r="H49" i="5"/>
  <c r="G58" i="5"/>
  <c r="N10" i="7"/>
  <c r="O17" i="6"/>
  <c r="O10" i="7" s="1"/>
  <c r="Q46" i="1"/>
  <c r="P10" i="6"/>
  <c r="P16" i="6" s="1"/>
  <c r="P17" i="6" s="1"/>
  <c r="P10" i="7" s="1"/>
  <c r="K33" i="5"/>
  <c r="R23" i="1" s="1"/>
  <c r="L23" i="5"/>
  <c r="S13" i="1" s="1"/>
  <c r="L39" i="14" l="1"/>
  <c r="L38" i="14"/>
  <c r="L23" i="14"/>
  <c r="L48" i="14"/>
  <c r="L49" i="14" s="1"/>
  <c r="L41" i="14"/>
  <c r="J13" i="5"/>
  <c r="Q17" i="2" s="1"/>
  <c r="Q16" i="2"/>
  <c r="R6" i="7"/>
  <c r="R7" i="7" s="1"/>
  <c r="R8" i="7" s="1"/>
  <c r="Q6" i="9" s="1"/>
  <c r="L11" i="5"/>
  <c r="I26" i="14"/>
  <c r="I36" i="14" s="1"/>
  <c r="I57" i="14" s="1"/>
  <c r="I74" i="14"/>
  <c r="I76" i="14" s="1"/>
  <c r="I49" i="5"/>
  <c r="H58" i="5"/>
  <c r="L35" i="14"/>
  <c r="L12" i="13"/>
  <c r="L13" i="13" s="1"/>
  <c r="L49" i="13" s="1"/>
  <c r="L51" i="13" s="1"/>
  <c r="L52" i="13" s="1"/>
  <c r="L10" i="14"/>
  <c r="Q18" i="9" s="1"/>
  <c r="K50" i="14"/>
  <c r="J54" i="14"/>
  <c r="J55" i="14" s="1"/>
  <c r="J21" i="14" s="1"/>
  <c r="L32" i="13"/>
  <c r="L33" i="13" s="1"/>
  <c r="K12" i="5"/>
  <c r="R15" i="2"/>
  <c r="U6" i="15"/>
  <c r="U7" i="15"/>
  <c r="L44" i="14"/>
  <c r="L80" i="14" s="1"/>
  <c r="R46" i="1"/>
  <c r="Q10" i="6"/>
  <c r="Q16" i="6" s="1"/>
  <c r="Q17" i="6" s="1"/>
  <c r="Q10" i="7" s="1"/>
  <c r="O8" i="9"/>
  <c r="P12" i="7"/>
  <c r="O10" i="9" s="1"/>
  <c r="L33" i="5"/>
  <c r="S23" i="1" s="1"/>
  <c r="N8" i="9"/>
  <c r="O12" i="7"/>
  <c r="N10" i="9" s="1"/>
  <c r="M8" i="9"/>
  <c r="N12" i="7"/>
  <c r="M10" i="9" s="1"/>
  <c r="L14" i="14" l="1"/>
  <c r="L55" i="13"/>
  <c r="K13" i="5"/>
  <c r="R17" i="2" s="1"/>
  <c r="R16" i="2"/>
  <c r="K54" i="14"/>
  <c r="K55" i="14" s="1"/>
  <c r="K21" i="14" s="1"/>
  <c r="L50" i="14"/>
  <c r="L12" i="5"/>
  <c r="S15" i="2"/>
  <c r="L15" i="14"/>
  <c r="L16" i="14" s="1"/>
  <c r="L52" i="14" s="1"/>
  <c r="L61" i="14" s="1"/>
  <c r="L60" i="14" s="1"/>
  <c r="J49" i="5"/>
  <c r="I58" i="5"/>
  <c r="J26" i="14"/>
  <c r="J36" i="14" s="1"/>
  <c r="J57" i="14" s="1"/>
  <c r="J74" i="14"/>
  <c r="J76" i="14" s="1"/>
  <c r="R10" i="6"/>
  <c r="R16" i="6" s="1"/>
  <c r="R17" i="6" s="1"/>
  <c r="R10" i="7" s="1"/>
  <c r="S46" i="1"/>
  <c r="P8" i="9"/>
  <c r="Q12" i="7"/>
  <c r="P10" i="9" s="1"/>
  <c r="K49" i="5" l="1"/>
  <c r="J58" i="5"/>
  <c r="L13" i="5"/>
  <c r="S17" i="2" s="1"/>
  <c r="S16" i="2"/>
  <c r="L54" i="14"/>
  <c r="L55" i="14" s="1"/>
  <c r="L21" i="14" s="1"/>
  <c r="K26" i="14"/>
  <c r="K36" i="14" s="1"/>
  <c r="K57" i="14" s="1"/>
  <c r="K74" i="14"/>
  <c r="K76" i="14" s="1"/>
  <c r="Q8" i="9"/>
  <c r="R12" i="7"/>
  <c r="Q10" i="9" s="1"/>
  <c r="B19" i="9" l="1"/>
  <c r="Q13" i="9"/>
  <c r="L26" i="14"/>
  <c r="L36" i="14" s="1"/>
  <c r="L57" i="14" s="1"/>
  <c r="L74" i="14"/>
  <c r="L76" i="14" s="1"/>
  <c r="K58" i="5"/>
  <c r="L49" i="5"/>
  <c r="L58" i="5" s="1"/>
  <c r="B15" i="9" l="1"/>
  <c r="Q15" i="9"/>
  <c r="B20" i="9"/>
  <c r="B21" i="9" s="1"/>
  <c r="E19" i="9" s="1"/>
  <c r="R24" i="9" s="1"/>
  <c r="D51" i="5"/>
  <c r="D52" i="5" s="1"/>
  <c r="D54" i="5" s="1"/>
  <c r="B16" i="9" l="1"/>
  <c r="K44" i="1"/>
  <c r="K43" i="1"/>
  <c r="D57" i="5"/>
  <c r="E51" i="5"/>
  <c r="E52" i="5" s="1"/>
  <c r="E54" i="5" s="1"/>
  <c r="F47" i="5"/>
  <c r="M39" i="1" s="1"/>
  <c r="B17" i="9" l="1"/>
  <c r="E15" i="9" s="1"/>
  <c r="H24" i="9" s="1"/>
  <c r="L44" i="1"/>
  <c r="L43" i="1"/>
  <c r="E57" i="5"/>
  <c r="F51" i="5"/>
  <c r="F52" i="5" s="1"/>
  <c r="F54" i="5" s="1"/>
  <c r="G47" i="5"/>
  <c r="N39" i="1" s="1"/>
  <c r="M43" i="1" l="1"/>
  <c r="M44" i="1"/>
  <c r="H47" i="5"/>
  <c r="O39" i="1" s="1"/>
  <c r="G51" i="5"/>
  <c r="G52" i="5" s="1"/>
  <c r="G54" i="5" s="1"/>
  <c r="F57" i="5"/>
  <c r="N43" i="1" l="1"/>
  <c r="N44" i="1"/>
  <c r="G57" i="5"/>
  <c r="I47" i="5"/>
  <c r="P39" i="1" s="1"/>
  <c r="H51" i="5"/>
  <c r="H52" i="5" s="1"/>
  <c r="H54" i="5" s="1"/>
  <c r="O43" i="1" l="1"/>
  <c r="O44" i="1"/>
  <c r="H57" i="5"/>
  <c r="I51" i="5"/>
  <c r="I52" i="5" s="1"/>
  <c r="I54" i="5" s="1"/>
  <c r="J47" i="5"/>
  <c r="Q39" i="1" s="1"/>
  <c r="P43" i="1" l="1"/>
  <c r="P44" i="1"/>
  <c r="K47" i="5"/>
  <c r="R39" i="1" s="1"/>
  <c r="J51" i="5"/>
  <c r="J52" i="5" s="1"/>
  <c r="J54" i="5" s="1"/>
  <c r="I57" i="5"/>
  <c r="Q43" i="1" l="1"/>
  <c r="Q44" i="1"/>
  <c r="J57" i="5"/>
  <c r="K51" i="5"/>
  <c r="K52" i="5" s="1"/>
  <c r="K54" i="5" s="1"/>
  <c r="L47" i="5"/>
  <c r="L51" i="5" l="1"/>
  <c r="L52" i="5" s="1"/>
  <c r="L54" i="5" s="1"/>
  <c r="S39" i="1"/>
  <c r="R43" i="1"/>
  <c r="R44" i="1"/>
  <c r="L57" i="5"/>
  <c r="K57" i="5"/>
  <c r="S43" i="1" l="1"/>
  <c r="S44" i="1"/>
  <c r="C57" i="5"/>
  <c r="J39" i="1" l="1"/>
  <c r="C51" i="5"/>
  <c r="C52" i="5" s="1"/>
  <c r="C54" i="5" s="1"/>
  <c r="J43" i="1" l="1"/>
  <c r="J44" i="1" l="1"/>
</calcChain>
</file>

<file path=xl/sharedStrings.xml><?xml version="1.0" encoding="utf-8"?>
<sst xmlns="http://schemas.openxmlformats.org/spreadsheetml/2006/main" count="973" uniqueCount="482">
  <si>
    <t>DECKERS OUTDOOR CORPORATION AND SUBSIDIARIES</t>
  </si>
  <si>
    <t>CONSOLIDATED BALANCE SHEETS</t>
  </si>
  <si>
    <t>(amounts in thousands, except par value, As of March 31)</t>
  </si>
  <si>
    <t xml:space="preserve">Historical </t>
  </si>
  <si>
    <t>Historical</t>
  </si>
  <si>
    <t>Projected</t>
  </si>
  <si>
    <t>ASSETS</t>
  </si>
  <si>
    <t xml:space="preserve">Cash and cash equivalents </t>
  </si>
  <si>
    <t>Trade accounts receivable, net of allowances</t>
  </si>
  <si>
    <t xml:space="preserve">Inventories </t>
  </si>
  <si>
    <t xml:space="preserve">Prepaid expenses </t>
  </si>
  <si>
    <t xml:space="preserve">Other current assets </t>
  </si>
  <si>
    <t xml:space="preserve">Income tax receivable </t>
  </si>
  <si>
    <t xml:space="preserve">Total current assets </t>
  </si>
  <si>
    <t>PPE gross</t>
  </si>
  <si>
    <t>Depreciation</t>
  </si>
  <si>
    <t>PPE net</t>
  </si>
  <si>
    <t>Assumption: Already calculated in PPE Gross. Derived from PPE gross minus accumulated depreciation.</t>
  </si>
  <si>
    <t xml:space="preserve">Operating lease assets </t>
  </si>
  <si>
    <t>Goodwill</t>
  </si>
  <si>
    <t>Other intangible assets, net of accumulated amortization</t>
  </si>
  <si>
    <t>Deferred tax assets, net</t>
  </si>
  <si>
    <t>Assumption: Non-operating; timing difference in taxes. Often excluded in operating asset base for ROIC/valuation.</t>
  </si>
  <si>
    <t xml:space="preserve">Other non-current assets </t>
  </si>
  <si>
    <t>Total Non-current Assets</t>
  </si>
  <si>
    <t xml:space="preserve">Total assets </t>
  </si>
  <si>
    <t>LIABILITIES AND STOCKHOLDERS' EQUITY</t>
  </si>
  <si>
    <t>Short-term borrowings</t>
  </si>
  <si>
    <t xml:space="preserve">Trade accounts payable </t>
  </si>
  <si>
    <t xml:space="preserve">Accrued payroll </t>
  </si>
  <si>
    <t>Operating lease liabilities</t>
  </si>
  <si>
    <t xml:space="preserve">Other accrued expenses </t>
  </si>
  <si>
    <t xml:space="preserve">Income tax payable </t>
  </si>
  <si>
    <t xml:space="preserve">Value added tax payable </t>
  </si>
  <si>
    <t xml:space="preserve">Total current liabilities </t>
  </si>
  <si>
    <t>Long-term operating lease liabilities</t>
  </si>
  <si>
    <t>Mortgage Payable</t>
  </si>
  <si>
    <t xml:space="preserve">Income tax liability </t>
  </si>
  <si>
    <t>Assumption: Non-operating; timing difference.</t>
  </si>
  <si>
    <t>Deferred rent obligations</t>
  </si>
  <si>
    <t>Assumption: Obsolete under ASC 842 unless separate.</t>
  </si>
  <si>
    <t xml:space="preserve">Other long-term liabilities </t>
  </si>
  <si>
    <t xml:space="preserve">Total liabilities </t>
  </si>
  <si>
    <t>Common stock ($0.01 par value; 125,000 shares authorized)</t>
  </si>
  <si>
    <t xml:space="preserve">Additional paid-in capital </t>
  </si>
  <si>
    <t xml:space="preserve">Retained earnings </t>
  </si>
  <si>
    <t xml:space="preserve">Accumulated other comprehensive loss (Note 10) </t>
  </si>
  <si>
    <t>Assumption: Relates to unrealized gains/losses; non-cash, non-operating.</t>
  </si>
  <si>
    <t xml:space="preserve">Total stockholders' equity </t>
  </si>
  <si>
    <t xml:space="preserve">Total liabilities and stockholders' equity </t>
  </si>
  <si>
    <t>NWC</t>
  </si>
  <si>
    <t>Balance Sheet Drivers</t>
  </si>
  <si>
    <t>Projection</t>
  </si>
  <si>
    <t>Commentary:</t>
  </si>
  <si>
    <t>Year</t>
  </si>
  <si>
    <t>Assets</t>
  </si>
  <si>
    <t>Days Sales Outstanding</t>
  </si>
  <si>
    <t>For ease of projection we are estimating that days of sales outstanding will be 60 going forward as it has been declining over the past several years</t>
  </si>
  <si>
    <t>Days Inventory Held</t>
  </si>
  <si>
    <t>For ease of projection we are estimating that days of inventory will be 80 as it has been declining over the past several years</t>
  </si>
  <si>
    <t>Prepaid &amp; Other (% of COGS)</t>
  </si>
  <si>
    <t>Averaging 5.17%, this remains consistent with long-term historical norms, indicating no major operational shifts.</t>
  </si>
  <si>
    <t>Operating Lease Right-of-Use Assets</t>
  </si>
  <si>
    <t>Averaged 214,882.5 reflects gradual amortization of lease assets over time without significant new lease additions.</t>
  </si>
  <si>
    <t>Constant at $13,990, reflecting an assumption of no new acquisitions or goodwill impairment.</t>
  </si>
  <si>
    <t>Other Non-Current Assets (% of Sales)</t>
  </si>
  <si>
    <t>Average of 1.25% is aligned with the historical range, suggesting no expected structural change in other long-term asset composition.</t>
  </si>
  <si>
    <t>Depreciation(% of PPE Gross)</t>
  </si>
  <si>
    <t>Steady at 54.78%, indicating a stable depreciation schedule and asset replacement cycle.</t>
  </si>
  <si>
    <t>PPE Gross (% of Sales)</t>
  </si>
  <si>
    <t>Averaging 16.90%, suggesting consistent capital investment relative to revenue.</t>
  </si>
  <si>
    <t>Liabilities</t>
  </si>
  <si>
    <t>Current Portion of LT Debt</t>
  </si>
  <si>
    <t>Average of 204,296.0 reflects consistent annual amortization without significant refinancing or new debt issuance.</t>
  </si>
  <si>
    <t>Current Portion of Lease Liabilities (% of LT Lease Liabilities)</t>
  </si>
  <si>
    <t>Stable at 25.66%, providing predictability for short-term lease obligations.</t>
  </si>
  <si>
    <t>Days Payable</t>
  </si>
  <si>
    <t>Averaging 66.9 days, slightly below 2025 levels, indicating moderately faster payments to suppliers.</t>
  </si>
  <si>
    <t>Accrued Payroll (% of COGS)</t>
  </si>
  <si>
    <t>Average of 5.21% falls in the middle of historical values, reflecting steady payroll accrual practices.</t>
  </si>
  <si>
    <t>Other Accrued Expenses (% of COGS)</t>
  </si>
  <si>
    <t>Averaging 5.48%, slightly above recent lows but within normal operating variance.</t>
  </si>
  <si>
    <t>Operating Lease Liabilities (% of Operating Lease Right of Use Assets)</t>
  </si>
  <si>
    <t>At 23.85%, consistent with historical patterns, indicating a stable lease liability profile.</t>
  </si>
  <si>
    <t>Operating Lease Liabilities (% of Sales)</t>
  </si>
  <si>
    <t>Averaging 1.58%, reflecting minimal leverage from operating leases relative to revenue.</t>
  </si>
  <si>
    <t>Deferred Income Tax Liabilities (% of Goodwill)</t>
  </si>
  <si>
    <t>Average of 364.53% is significantly lower than historical highs, consistent with the assumption of no new acquisitions.</t>
  </si>
  <si>
    <t>Other Long Term Liabilities (% of COGS)</t>
  </si>
  <si>
    <t>Average of 1.88% suggests stable long-term obligations with no significant changes expected.</t>
  </si>
  <si>
    <t>Accumulated, Comprehensive &amp; Other Income</t>
  </si>
  <si>
    <t>CONSOLIDATED STATEMENTS OF COMPREHENSIVE INCOME</t>
  </si>
  <si>
    <t>(dollar and share data amounts in thousands, except per share data)</t>
  </si>
  <si>
    <t>Net sales</t>
  </si>
  <si>
    <t>Cost of Sales</t>
  </si>
  <si>
    <t>Gross Profit</t>
  </si>
  <si>
    <t>Selling, general, and administrative expenses</t>
  </si>
  <si>
    <t>EBIT, Income from operations</t>
  </si>
  <si>
    <t>Interest income</t>
  </si>
  <si>
    <t>Assumption: Other income, net is excluded from the pro forma projections because it consists primarily of non-operating and non-recurring items (e.g., foreign currency gains/losses, asset sale gains/losses). These items are not reflective of the company’s ongoing operations and are immaterial relative to total EBIT.</t>
  </si>
  <si>
    <t xml:space="preserve">Interest expense </t>
  </si>
  <si>
    <t>Other income, net</t>
  </si>
  <si>
    <t>Assumption: Other income excluded due to immateriality and non-recurring nature.</t>
  </si>
  <si>
    <t>Total other (income) expense, net</t>
  </si>
  <si>
    <t>EBT, Income before income taxes</t>
  </si>
  <si>
    <t>Income tax expense</t>
  </si>
  <si>
    <t>Net Income</t>
  </si>
  <si>
    <t>Other comprehensive (loss) income, net of tax</t>
  </si>
  <si>
    <t>Unrealized loss on cash flow hedges</t>
  </si>
  <si>
    <t>Foreign currency translation (loss) gain</t>
  </si>
  <si>
    <t>Total other comprehensive (loss) income, net of tax</t>
  </si>
  <si>
    <t xml:space="preserve">Comprehensive income </t>
  </si>
  <si>
    <t>Net income per share</t>
  </si>
  <si>
    <t>Basic</t>
  </si>
  <si>
    <t>Diluted</t>
  </si>
  <si>
    <t>Weighted-average common shares outstanding</t>
  </si>
  <si>
    <t>Income Statement Drivers</t>
  </si>
  <si>
    <t xml:space="preserve">Historical Average </t>
  </si>
  <si>
    <t>Commentary</t>
  </si>
  <si>
    <t>Sales Growth</t>
  </si>
  <si>
    <t>We are making the assumption that growth rate will stablize to 5% at the end of of our projection for ease of TV calculations</t>
  </si>
  <si>
    <t>COGS Growth</t>
  </si>
  <si>
    <t>SGA Growth</t>
  </si>
  <si>
    <t>COGS (% of Sales)</t>
  </si>
  <si>
    <t>SG&amp;A (% of Sales)</t>
  </si>
  <si>
    <t>Tax Rate</t>
  </si>
  <si>
    <t>Net Income (% of Sales)</t>
  </si>
  <si>
    <t>Interest Expense (% of Sales)</t>
  </si>
  <si>
    <t>Operating Income (% of Sales)</t>
  </si>
  <si>
    <t>Gross Profit (% of Sales)</t>
  </si>
  <si>
    <t>Cash (% of sales)</t>
  </si>
  <si>
    <t>CONSOLIDATED STATEMENTS OF CASH FLOWS</t>
  </si>
  <si>
    <t>(dollar and share data amounts in thousands)</t>
  </si>
  <si>
    <t>OPERATING ACTIVITIES</t>
  </si>
  <si>
    <t>Net income</t>
  </si>
  <si>
    <t>Reconciliation of net income to net cash provided by (used in) operating activities:</t>
  </si>
  <si>
    <t>Depreciation, amortization, and accretion</t>
  </si>
  <si>
    <t xml:space="preserve">Amortization on cloud computing arrangements </t>
  </si>
  <si>
    <t>-</t>
  </si>
  <si>
    <t xml:space="preserve">Loss on extinguishment of debt </t>
  </si>
  <si>
    <t xml:space="preserve">Bad debt expense (benefit) </t>
  </si>
  <si>
    <t xml:space="preserve">Deferred tax benefit </t>
  </si>
  <si>
    <t xml:space="preserve">Stock-based compensation </t>
  </si>
  <si>
    <t>Excess tax benefit from stock based compensation</t>
  </si>
  <si>
    <t xml:space="preserve">Loss on disposal of long-lived assets </t>
  </si>
  <si>
    <t xml:space="preserve">Impairment of intangible assets </t>
  </si>
  <si>
    <t xml:space="preserve">Impairment of operating lease and other long-lived assets </t>
  </si>
  <si>
    <t xml:space="preserve">Gain on settlement of asset retirement obligations </t>
  </si>
  <si>
    <t>Changes in operating assets and liabilities:</t>
  </si>
  <si>
    <t xml:space="preserve">Trade accounts receivable, net </t>
  </si>
  <si>
    <t xml:space="preserve">Prepaid expenses and other current assets </t>
  </si>
  <si>
    <t xml:space="preserve">Net operating lease assets and lease liabilities </t>
  </si>
  <si>
    <t xml:space="preserve">Other assets </t>
  </si>
  <si>
    <t xml:space="preserve">Net cash provided by operating activities </t>
  </si>
  <si>
    <t>INVESTING ACTIVITIES</t>
  </si>
  <si>
    <t xml:space="preserve">Purchases of property and equipment </t>
  </si>
  <si>
    <t xml:space="preserve">Proceeds from sales of property and equipment </t>
  </si>
  <si>
    <t xml:space="preserve">Net cash used in investing activities </t>
  </si>
  <si>
    <t>FINANCING ACTIVITIES</t>
  </si>
  <si>
    <t xml:space="preserve">Proceeds from short-term borrowings </t>
  </si>
  <si>
    <t xml:space="preserve">Repayments of short-term borrowings </t>
  </si>
  <si>
    <t xml:space="preserve">Loan origination costs on revolving credit facilities </t>
  </si>
  <si>
    <t xml:space="preserve">Proceeds from issuance of stock </t>
  </si>
  <si>
    <t xml:space="preserve">Proceeds from exercise of stock options </t>
  </si>
  <si>
    <t xml:space="preserve">Repurchases of common stock </t>
  </si>
  <si>
    <t xml:space="preserve">Cash paid for excise taxes related to repurchases of common stock </t>
  </si>
  <si>
    <t xml:space="preserve">Cash paid for shares withheld for taxes </t>
  </si>
  <si>
    <t xml:space="preserve">Repayments of mortgage principal </t>
  </si>
  <si>
    <t xml:space="preserve">Net cash used in financing activities </t>
  </si>
  <si>
    <t xml:space="preserve">Effect of foreign currency exchange rates on cash and cash
equivalents </t>
  </si>
  <si>
    <t xml:space="preserve">Net change in cash and cash equivalents </t>
  </si>
  <si>
    <t xml:space="preserve">Cash and cash equivalents at beginning of period </t>
  </si>
  <si>
    <t xml:space="preserve">Cash and cash equivalents at end of period </t>
  </si>
  <si>
    <t>SUPPLEMENTAL CASH FLOW DISCLOSURE</t>
  </si>
  <si>
    <t>Cash paid during the period</t>
  </si>
  <si>
    <t xml:space="preserve">Income taxes, net of refunds of $1,421, $77, and $1,564, as of March 31,
2023, 2022, and 2021, respectively </t>
  </si>
  <si>
    <t>Interest</t>
  </si>
  <si>
    <t xml:space="preserve">Operating leases </t>
  </si>
  <si>
    <t>Non-cash investing activities</t>
  </si>
  <si>
    <t xml:space="preserve">Change in accounts payable and other accrued expenses for purchases
of property and equipment </t>
  </si>
  <si>
    <t xml:space="preserve">Accrued for asset retirement obligation assets related to leasehold
improvements </t>
  </si>
  <si>
    <t xml:space="preserve">Leasehold improvements acquired through tenant allowances </t>
  </si>
  <si>
    <t>Non-cash financing activities</t>
  </si>
  <si>
    <t xml:space="preserve">Accrued for shares withheld for taxes </t>
  </si>
  <si>
    <t xml:space="preserve">Accrued excise taxes related to repurchases of common stock </t>
  </si>
  <si>
    <t>Income Statement (in thousands of dollars)</t>
  </si>
  <si>
    <t>EBIT, Earnings before interest &amp; taxes</t>
  </si>
  <si>
    <t xml:space="preserve"> EBT, Income before income taxes</t>
  </si>
  <si>
    <t>Balance Sheet (in thousands of dollars)</t>
  </si>
  <si>
    <t>Prepaid expenses &amp; Other Current Assets</t>
  </si>
  <si>
    <t>Non-operating; reflects timing of tax refunds, not a recurring operating driver. Including it complicates projections without improving accuracy.</t>
  </si>
  <si>
    <t>Non-operating; timing difference in taxes. Often excluded in operating asset base for ROIC/valuation.</t>
  </si>
  <si>
    <t>Non-operating liability; reflects timing of tax payments.</t>
  </si>
  <si>
    <t>Government tax pass-through, not part of operations profitably.</t>
  </si>
  <si>
    <t>Non-operating; timing difference.</t>
  </si>
  <si>
    <t>Obsolete under ASC 842 unless separate.</t>
  </si>
  <si>
    <t xml:space="preserve">Total Long Term liabilities </t>
  </si>
  <si>
    <t>Relates to unrealized gains/losses; non-cash, non-operating.</t>
  </si>
  <si>
    <t>Difference needed to balance</t>
  </si>
  <si>
    <t>Min cash balance</t>
  </si>
  <si>
    <t>Planned debt repayment</t>
  </si>
  <si>
    <t>External Financing Needed (EFN)</t>
  </si>
  <si>
    <t>What a Shortfall Means</t>
  </si>
  <si>
    <t>What a Surplus Means</t>
  </si>
  <si>
    <r>
      <t>EFN &gt; 0</t>
    </r>
    <r>
      <rPr>
        <sz val="10"/>
        <color rgb="FF000000"/>
        <rFont val="Arial"/>
        <family val="2"/>
        <scheme val="minor"/>
      </rPr>
      <t xml:space="preserve"> (positive number)</t>
    </r>
  </si>
  <si>
    <r>
      <t>EFN &lt; 0</t>
    </r>
    <r>
      <rPr>
        <sz val="10"/>
        <color rgb="FF000000"/>
        <rFont val="Arial"/>
        <family val="2"/>
        <scheme val="minor"/>
      </rPr>
      <t xml:space="preserve"> (negative number)</t>
    </r>
  </si>
  <si>
    <r>
      <t xml:space="preserve">Your company </t>
    </r>
    <r>
      <rPr>
        <b/>
        <sz val="10"/>
        <color rgb="FF000000"/>
        <rFont val="Arial"/>
        <family val="2"/>
        <scheme val="minor"/>
      </rPr>
      <t>needs additional external financing</t>
    </r>
    <r>
      <rPr>
        <sz val="10"/>
        <color rgb="FF000000"/>
        <rFont val="Arial"/>
        <family val="2"/>
        <scheme val="minor"/>
      </rPr>
      <t xml:space="preserve"> (debt, equity, or other) to support the projected growth.</t>
    </r>
  </si>
  <si>
    <r>
      <t xml:space="preserve">Your company has </t>
    </r>
    <r>
      <rPr>
        <b/>
        <sz val="10"/>
        <color rgb="FF000000"/>
        <rFont val="Arial"/>
        <family val="2"/>
        <scheme val="minor"/>
      </rPr>
      <t>excess financing — more internal funds than needed</t>
    </r>
    <r>
      <rPr>
        <sz val="10"/>
        <color rgb="FF000000"/>
        <rFont val="Arial"/>
        <family val="2"/>
        <scheme val="minor"/>
      </rPr>
      <t>.</t>
    </r>
  </si>
  <si>
    <r>
      <t xml:space="preserve">It means the internally generated funds plus spontaneous liabilities are </t>
    </r>
    <r>
      <rPr>
        <b/>
        <sz val="10"/>
        <color rgb="FF000000"/>
        <rFont val="Arial"/>
        <family val="2"/>
        <scheme val="minor"/>
      </rPr>
      <t>not enough</t>
    </r>
    <r>
      <rPr>
        <sz val="10"/>
        <color rgb="FF000000"/>
        <rFont val="Arial"/>
        <family val="2"/>
        <scheme val="minor"/>
      </rPr>
      <t xml:space="preserve"> to finance the new assets required for the growth.</t>
    </r>
  </si>
  <si>
    <t>The firm can potentially pay down debt, repurchase stock, or increase dividends since it doesn’t need external funds to support growth.</t>
  </si>
  <si>
    <t>first change: current liabilities were not added to total liabilites and stockholders equity</t>
  </si>
  <si>
    <t>We have to make an assumption with goodwill as it has practically doubled from 2022 to 2025</t>
  </si>
  <si>
    <t>Operating leases cant stay consistent also</t>
  </si>
  <si>
    <t xml:space="preserve">CONSOLIDATED PRO FORMA </t>
  </si>
  <si>
    <t>Income Statement Projection</t>
  </si>
  <si>
    <t>Balance Sheet Projection</t>
  </si>
  <si>
    <t>Assumption: Non-operating; reflects timing of tax refunds, not a recurring operating driver. Including it complicates projections without improving accuracy.</t>
  </si>
  <si>
    <t>Assumption: Non-operating liability; reflects timing of tax payments.</t>
  </si>
  <si>
    <t>Assumption: Government tax pass-through, not part of operations profitably.</t>
  </si>
  <si>
    <r>
      <t>EFN &gt; 0</t>
    </r>
    <r>
      <rPr>
        <sz val="11"/>
        <color rgb="FF000000"/>
        <rFont val="Arial"/>
        <family val="2"/>
        <scheme val="minor"/>
      </rPr>
      <t xml:space="preserve"> (positive number)</t>
    </r>
  </si>
  <si>
    <r>
      <t>EFN &lt; 0</t>
    </r>
    <r>
      <rPr>
        <sz val="11"/>
        <color rgb="FF000000"/>
        <rFont val="Arial"/>
        <family val="2"/>
        <scheme val="minor"/>
      </rPr>
      <t xml:space="preserve"> (negative number)</t>
    </r>
  </si>
  <si>
    <r>
      <rPr>
        <sz val="11"/>
        <color rgb="FF000000"/>
        <rFont val="Arial"/>
        <family val="2"/>
      </rPr>
      <t xml:space="preserve">Company </t>
    </r>
    <r>
      <rPr>
        <b/>
        <sz val="11"/>
        <color rgb="FF000000"/>
        <rFont val="Arial"/>
        <family val="2"/>
      </rPr>
      <t>needs additional external financing</t>
    </r>
    <r>
      <rPr>
        <sz val="11"/>
        <color rgb="FF000000"/>
        <rFont val="Arial"/>
        <family val="2"/>
      </rPr>
      <t xml:space="preserve"> (debt, equity, or other) to support the projected growth.</t>
    </r>
  </si>
  <si>
    <r>
      <rPr>
        <sz val="11"/>
        <color rgb="FF000000"/>
        <rFont val="Arial"/>
        <family val="2"/>
      </rPr>
      <t xml:space="preserve">Company has </t>
    </r>
    <r>
      <rPr>
        <b/>
        <sz val="11"/>
        <color rgb="FF000000"/>
        <rFont val="Arial"/>
        <family val="2"/>
      </rPr>
      <t>excess financing: more internal funds than needed</t>
    </r>
    <r>
      <rPr>
        <sz val="11"/>
        <color rgb="FF000000"/>
        <rFont val="Arial"/>
        <family val="2"/>
      </rPr>
      <t>.</t>
    </r>
  </si>
  <si>
    <r>
      <t xml:space="preserve">It means the internally generated funds plus spontaneous liabilities are </t>
    </r>
    <r>
      <rPr>
        <b/>
        <sz val="11"/>
        <color rgb="FF000000"/>
        <rFont val="Arial"/>
        <family val="2"/>
        <scheme val="minor"/>
      </rPr>
      <t>not enough</t>
    </r>
    <r>
      <rPr>
        <sz val="11"/>
        <color rgb="FF000000"/>
        <rFont val="Arial"/>
        <family val="2"/>
        <scheme val="minor"/>
      </rPr>
      <t xml:space="preserve"> to finance the new assets required for the growth.</t>
    </r>
  </si>
  <si>
    <t>NET DEBT</t>
  </si>
  <si>
    <t>RETURN ON DEBT</t>
  </si>
  <si>
    <t>Plug into cash</t>
  </si>
  <si>
    <t>NET WORKING CAPITAL</t>
  </si>
  <si>
    <t>Inventories</t>
  </si>
  <si>
    <t>Cash and cash equivalents</t>
  </si>
  <si>
    <t>Total Current Assets</t>
  </si>
  <si>
    <t>Accrued payroll</t>
  </si>
  <si>
    <t>Other accrued expenses</t>
  </si>
  <si>
    <t>Total Current Liabilities</t>
  </si>
  <si>
    <t>Net Working Capital (Total current assets – Total current liabilities)</t>
  </si>
  <si>
    <t>Working Capital</t>
  </si>
  <si>
    <t>Increase in Net Working Capital</t>
  </si>
  <si>
    <t>CAPITAL EXPENDITURE</t>
  </si>
  <si>
    <t>(dollar and share data amounts in thousands, assume fixed asset turnover is constant)</t>
  </si>
  <si>
    <t>change in PPE net</t>
  </si>
  <si>
    <t>CAPEX</t>
  </si>
  <si>
    <t>FREE CASH FLOW</t>
  </si>
  <si>
    <t>EBIT</t>
  </si>
  <si>
    <t>Taxes (35%)</t>
  </si>
  <si>
    <t>Unlevered Net Income</t>
  </si>
  <si>
    <t>Depreciation (+)</t>
  </si>
  <si>
    <t>Increase in NWC (-)</t>
  </si>
  <si>
    <t>Capital Expenditure (-)</t>
  </si>
  <si>
    <t>Free Cash Flow To Firm</t>
  </si>
  <si>
    <t> </t>
  </si>
  <si>
    <t>Planned Debt and Interest Payment</t>
  </si>
  <si>
    <t>Debt and Interest Table ($ 000)</t>
  </si>
  <si>
    <t>Outstanding Debt</t>
  </si>
  <si>
    <t>Interest Term Loan</t>
  </si>
  <si>
    <t>Net Borrowing</t>
  </si>
  <si>
    <t>Interest Rate Assumption: Taken out the 10K the mid-point between 6.43% and 8.5%</t>
  </si>
  <si>
    <t>COST OF CAPITAL</t>
  </si>
  <si>
    <t>DECKER'S CORP</t>
  </si>
  <si>
    <t>DECK</t>
  </si>
  <si>
    <t>Firm</t>
  </si>
  <si>
    <t>Ticker</t>
  </si>
  <si>
    <t>Current Share Price</t>
  </si>
  <si>
    <t>Shares Outstanding (in thousand)</t>
  </si>
  <si>
    <t>Debt</t>
  </si>
  <si>
    <t>Equity</t>
  </si>
  <si>
    <t>E/D+E</t>
  </si>
  <si>
    <t>D/D+E</t>
  </si>
  <si>
    <t>βE</t>
  </si>
  <si>
    <t>βU</t>
  </si>
  <si>
    <t>Sketchers</t>
  </si>
  <si>
    <t>SKX</t>
  </si>
  <si>
    <t>Crocs</t>
  </si>
  <si>
    <t>CROX</t>
  </si>
  <si>
    <t>V.F. Corporation</t>
  </si>
  <si>
    <t>VFC</t>
  </si>
  <si>
    <t>Nike</t>
  </si>
  <si>
    <t>NIKE</t>
  </si>
  <si>
    <t>Average βU</t>
  </si>
  <si>
    <t>Decker's βU</t>
  </si>
  <si>
    <t>Rf</t>
  </si>
  <si>
    <t>Rm - Rf</t>
  </si>
  <si>
    <t>Unlevered R</t>
  </si>
  <si>
    <t>Tax</t>
  </si>
  <si>
    <t>D/(D+E)</t>
  </si>
  <si>
    <t>Rd</t>
  </si>
  <si>
    <t>WACC</t>
  </si>
  <si>
    <t>Price (USD)</t>
  </si>
  <si>
    <t>Shares Outstanding (thousands)</t>
  </si>
  <si>
    <t>Debt (USD billions)</t>
  </si>
  <si>
    <t>Equity (USD billions)</t>
  </si>
  <si>
    <t>E/(D+E)</t>
  </si>
  <si>
    <t>Skechers (SKX)</t>
  </si>
  <si>
    <t>~18.8*</t>
  </si>
  <si>
    <t>~89.3%</t>
  </si>
  <si>
    <t>~10.7%</t>
  </si>
  <si>
    <t>Puma (PMMAF/PUM)</t>
  </si>
  <si>
    <t>—</t>
  </si>
  <si>
    <t>~44.7%</t>
  </si>
  <si>
    <t>~55.3%</t>
  </si>
  <si>
    <t>Crocs (CROX)</t>
  </si>
  <si>
    <t>~51%</t>
  </si>
  <si>
    <t>~49%</t>
  </si>
  <si>
    <t>V.F. Corp (VFC)</t>
  </si>
  <si>
    <t>Current Share Price Source</t>
  </si>
  <si>
    <t>Shares Outstanding Source</t>
  </si>
  <si>
    <t>Debt / Total Debt Source</t>
  </si>
  <si>
    <t>Equity (Book Value) Source</t>
  </si>
  <si>
    <t>Debt-to-Equity Source</t>
  </si>
  <si>
    <t>Real-time price</t>
  </si>
  <si>
    <r>
      <t>149.60 M shares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</si>
  <si>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r>
      <t>Total debt $2.25 B (mrq) (</t>
    </r>
    <r>
      <rPr>
        <u/>
        <sz val="10"/>
        <color rgb="FF1155CC"/>
        <rFont val="Arial"/>
        <family val="2"/>
        <scheme val="major"/>
      </rPr>
      <t>Yahoo Finance</t>
    </r>
    <r>
      <rPr>
        <sz val="10"/>
        <color rgb="FF000000"/>
        <rFont val="Arial"/>
        <family val="2"/>
        <scheme val="major"/>
      </rPr>
      <t>)</t>
    </r>
  </si>
  <si>
    <r>
      <t>Shareholders' equity $4.512 B (quarterly) (</t>
    </r>
    <r>
      <rPr>
        <u/>
        <sz val="10"/>
        <color rgb="FF1155CC"/>
        <rFont val="Arial"/>
        <family val="2"/>
        <scheme val="major"/>
      </rPr>
      <t>YCharts</t>
    </r>
    <r>
      <rPr>
        <sz val="10"/>
        <color rgb="FF000000"/>
        <rFont val="Arial"/>
        <family val="2"/>
        <scheme val="major"/>
      </rPr>
      <t>)</t>
    </r>
  </si>
  <si>
    <r>
      <t>Debt/Equity ≈ 0.42 (StockAnalysis)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</si>
  <si>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t>Puma (PMMAF / PUM)</t>
  </si>
  <si>
    <t>— (not retrieved via finance tool)</t>
  </si>
  <si>
    <r>
      <t>147.14 M shares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</si>
  <si>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r>
      <t>Total debt €3.03 B (StockAnalysis)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</si>
  <si>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r>
      <t>Equity €2.47 B (StockAnalysis)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</si>
  <si>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r>
      <t>Debt/Equity ≈ 1.23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>)</t>
    </r>
  </si>
  <si>
    <r>
      <t>54.62 M shares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YCharts</t>
    </r>
    <r>
      <rPr>
        <sz val="10"/>
        <color rgb="FF000000"/>
        <rFont val="Arial"/>
        <family val="2"/>
        <scheme val="major"/>
      </rPr>
      <t>)</t>
    </r>
  </si>
  <si>
    <r>
      <t>Debt/Equity data (mrq) ~124.8% (</t>
    </r>
    <r>
      <rPr>
        <u/>
        <sz val="10"/>
        <color rgb="FF1155CC"/>
        <rFont val="Arial"/>
        <family val="2"/>
        <scheme val="major"/>
      </rPr>
      <t>Yahoo Finance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Seeking Alpha</t>
    </r>
    <r>
      <rPr>
        <sz val="10"/>
        <color rgb="FF000000"/>
        <rFont val="Arial"/>
        <family val="2"/>
        <scheme val="major"/>
      </rPr>
      <t>)</t>
    </r>
  </si>
  <si>
    <r>
      <t>Equity (implied from total equity $1.42 B) (</t>
    </r>
    <r>
      <rPr>
        <u/>
        <sz val="10"/>
        <color rgb="FF1155CC"/>
        <rFont val="Arial"/>
        <family val="2"/>
        <scheme val="major"/>
      </rPr>
      <t>AlphaQuery</t>
    </r>
    <r>
      <rPr>
        <sz val="10"/>
        <color rgb="FF000000"/>
        <rFont val="Arial"/>
        <family val="2"/>
        <scheme val="major"/>
      </rPr>
      <t>)</t>
    </r>
  </si>
  <si>
    <r>
      <t>Debt/Equity ≈ 1.25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GuruFocus</t>
    </r>
    <r>
      <rPr>
        <sz val="10"/>
        <color rgb="FF000000"/>
        <rFont val="Arial"/>
        <family val="2"/>
        <scheme val="major"/>
      </rPr>
      <t>)</t>
    </r>
  </si>
  <si>
    <t>V.F. Corporation (VFC)</t>
  </si>
  <si>
    <r>
      <t>390.62 M shares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Yahoo Finance</t>
    </r>
    <r>
      <rPr>
        <sz val="10"/>
        <color rgb="FF000000"/>
        <rFont val="Arial"/>
        <family val="2"/>
        <scheme val="major"/>
      </rPr>
      <t>)</t>
    </r>
  </si>
  <si>
    <r>
      <t>Debt/Equity 4.39 (StockAnalysis / GuruFocus)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GuruFocus</t>
    </r>
    <r>
      <rPr>
        <sz val="10"/>
        <color rgb="FF000000"/>
        <rFont val="Arial"/>
        <family val="2"/>
        <scheme val="major"/>
      </rPr>
      <t>)</t>
    </r>
  </si>
  <si>
    <r>
      <t>Equity ~ $1.29 B (derived via sources) (</t>
    </r>
    <r>
      <rPr>
        <u/>
        <sz val="10"/>
        <color rgb="FF1155CC"/>
        <rFont val="Arial"/>
        <family val="2"/>
        <scheme val="major"/>
      </rPr>
      <t>GuruFocus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Zacks</t>
    </r>
    <r>
      <rPr>
        <sz val="10"/>
        <color rgb="FF000000"/>
        <rFont val="Arial"/>
        <family val="2"/>
        <scheme val="major"/>
      </rPr>
      <t>)</t>
    </r>
  </si>
  <si>
    <r>
      <t>Debt/Equity ≈ 4.39 (</t>
    </r>
    <r>
      <rPr>
        <u/>
        <sz val="10"/>
        <color rgb="FF1155CC"/>
        <rFont val="Arial"/>
        <family val="2"/>
        <scheme val="major"/>
      </rPr>
      <t>StockAnalysis</t>
    </r>
    <r>
      <rPr>
        <sz val="10"/>
        <color rgb="FF000000"/>
        <rFont val="Arial"/>
        <family val="2"/>
        <scheme val="major"/>
      </rPr>
      <t xml:space="preserve">, </t>
    </r>
    <r>
      <rPr>
        <u/>
        <sz val="10"/>
        <color rgb="FF1155CC"/>
        <rFont val="Arial"/>
        <family val="2"/>
        <scheme val="major"/>
      </rPr>
      <t>GuruFocus</t>
    </r>
    <r>
      <rPr>
        <sz val="10"/>
        <color rgb="FF000000"/>
        <rFont val="Arial"/>
        <family val="2"/>
        <scheme val="major"/>
      </rPr>
      <t>)</t>
    </r>
  </si>
  <si>
    <t>look at market value of equity: size of the firm</t>
  </si>
  <si>
    <t>what percent sales are in person stores vs online</t>
  </si>
  <si>
    <t>mix of wholesale vs retail</t>
  </si>
  <si>
    <t>avg debt to equity over 5 years</t>
  </si>
  <si>
    <t>Equity (E) = Market capitalization = Current share price × Number of shares outstanding</t>
  </si>
  <si>
    <t>share counts</t>
  </si>
  <si>
    <t xml:space="preserve"> Debt to Equity Ratio</t>
  </si>
  <si>
    <t>% Sales Wholesale v DTC</t>
  </si>
  <si>
    <t>Wholesale</t>
  </si>
  <si>
    <t>DTC</t>
  </si>
  <si>
    <t>Deckers</t>
  </si>
  <si>
    <t>Puma</t>
  </si>
  <si>
    <t>FINAL VALUATION USING DCF</t>
  </si>
  <si>
    <t>Discount Factor</t>
  </si>
  <si>
    <t>Using the Dividend Discount Model Method</t>
  </si>
  <si>
    <t>TV</t>
  </si>
  <si>
    <t>Share Price</t>
  </si>
  <si>
    <t>EV</t>
  </si>
  <si>
    <t>E</t>
  </si>
  <si>
    <t>Using EV/EBITDA exit multiple</t>
  </si>
  <si>
    <t>KKP NPV</t>
  </si>
  <si>
    <t>Sensitivity Analysis</t>
  </si>
  <si>
    <t>Shares Outstanding (In thousands)</t>
  </si>
  <si>
    <t>Growth Rate</t>
  </si>
  <si>
    <t>Exit Multiple</t>
  </si>
  <si>
    <t>Total Debt</t>
  </si>
  <si>
    <t>Taken from screenshot below</t>
  </si>
  <si>
    <t>EV/EBITDA</t>
  </si>
  <si>
    <t>Wacc</t>
  </si>
  <si>
    <t>Lease Obligation</t>
  </si>
  <si>
    <t>g</t>
  </si>
  <si>
    <t>Beta</t>
  </si>
  <si>
    <t>Assumptions</t>
  </si>
  <si>
    <t>Income Statement Line Item</t>
  </si>
  <si>
    <t>Include in Pro Forma?</t>
  </si>
  <si>
    <t>Reasoning</t>
  </si>
  <si>
    <t>Yes</t>
  </si>
  <si>
    <t>Primary revenue driver; all operating projections start here.</t>
  </si>
  <si>
    <t>Tied to sales via gross margin or COGS % of sales; key for projecting gross profit.</t>
  </si>
  <si>
    <t>Calculated from sales − COGS; no need to directly project.</t>
  </si>
  <si>
    <t>Major operating expense; usually modeled as % of sales.</t>
  </si>
  <si>
    <t>Income from operations</t>
  </si>
  <si>
    <t>Derived from gross profit − SG&amp;A; no direct projection.</t>
  </si>
  <si>
    <t>No (for FCFF)</t>
  </si>
  <si>
    <t>Non-operating; comes from excess cash &amp; investments. Ignored in core operating forecast unless you are doing a full cash + debt schedule.</t>
  </si>
  <si>
    <t>Interest expense</t>
  </si>
  <si>
    <t>Financing cost; excluded from unlevered free cash flow because FCFF is before debt service.</t>
  </si>
  <si>
    <t>No</t>
  </si>
  <si>
    <t>Usually non-recurring, non-operating gains/losses (asset sales, legal settlements). Unless a consistent recurring item, exclude.</t>
  </si>
  <si>
    <t>Aggregates non-operating items (above two lines); excluded from FCFF.</t>
  </si>
  <si>
    <t>Income before income taxes</t>
  </si>
  <si>
    <t>Derived figure; not directly projected.</t>
  </si>
  <si>
    <t>Yes (effective tax rate)</t>
  </si>
  <si>
    <r>
      <t xml:space="preserve">Apply effective tax rate to </t>
    </r>
    <r>
      <rPr>
        <i/>
        <sz val="11"/>
        <color rgb="FF000000"/>
        <rFont val="Arial"/>
        <family val="2"/>
        <scheme val="minor"/>
      </rPr>
      <t>EBIT</t>
    </r>
    <r>
      <rPr>
        <sz val="11"/>
        <color rgb="FF000000"/>
        <rFont val="Arial"/>
        <family val="2"/>
        <scheme val="minor"/>
      </rPr>
      <t xml:space="preserve"> to get after-tax operating income (NOPAT) in FCFF model.</t>
    </r>
  </si>
  <si>
    <t>Calculated after taxes, interest, and other income; in FCFF we back into it, not project directly.</t>
  </si>
  <si>
    <t>Bypasses the income statement; non-operating gains/losses (hedging, FX adjustments).</t>
  </si>
  <si>
    <t>Non-operating OCI item.</t>
  </si>
  <si>
    <t>OCI summary, excluded from operating projections.</t>
  </si>
  <si>
    <t>Comprehensive income</t>
  </si>
  <si>
    <t>Includes OCI; not part of operating projection.</t>
  </si>
  <si>
    <t>Net income per share (Basic &amp; Diluted)</t>
  </si>
  <si>
    <t>No (calculated later)</t>
  </si>
  <si>
    <t>Valuation models don’t require EPS in the projection; computed after NI if needed.</t>
  </si>
  <si>
    <t>Weighted-average common shares outstanding (Basic &amp; Diluted)</t>
  </si>
  <si>
    <t>No (unless doing per-share valuation)</t>
  </si>
  <si>
    <t>Not part of operating projections; only needed for EPS or per-share equity value.</t>
  </si>
  <si>
    <t>Balance Sheet Asset Line Item</t>
  </si>
  <si>
    <t>Yes (as a balancing figure in the BS, not driver in FCFF)</t>
  </si>
  <si>
    <t>Needed to complete the balance sheet. Not part of operating assets in valuation, but important for reconciling equity value.</t>
  </si>
  <si>
    <t>Trade accounts receivable</t>
  </si>
  <si>
    <t>Directly tied to sales via Days Sales Outstanding (DSO). Key for projecting working capital changes.</t>
  </si>
  <si>
    <t>Tied to cost of goods sold (COGS) via Days Inventory Held (DIH). Drives working capital needs.</t>
  </si>
  <si>
    <t>Prepaid expenses</t>
  </si>
  <si>
    <t>Usually projected as % of COGS. Operating current asset.</t>
  </si>
  <si>
    <t>Other current assets</t>
  </si>
  <si>
    <t>Often modeled as % of sales. Includes items necessary for operations.</t>
  </si>
  <si>
    <t>Income tax receivable</t>
  </si>
  <si>
    <t>No (can exclude for FCFF modeling)</t>
  </si>
  <si>
    <t>Total current assets</t>
  </si>
  <si>
    <t>Sum of current asset components you keep.</t>
  </si>
  <si>
    <t>Needed for CapEx projections and depreciation schedule.</t>
  </si>
  <si>
    <t>Yes (as part of projection assumptions, not a BS item)</t>
  </si>
  <si>
    <t>Used for cash flow reconciliation and PPE roll-forward.</t>
  </si>
  <si>
    <t>Derived from PPE gross minus accumulated depreciation.</t>
  </si>
  <si>
    <t>Operating lease assets</t>
  </si>
  <si>
    <t>Required under ASC 842; tied to lease liabilities; treated as operating asset.</t>
  </si>
  <si>
    <t>Yes (fixed unless acquisition)</t>
  </si>
  <si>
    <t>Intangible but part of total invested capital. Usually held constant unless modeling acquisitions.</t>
  </si>
  <si>
    <t>Other intangible assets, net</t>
  </si>
  <si>
    <t>Often amortized; may decline over time.</t>
  </si>
  <si>
    <t>Other assets</t>
  </si>
  <si>
    <t>Typically modeled as % of sales.</t>
  </si>
  <si>
    <t>Sum of above non-current assets you include.</t>
  </si>
  <si>
    <t>Total assets</t>
  </si>
  <si>
    <t>Sum of current + non-current assets.</t>
  </si>
  <si>
    <t>Balance Sheet Liability and Equity Item</t>
  </si>
  <si>
    <t>Yes (if any outstanding)</t>
  </si>
  <si>
    <t>Part of financing; needed for net debt calc.</t>
  </si>
  <si>
    <t>Trade accounts payable</t>
  </si>
  <si>
    <t>Operating liability tied to COGS via Days Payable Outstanding (DPO).</t>
  </si>
  <si>
    <t>Operating liability; can project as % of COGS or sales.</t>
  </si>
  <si>
    <t>Matched to operating lease assets.</t>
  </si>
  <si>
    <t>Operating liability; project as % of COGS.</t>
  </si>
  <si>
    <t>Income tax payable</t>
  </si>
  <si>
    <t>Value added tax payable</t>
  </si>
  <si>
    <t>Total current liabilities</t>
  </si>
  <si>
    <t>Sum of included current liabilities.</t>
  </si>
  <si>
    <t>Required to match operating lease assets; flows from lease amortization schedule.</t>
  </si>
  <si>
    <t>Yes (if material)</t>
  </si>
  <si>
    <t>Financing liability; affects net debt, not FCFF.</t>
  </si>
  <si>
    <t>Income tax liability</t>
  </si>
  <si>
    <t>No (often rolled into lease liabilities under new rules)</t>
  </si>
  <si>
    <t>Other long-term liabilities</t>
  </si>
  <si>
    <t>If tied to operations (e.g., pension obligations); model as % of COGS if recurring.</t>
  </si>
  <si>
    <t>Total liabilities</t>
  </si>
  <si>
    <t>Sum of above included liabilities.</t>
  </si>
  <si>
    <t>Common stock</t>
  </si>
  <si>
    <t>Yes (fixed unless issuing shares)</t>
  </si>
  <si>
    <t>Part of equity section; not driver of operations.</t>
  </si>
  <si>
    <t>Additional paid-in capital</t>
  </si>
  <si>
    <t>Needed to reconcile equity; not a driver in FCFF.</t>
  </si>
  <si>
    <t>Retained earnings</t>
  </si>
  <si>
    <t>Yes (changes with net income)</t>
  </si>
  <si>
    <t>Tracks cumulative profit.</t>
  </si>
  <si>
    <t>Accumulated other comprehensive loss</t>
  </si>
  <si>
    <t>No (not part of operations projection)</t>
  </si>
  <si>
    <t>Total stockholders' equity</t>
  </si>
  <si>
    <t>Sum of equity accounts.</t>
  </si>
  <si>
    <t>Total liabilities and stockholders' equity</t>
  </si>
  <si>
    <t>Sum of liabilities + equity.</t>
  </si>
  <si>
    <t>Sources:</t>
  </si>
  <si>
    <t>https://home.treasury.gov/resource-center/data-chart-center/interest-rates/TextView?type=daily_treasury_yield_curve&amp;field_tdr_date_value_month=202508</t>
  </si>
  <si>
    <t>https://pages.stern.nyu.edu/~adamodar/</t>
  </si>
  <si>
    <t>https://finance.yahoo.com/quote/DECK/</t>
  </si>
  <si>
    <r>
      <t>149.60 M shares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</si>
  <si>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Total debt $2.25 B (mrq) (</t>
    </r>
    <r>
      <rPr>
        <u/>
        <sz val="11"/>
        <color rgb="FF1155CC"/>
        <rFont val="Arial"/>
        <family val="2"/>
        <scheme val="major"/>
      </rPr>
      <t>Yahoo Finance</t>
    </r>
    <r>
      <rPr>
        <sz val="11"/>
        <color rgb="FF000000"/>
        <rFont val="Arial"/>
        <family val="2"/>
        <scheme val="major"/>
      </rPr>
      <t>)</t>
    </r>
  </si>
  <si>
    <r>
      <t>Shareholders' equity $4.512 B (quarterly) (</t>
    </r>
    <r>
      <rPr>
        <u/>
        <sz val="11"/>
        <color rgb="FF1155CC"/>
        <rFont val="Arial"/>
        <family val="2"/>
        <scheme val="major"/>
      </rPr>
      <t>YCharts</t>
    </r>
    <r>
      <rPr>
        <sz val="11"/>
        <color rgb="FF000000"/>
        <rFont val="Arial"/>
        <family val="2"/>
        <scheme val="major"/>
      </rPr>
      <t>)</t>
    </r>
  </si>
  <si>
    <r>
      <t>Debt/Equity ≈ 0.42 (StockAnalysis)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</si>
  <si>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147.14 M shares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</si>
  <si>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Total debt €3.03 B (StockAnalysis)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</si>
  <si>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Equity €2.47 B (StockAnalysis)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</si>
  <si>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Debt/Equity ≈ 1.23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>)</t>
    </r>
  </si>
  <si>
    <r>
      <t>54.62 M shares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YCharts</t>
    </r>
    <r>
      <rPr>
        <sz val="11"/>
        <color rgb="FF000000"/>
        <rFont val="Arial"/>
        <family val="2"/>
        <scheme val="major"/>
      </rPr>
      <t>)</t>
    </r>
  </si>
  <si>
    <r>
      <t>Debt/Equity data (mrq) ~124.8% (</t>
    </r>
    <r>
      <rPr>
        <u/>
        <sz val="11"/>
        <color rgb="FF1155CC"/>
        <rFont val="Arial"/>
        <family val="2"/>
        <scheme val="major"/>
      </rPr>
      <t>Yahoo Finance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Seeking Alpha</t>
    </r>
    <r>
      <rPr>
        <sz val="11"/>
        <color rgb="FF000000"/>
        <rFont val="Arial"/>
        <family val="2"/>
        <scheme val="major"/>
      </rPr>
      <t>)</t>
    </r>
  </si>
  <si>
    <r>
      <t>Equity (implied from total equity $1.42 B) (</t>
    </r>
    <r>
      <rPr>
        <u/>
        <sz val="11"/>
        <color rgb="FF1155CC"/>
        <rFont val="Arial"/>
        <family val="2"/>
        <scheme val="major"/>
      </rPr>
      <t>AlphaQuery</t>
    </r>
    <r>
      <rPr>
        <sz val="11"/>
        <color rgb="FF000000"/>
        <rFont val="Arial"/>
        <family val="2"/>
        <scheme val="major"/>
      </rPr>
      <t>)</t>
    </r>
  </si>
  <si>
    <r>
      <t>Debt/Equity ≈ 1.25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GuruFocus</t>
    </r>
    <r>
      <rPr>
        <sz val="11"/>
        <color rgb="FF000000"/>
        <rFont val="Arial"/>
        <family val="2"/>
        <scheme val="major"/>
      </rPr>
      <t>)</t>
    </r>
  </si>
  <si>
    <r>
      <t>390.62 M shares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Yahoo Finance</t>
    </r>
    <r>
      <rPr>
        <sz val="11"/>
        <color rgb="FF000000"/>
        <rFont val="Arial"/>
        <family val="2"/>
        <scheme val="major"/>
      </rPr>
      <t>)</t>
    </r>
  </si>
  <si>
    <r>
      <t>Debt/Equity 4.39 (StockAnalysis / GuruFocus)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GuruFocus</t>
    </r>
    <r>
      <rPr>
        <sz val="11"/>
        <color rgb="FF000000"/>
        <rFont val="Arial"/>
        <family val="2"/>
        <scheme val="major"/>
      </rPr>
      <t>)</t>
    </r>
  </si>
  <si>
    <r>
      <t>Equity ~ $1.29 B (derived via sources) (</t>
    </r>
    <r>
      <rPr>
        <u/>
        <sz val="11"/>
        <color rgb="FF1155CC"/>
        <rFont val="Arial"/>
        <family val="2"/>
        <scheme val="major"/>
      </rPr>
      <t>GuruFocus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Zacks</t>
    </r>
    <r>
      <rPr>
        <sz val="11"/>
        <color rgb="FF000000"/>
        <rFont val="Arial"/>
        <family val="2"/>
        <scheme val="major"/>
      </rPr>
      <t>)</t>
    </r>
  </si>
  <si>
    <r>
      <t>Debt/Equity ≈ 4.39 (</t>
    </r>
    <r>
      <rPr>
        <u/>
        <sz val="11"/>
        <color rgb="FF1155CC"/>
        <rFont val="Arial"/>
        <family val="2"/>
        <scheme val="major"/>
      </rPr>
      <t>StockAnalysis</t>
    </r>
    <r>
      <rPr>
        <sz val="11"/>
        <color rgb="FF000000"/>
        <rFont val="Arial"/>
        <family val="2"/>
        <scheme val="major"/>
      </rPr>
      <t xml:space="preserve">, </t>
    </r>
    <r>
      <rPr>
        <u/>
        <sz val="11"/>
        <color rgb="FF1155CC"/>
        <rFont val="Arial"/>
        <family val="2"/>
        <scheme val="major"/>
      </rPr>
      <t>GuruFocus</t>
    </r>
    <r>
      <rPr>
        <sz val="11"/>
        <color rgb="FF000000"/>
        <rFont val="Arial"/>
        <family val="2"/>
        <scheme val="major"/>
      </rPr>
      <t>)</t>
    </r>
  </si>
  <si>
    <t>Comps validation</t>
  </si>
  <si>
    <t>Presented by: Felipe Schmidt, Faisal Hidayah, Shaira Katuwal, Vaishnavi Ramesh</t>
  </si>
  <si>
    <t>This model is a comprehensive valuation of Deckers Outdoor Corporation, focusing on its financial health, growth prospects, and intrinsic value. We'll present our investment recommendation based on a detailed DCF analysis, highlighting key assumptions and sensitivity insights.</t>
  </si>
  <si>
    <t>Valuation on : Deckers Outdoor (DECK): Initiating Coverage - BUY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</si>
</sst>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.0_);_(@_)"/>
    <numFmt numFmtId="166" formatCode="&quot;$&quot;#,##0.00"/>
    <numFmt numFmtId="167" formatCode="&quot;$&quot;#,##0"/>
    <numFmt numFmtId="168" formatCode="_(* #,##0.0_);_(* \(#,##0.0\);_(* &quot;-&quot;?_);_(@_)"/>
    <numFmt numFmtId="169" formatCode="0.0%"/>
    <numFmt numFmtId="170" formatCode="_(* #,##0_);_(* \(#,##0\);_(* &quot;-&quot;?_);_(@_)"/>
    <numFmt numFmtId="171" formatCode="_([$$-409]* #,##0.00_);_([$$-409]* \(#,##0.00\);_([$$-409]* &quot;-&quot;??_);_(@_)"/>
    <numFmt numFmtId="172" formatCode="_(* #,##0_);_(* \(#,##0\);_(* &quot;-&quot;??_);_(@_)"/>
    <numFmt numFmtId="173" formatCode="_([$$-409]* #,##0_);_([$$-409]* \(#,##0\);_([$$-409]* &quot;-&quot;??_);_(@_)"/>
    <numFmt numFmtId="174" formatCode="0.0"/>
  </numFmts>
  <fonts count="9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rgb="FF808080"/>
      <name val="Arial"/>
      <family val="2"/>
      <scheme val="minor"/>
    </font>
    <font>
      <sz val="12"/>
      <color rgb="FF1F497D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641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Arial"/>
      <family val="2"/>
    </font>
    <font>
      <sz val="10"/>
      <color rgb="FF1B1B1B"/>
      <name val="Arial"/>
      <family val="2"/>
      <scheme val="major"/>
    </font>
    <font>
      <b/>
      <sz val="10"/>
      <name val="Arial"/>
      <family val="2"/>
    </font>
    <font>
      <sz val="14"/>
      <name val="Times New Roman"/>
      <family val="1"/>
    </font>
    <font>
      <sz val="14"/>
      <color rgb="FF0070C0"/>
      <name val="Times New Roman"/>
      <family val="1"/>
    </font>
    <font>
      <b/>
      <sz val="13.5"/>
      <color rgb="FF00000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4"/>
      <color rgb="FFFFFFFF"/>
      <name val="Times New Roman"/>
      <family val="1"/>
    </font>
    <font>
      <sz val="14"/>
      <color rgb="FF808080"/>
      <name val="Times New Roman"/>
      <family val="1"/>
    </font>
    <font>
      <sz val="14"/>
      <color rgb="FF000000"/>
      <name val="Times New Roman"/>
      <family val="1"/>
    </font>
    <font>
      <b/>
      <sz val="10"/>
      <color theme="0"/>
      <name val="Arial"/>
      <family val="2"/>
      <scheme val="minor"/>
    </font>
    <font>
      <b/>
      <sz val="11"/>
      <color theme="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theme="0"/>
      <name val="Arial"/>
      <family val="2"/>
      <scheme val="major"/>
    </font>
    <font>
      <b/>
      <sz val="11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b/>
      <sz val="12"/>
      <name val="Arial"/>
      <family val="2"/>
    </font>
    <font>
      <b/>
      <sz val="16"/>
      <color rgb="FF49495A"/>
      <name val="Open Sans"/>
      <charset val="1"/>
    </font>
    <font>
      <sz val="11"/>
      <color rgb="FF242424"/>
      <name val="Aptos Narrow"/>
    </font>
    <font>
      <b/>
      <sz val="11"/>
      <color theme="0"/>
      <name val="Aptos Narrow"/>
    </font>
    <font>
      <b/>
      <sz val="11"/>
      <color rgb="FF000000"/>
      <name val="Arial"/>
      <family val="2"/>
      <scheme val="major"/>
    </font>
    <font>
      <b/>
      <sz val="11"/>
      <color rgb="FF354C52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354C52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sz val="11"/>
      <color theme="4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 (Body)"/>
    </font>
    <font>
      <b/>
      <sz val="11"/>
      <color rgb="FFFF0000"/>
      <name val="Arial (Body)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  <scheme val="minor"/>
    </font>
    <font>
      <b/>
      <sz val="11"/>
      <color theme="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1"/>
      <color rgb="FF232A31"/>
      <name val="Arial"/>
      <family val="2"/>
      <scheme val="major"/>
    </font>
    <font>
      <sz val="12"/>
      <color rgb="FF1F497D"/>
      <name val="Arial"/>
      <family val="2"/>
      <scheme val="major"/>
    </font>
    <font>
      <sz val="12"/>
      <color rgb="FF000000"/>
      <name val="Arial"/>
      <family val="2"/>
      <scheme val="major"/>
    </font>
    <font>
      <u/>
      <sz val="11"/>
      <color rgb="FF0000FF"/>
      <name val="Arial"/>
      <family val="2"/>
      <scheme val="major"/>
    </font>
    <font>
      <u/>
      <sz val="10"/>
      <color theme="10"/>
      <name val="Arial"/>
      <family val="2"/>
      <scheme val="major"/>
    </font>
    <font>
      <sz val="10"/>
      <color rgb="FF232A31"/>
      <name val="Arial"/>
      <family val="2"/>
      <scheme val="major"/>
    </font>
    <font>
      <b/>
      <sz val="10"/>
      <color rgb="FF000000"/>
      <name val="Arial"/>
      <family val="2"/>
      <scheme val="major"/>
    </font>
    <font>
      <u/>
      <sz val="10"/>
      <color rgb="FF0000FF"/>
      <name val="Arial"/>
      <family val="2"/>
      <scheme val="major"/>
    </font>
    <font>
      <u/>
      <sz val="10"/>
      <color rgb="FF1155CC"/>
      <name val="Arial"/>
      <family val="2"/>
      <scheme val="major"/>
    </font>
    <font>
      <sz val="10"/>
      <color theme="1"/>
      <name val="Arial"/>
      <family val="2"/>
      <scheme val="major"/>
    </font>
    <font>
      <b/>
      <sz val="12"/>
      <color theme="0"/>
      <name val="Arial"/>
      <family val="2"/>
      <scheme val="major"/>
    </font>
    <font>
      <b/>
      <sz val="12"/>
      <color rgb="FF000000"/>
      <name val="Arial"/>
      <family val="2"/>
      <scheme val="major"/>
    </font>
    <font>
      <b/>
      <sz val="12"/>
      <color rgb="FFFF0000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theme="0"/>
      <name val="Arial"/>
      <family val="2"/>
    </font>
    <font>
      <i/>
      <sz val="11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1"/>
      <color rgb="FF0000FF"/>
      <name val="Arial"/>
      <family val="2"/>
    </font>
    <font>
      <b/>
      <sz val="11"/>
      <color rgb="FF000000"/>
      <name val="Arial"/>
      <family val="2"/>
      <scheme val="major"/>
    </font>
    <font>
      <u/>
      <sz val="11"/>
      <color rgb="FF1155CC"/>
      <name val="Arial"/>
      <family val="2"/>
      <scheme val="major"/>
    </font>
    <font>
      <b/>
      <sz val="11"/>
      <color theme="1"/>
      <name val="Arial"/>
      <family val="2"/>
      <scheme val="major"/>
    </font>
    <font>
      <sz val="17"/>
      <color rgb="FF393848"/>
      <name val="Helvetica"/>
      <family val="2"/>
    </font>
    <font>
      <sz val="18"/>
      <color theme="0"/>
      <name val="Arial"/>
      <family val="2"/>
      <scheme val="minor"/>
    </font>
    <font>
      <sz val="18"/>
      <color theme="0"/>
      <name val="Helvetica"/>
      <family val="2"/>
    </font>
  </fonts>
  <fills count="2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4.9989318521683403E-2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0090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354C5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</fills>
  <borders count="4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0" fontId="14" fillId="0" borderId="0" applyNumberFormat="0" applyFill="0" applyBorder="0" applyAlignment="0" applyProtection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34" fillId="0" borderId="0" applyFont="0" applyFill="0" applyBorder="0" applyAlignment="0" applyProtection="0"/>
  </cellStyleXfs>
  <cellXfs count="600">
    <xf numFmtId="0" fontId="0" fillId="0" borderId="0" xfId="0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164" fontId="6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/>
    <xf numFmtId="0" fontId="5" fillId="0" borderId="0" xfId="0" applyFont="1"/>
    <xf numFmtId="0" fontId="7" fillId="0" borderId="0" xfId="0" applyFont="1"/>
    <xf numFmtId="0" fontId="8" fillId="5" borderId="11" xfId="0" applyFont="1" applyFill="1" applyBorder="1" applyAlignment="1">
      <alignment horizontal="right"/>
    </xf>
    <xf numFmtId="0" fontId="8" fillId="5" borderId="12" xfId="0" applyFont="1" applyFill="1" applyBorder="1" applyAlignment="1">
      <alignment horizontal="right"/>
    </xf>
    <xf numFmtId="0" fontId="12" fillId="0" borderId="0" xfId="0" applyFont="1"/>
    <xf numFmtId="0" fontId="7" fillId="0" borderId="0" xfId="0" applyFont="1" applyAlignment="1">
      <alignment horizontal="center"/>
    </xf>
    <xf numFmtId="164" fontId="6" fillId="0" borderId="18" xfId="0" applyNumberFormat="1" applyFont="1" applyBorder="1"/>
    <xf numFmtId="0" fontId="12" fillId="8" borderId="0" xfId="0" applyFont="1" applyFill="1"/>
    <xf numFmtId="0" fontId="11" fillId="0" borderId="0" xfId="0" applyFont="1"/>
    <xf numFmtId="164" fontId="6" fillId="0" borderId="26" xfId="0" applyNumberFormat="1" applyFont="1" applyBorder="1"/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3" fontId="13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0" fontId="3" fillId="0" borderId="4" xfId="0" applyFont="1" applyBorder="1" applyAlignment="1">
      <alignment horizontal="left"/>
    </xf>
    <xf numFmtId="0" fontId="0" fillId="8" borderId="0" xfId="0" applyFill="1"/>
    <xf numFmtId="164" fontId="0" fillId="0" borderId="0" xfId="0" applyNumberFormat="1"/>
    <xf numFmtId="164" fontId="12" fillId="0" borderId="0" xfId="0" applyNumberFormat="1" applyFont="1"/>
    <xf numFmtId="44" fontId="0" fillId="0" borderId="0" xfId="0" applyNumberFormat="1"/>
    <xf numFmtId="44" fontId="6" fillId="0" borderId="0" xfId="0" applyNumberFormat="1" applyFont="1"/>
    <xf numFmtId="44" fontId="5" fillId="0" borderId="0" xfId="0" applyNumberFormat="1" applyFont="1"/>
    <xf numFmtId="44" fontId="6" fillId="0" borderId="26" xfId="0" applyNumberFormat="1" applyFont="1" applyBorder="1"/>
    <xf numFmtId="0" fontId="3" fillId="0" borderId="0" xfId="0" applyFont="1"/>
    <xf numFmtId="10" fontId="0" fillId="0" borderId="0" xfId="0" applyNumberFormat="1"/>
    <xf numFmtId="166" fontId="0" fillId="0" borderId="0" xfId="0" applyNumberFormat="1"/>
    <xf numFmtId="171" fontId="0" fillId="0" borderId="0" xfId="0" applyNumberFormat="1"/>
    <xf numFmtId="164" fontId="11" fillId="12" borderId="0" xfId="0" applyNumberFormat="1" applyFont="1" applyFill="1"/>
    <xf numFmtId="164" fontId="5" fillId="12" borderId="0" xfId="0" applyNumberFormat="1" applyFont="1" applyFill="1"/>
    <xf numFmtId="0" fontId="16" fillId="0" borderId="0" xfId="0" applyFont="1"/>
    <xf numFmtId="167" fontId="0" fillId="0" borderId="0" xfId="0" applyNumberFormat="1"/>
    <xf numFmtId="9" fontId="0" fillId="0" borderId="0" xfId="0" applyNumberFormat="1"/>
    <xf numFmtId="44" fontId="10" fillId="0" borderId="0" xfId="2" applyFont="1"/>
    <xf numFmtId="171" fontId="0" fillId="15" borderId="0" xfId="0" applyNumberFormat="1" applyFill="1"/>
    <xf numFmtId="0" fontId="21" fillId="0" borderId="0" xfId="0" applyFont="1"/>
    <xf numFmtId="166" fontId="0" fillId="16" borderId="0" xfId="0" applyNumberFormat="1" applyFill="1"/>
    <xf numFmtId="166" fontId="0" fillId="9" borderId="0" xfId="0" applyNumberFormat="1" applyFill="1"/>
    <xf numFmtId="164" fontId="12" fillId="8" borderId="0" xfId="0" applyNumberFormat="1" applyFont="1" applyFill="1"/>
    <xf numFmtId="164" fontId="0" fillId="8" borderId="0" xfId="0" applyNumberFormat="1" applyFill="1"/>
    <xf numFmtId="0" fontId="3" fillId="17" borderId="0" xfId="0" applyFont="1" applyFill="1" applyAlignment="1">
      <alignment horizontal="left"/>
    </xf>
    <xf numFmtId="164" fontId="11" fillId="18" borderId="0" xfId="0" applyNumberFormat="1" applyFont="1" applyFill="1"/>
    <xf numFmtId="0" fontId="0" fillId="18" borderId="0" xfId="0" applyFill="1"/>
    <xf numFmtId="0" fontId="22" fillId="3" borderId="0" xfId="0" applyFont="1" applyFill="1" applyAlignment="1">
      <alignment horizontal="left"/>
    </xf>
    <xf numFmtId="164" fontId="23" fillId="11" borderId="0" xfId="0" applyNumberFormat="1" applyFont="1" applyFill="1"/>
    <xf numFmtId="0" fontId="24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4" fillId="0" borderId="0" xfId="0" applyFont="1"/>
    <xf numFmtId="0" fontId="4" fillId="19" borderId="13" xfId="0" applyFont="1" applyFill="1" applyBorder="1"/>
    <xf numFmtId="0" fontId="25" fillId="20" borderId="13" xfId="0" applyFont="1" applyFill="1" applyBorder="1"/>
    <xf numFmtId="0" fontId="19" fillId="19" borderId="13" xfId="0" applyFont="1" applyFill="1" applyBorder="1"/>
    <xf numFmtId="0" fontId="18" fillId="19" borderId="13" xfId="0" applyFont="1" applyFill="1" applyBorder="1"/>
    <xf numFmtId="0" fontId="26" fillId="19" borderId="13" xfId="0" applyFont="1" applyFill="1" applyBorder="1"/>
    <xf numFmtId="0" fontId="20" fillId="19" borderId="13" xfId="0" applyFont="1" applyFill="1" applyBorder="1"/>
    <xf numFmtId="3" fontId="20" fillId="19" borderId="13" xfId="0" applyNumberFormat="1" applyFont="1" applyFill="1" applyBorder="1"/>
    <xf numFmtId="10" fontId="20" fillId="19" borderId="13" xfId="0" applyNumberFormat="1" applyFont="1" applyFill="1" applyBorder="1"/>
    <xf numFmtId="3" fontId="27" fillId="21" borderId="13" xfId="0" applyNumberFormat="1" applyFont="1" applyFill="1" applyBorder="1"/>
    <xf numFmtId="0" fontId="27" fillId="21" borderId="13" xfId="0" applyFont="1" applyFill="1" applyBorder="1"/>
    <xf numFmtId="0" fontId="28" fillId="22" borderId="32" xfId="0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33" fillId="0" borderId="0" xfId="0" applyFont="1" applyAlignment="1">
      <alignment wrapText="1"/>
    </xf>
    <xf numFmtId="164" fontId="30" fillId="0" borderId="0" xfId="0" applyNumberFormat="1" applyFont="1"/>
    <xf numFmtId="166" fontId="30" fillId="0" borderId="0" xfId="0" applyNumberFormat="1" applyFont="1"/>
    <xf numFmtId="0" fontId="30" fillId="0" borderId="0" xfId="0" applyFont="1" applyAlignment="1">
      <alignment wrapText="1"/>
    </xf>
    <xf numFmtId="0" fontId="33" fillId="0" borderId="0" xfId="0" applyFont="1"/>
    <xf numFmtId="166" fontId="33" fillId="0" borderId="0" xfId="0" applyNumberFormat="1" applyFont="1"/>
    <xf numFmtId="164" fontId="30" fillId="0" borderId="2" xfId="0" applyNumberFormat="1" applyFont="1" applyBorder="1"/>
    <xf numFmtId="0" fontId="1" fillId="0" borderId="0" xfId="0" applyFont="1"/>
    <xf numFmtId="10" fontId="1" fillId="0" borderId="0" xfId="0" applyNumberFormat="1" applyFont="1"/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10" borderId="10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right"/>
    </xf>
    <xf numFmtId="0" fontId="1" fillId="3" borderId="8" xfId="0" applyFont="1" applyFill="1" applyBorder="1" applyAlignment="1">
      <alignment horizontal="right"/>
    </xf>
    <xf numFmtId="164" fontId="1" fillId="0" borderId="26" xfId="0" applyNumberFormat="1" applyFont="1" applyBorder="1"/>
    <xf numFmtId="44" fontId="1" fillId="0" borderId="0" xfId="2" applyFont="1"/>
    <xf numFmtId="44" fontId="1" fillId="0" borderId="0" xfId="2" applyFont="1" applyBorder="1"/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left"/>
    </xf>
    <xf numFmtId="0" fontId="36" fillId="0" borderId="0" xfId="0" applyFont="1"/>
    <xf numFmtId="167" fontId="1" fillId="0" borderId="0" xfId="0" applyNumberFormat="1" applyFont="1"/>
    <xf numFmtId="173" fontId="35" fillId="0" borderId="0" xfId="4" applyNumberFormat="1" applyFont="1" applyFill="1" applyBorder="1" applyAlignment="1">
      <alignment horizontal="left" vertical="center"/>
    </xf>
    <xf numFmtId="173" fontId="1" fillId="0" borderId="0" xfId="0" applyNumberFormat="1" applyFont="1"/>
    <xf numFmtId="0" fontId="33" fillId="0" borderId="11" xfId="0" applyFont="1" applyBorder="1" applyAlignment="1">
      <alignment horizontal="right"/>
    </xf>
    <xf numFmtId="0" fontId="33" fillId="0" borderId="0" xfId="0" applyFont="1" applyAlignment="1">
      <alignment horizontal="right"/>
    </xf>
    <xf numFmtId="164" fontId="30" fillId="0" borderId="11" xfId="0" applyNumberFormat="1" applyFont="1" applyBorder="1"/>
    <xf numFmtId="164" fontId="30" fillId="0" borderId="1" xfId="0" applyNumberFormat="1" applyFont="1" applyBorder="1"/>
    <xf numFmtId="0" fontId="33" fillId="24" borderId="22" xfId="0" applyFont="1" applyFill="1" applyBorder="1"/>
    <xf numFmtId="164" fontId="30" fillId="24" borderId="10" xfId="0" applyNumberFormat="1" applyFont="1" applyFill="1" applyBorder="1"/>
    <xf numFmtId="164" fontId="30" fillId="24" borderId="8" xfId="0" applyNumberFormat="1" applyFont="1" applyFill="1" applyBorder="1"/>
    <xf numFmtId="164" fontId="30" fillId="24" borderId="9" xfId="0" applyNumberFormat="1" applyFont="1" applyFill="1" applyBorder="1"/>
    <xf numFmtId="0" fontId="33" fillId="24" borderId="41" xfId="0" applyFont="1" applyFill="1" applyBorder="1"/>
    <xf numFmtId="164" fontId="30" fillId="24" borderId="42" xfId="0" applyNumberFormat="1" applyFont="1" applyFill="1" applyBorder="1"/>
    <xf numFmtId="164" fontId="30" fillId="24" borderId="7" xfId="0" applyNumberFormat="1" applyFont="1" applyFill="1" applyBorder="1"/>
    <xf numFmtId="164" fontId="30" fillId="24" borderId="43" xfId="0" applyNumberFormat="1" applyFont="1" applyFill="1" applyBorder="1"/>
    <xf numFmtId="0" fontId="33" fillId="24" borderId="0" xfId="0" applyFont="1" applyFill="1"/>
    <xf numFmtId="164" fontId="30" fillId="24" borderId="12" xfId="0" applyNumberFormat="1" applyFont="1" applyFill="1" applyBorder="1"/>
    <xf numFmtId="164" fontId="30" fillId="24" borderId="2" xfId="0" applyNumberFormat="1" applyFont="1" applyFill="1" applyBorder="1"/>
    <xf numFmtId="164" fontId="30" fillId="24" borderId="3" xfId="0" applyNumberFormat="1" applyFont="1" applyFill="1" applyBorder="1"/>
    <xf numFmtId="0" fontId="30" fillId="0" borderId="2" xfId="0" applyFont="1" applyBorder="1"/>
    <xf numFmtId="0" fontId="40" fillId="22" borderId="0" xfId="0" applyFont="1" applyFill="1" applyAlignment="1">
      <alignment wrapText="1"/>
    </xf>
    <xf numFmtId="0" fontId="41" fillId="22" borderId="0" xfId="0" applyFont="1" applyFill="1" applyAlignment="1">
      <alignment wrapText="1"/>
    </xf>
    <xf numFmtId="0" fontId="42" fillId="0" borderId="0" xfId="0" applyFont="1"/>
    <xf numFmtId="0" fontId="43" fillId="0" borderId="0" xfId="0" applyFont="1"/>
    <xf numFmtId="0" fontId="40" fillId="13" borderId="0" xfId="0" applyFont="1" applyFill="1" applyAlignment="1">
      <alignment wrapText="1"/>
    </xf>
    <xf numFmtId="0" fontId="40" fillId="13" borderId="0" xfId="0" applyFont="1" applyFill="1" applyAlignment="1">
      <alignment horizontal="center" vertical="center"/>
    </xf>
    <xf numFmtId="0" fontId="40" fillId="13" borderId="2" xfId="0" applyFont="1" applyFill="1" applyBorder="1" applyAlignment="1">
      <alignment wrapText="1"/>
    </xf>
    <xf numFmtId="0" fontId="44" fillId="0" borderId="2" xfId="0" applyFont="1" applyBorder="1" applyAlignment="1">
      <alignment horizontal="right"/>
    </xf>
    <xf numFmtId="0" fontId="41" fillId="22" borderId="2" xfId="0" applyFont="1" applyFill="1" applyBorder="1" applyAlignment="1">
      <alignment horizontal="center" vertical="center"/>
    </xf>
    <xf numFmtId="0" fontId="41" fillId="22" borderId="3" xfId="0" applyFont="1" applyFill="1" applyBorder="1" applyAlignment="1">
      <alignment horizontal="center" vertical="center"/>
    </xf>
    <xf numFmtId="0" fontId="44" fillId="13" borderId="2" xfId="0" applyFont="1" applyFill="1" applyBorder="1"/>
    <xf numFmtId="0" fontId="42" fillId="13" borderId="2" xfId="0" applyFont="1" applyFill="1" applyBorder="1"/>
    <xf numFmtId="0" fontId="44" fillId="13" borderId="1" xfId="0" applyFont="1" applyFill="1" applyBorder="1"/>
    <xf numFmtId="0" fontId="42" fillId="13" borderId="0" xfId="0" applyFont="1" applyFill="1"/>
    <xf numFmtId="0" fontId="45" fillId="0" borderId="0" xfId="0" applyFont="1" applyAlignment="1">
      <alignment wrapText="1"/>
    </xf>
    <xf numFmtId="164" fontId="42" fillId="0" borderId="0" xfId="0" applyNumberFormat="1" applyFont="1" applyAlignment="1">
      <alignment horizontal="right"/>
    </xf>
    <xf numFmtId="164" fontId="45" fillId="0" borderId="0" xfId="0" applyNumberFormat="1" applyFont="1" applyAlignment="1">
      <alignment horizontal="right"/>
    </xf>
    <xf numFmtId="164" fontId="45" fillId="0" borderId="0" xfId="0" applyNumberFormat="1" applyFont="1"/>
    <xf numFmtId="164" fontId="45" fillId="0" borderId="1" xfId="0" applyNumberFormat="1" applyFont="1" applyBorder="1" applyAlignment="1">
      <alignment horizontal="right"/>
    </xf>
    <xf numFmtId="164" fontId="45" fillId="0" borderId="8" xfId="0" applyNumberFormat="1" applyFont="1" applyBorder="1"/>
    <xf numFmtId="164" fontId="45" fillId="0" borderId="32" xfId="0" applyNumberFormat="1" applyFont="1" applyBorder="1" applyAlignment="1">
      <alignment horizontal="right"/>
    </xf>
    <xf numFmtId="164" fontId="45" fillId="0" borderId="22" xfId="0" applyNumberFormat="1" applyFont="1" applyBorder="1" applyAlignment="1">
      <alignment horizontal="right"/>
    </xf>
    <xf numFmtId="164" fontId="45" fillId="0" borderId="23" xfId="0" applyNumberFormat="1" applyFont="1" applyBorder="1" applyAlignment="1">
      <alignment horizontal="right"/>
    </xf>
    <xf numFmtId="164" fontId="45" fillId="0" borderId="30" xfId="0" applyNumberFormat="1" applyFont="1" applyBorder="1" applyAlignment="1">
      <alignment horizontal="right"/>
    </xf>
    <xf numFmtId="164" fontId="45" fillId="0" borderId="18" xfId="0" applyNumberFormat="1" applyFont="1" applyBorder="1" applyAlignment="1">
      <alignment horizontal="right"/>
    </xf>
    <xf numFmtId="164" fontId="42" fillId="0" borderId="0" xfId="0" applyNumberFormat="1" applyFont="1"/>
    <xf numFmtId="164" fontId="45" fillId="0" borderId="18" xfId="0" applyNumberFormat="1" applyFont="1" applyBorder="1"/>
    <xf numFmtId="0" fontId="40" fillId="2" borderId="0" xfId="0" applyFont="1" applyFill="1" applyAlignment="1">
      <alignment wrapText="1"/>
    </xf>
    <xf numFmtId="164" fontId="44" fillId="2" borderId="0" xfId="0" applyNumberFormat="1" applyFont="1" applyFill="1" applyAlignment="1">
      <alignment horizontal="right"/>
    </xf>
    <xf numFmtId="164" fontId="40" fillId="2" borderId="0" xfId="0" applyNumberFormat="1" applyFont="1" applyFill="1" applyAlignment="1">
      <alignment horizontal="right"/>
    </xf>
    <xf numFmtId="164" fontId="40" fillId="2" borderId="1" xfId="0" applyNumberFormat="1" applyFont="1" applyFill="1" applyBorder="1" applyAlignment="1">
      <alignment horizontal="right"/>
    </xf>
    <xf numFmtId="164" fontId="40" fillId="2" borderId="30" xfId="0" applyNumberFormat="1" applyFont="1" applyFill="1" applyBorder="1" applyAlignment="1">
      <alignment horizontal="right"/>
    </xf>
    <xf numFmtId="164" fontId="40" fillId="2" borderId="18" xfId="0" applyNumberFormat="1" applyFont="1" applyFill="1" applyBorder="1" applyAlignment="1">
      <alignment horizontal="right"/>
    </xf>
    <xf numFmtId="0" fontId="40" fillId="12" borderId="0" xfId="0" applyFont="1" applyFill="1" applyAlignment="1">
      <alignment horizontal="left"/>
    </xf>
    <xf numFmtId="164" fontId="46" fillId="12" borderId="0" xfId="0" applyNumberFormat="1" applyFont="1" applyFill="1"/>
    <xf numFmtId="164" fontId="40" fillId="12" borderId="0" xfId="0" applyNumberFormat="1" applyFont="1" applyFill="1"/>
    <xf numFmtId="164" fontId="40" fillId="12" borderId="30" xfId="0" applyNumberFormat="1" applyFont="1" applyFill="1" applyBorder="1"/>
    <xf numFmtId="164" fontId="40" fillId="12" borderId="18" xfId="0" applyNumberFormat="1" applyFont="1" applyFill="1" applyBorder="1"/>
    <xf numFmtId="0" fontId="47" fillId="0" borderId="0" xfId="0" applyFont="1"/>
    <xf numFmtId="0" fontId="48" fillId="17" borderId="0" xfId="0" applyFont="1" applyFill="1" applyAlignment="1">
      <alignment horizontal="left"/>
    </xf>
    <xf numFmtId="164" fontId="48" fillId="18" borderId="0" xfId="0" applyNumberFormat="1" applyFont="1" applyFill="1"/>
    <xf numFmtId="164" fontId="48" fillId="18" borderId="30" xfId="0" applyNumberFormat="1" applyFont="1" applyFill="1" applyBorder="1"/>
    <xf numFmtId="164" fontId="48" fillId="18" borderId="18" xfId="0" applyNumberFormat="1" applyFont="1" applyFill="1" applyBorder="1"/>
    <xf numFmtId="0" fontId="40" fillId="13" borderId="32" xfId="0" applyFont="1" applyFill="1" applyBorder="1" applyAlignment="1">
      <alignment wrapText="1"/>
    </xf>
    <xf numFmtId="0" fontId="44" fillId="13" borderId="22" xfId="0" applyFont="1" applyFill="1" applyBorder="1"/>
    <xf numFmtId="0" fontId="45" fillId="0" borderId="32" xfId="0" applyFont="1" applyBorder="1" applyAlignment="1">
      <alignment wrapText="1"/>
    </xf>
    <xf numFmtId="164" fontId="42" fillId="0" borderId="22" xfId="0" applyNumberFormat="1" applyFont="1" applyBorder="1" applyAlignment="1">
      <alignment horizontal="right"/>
    </xf>
    <xf numFmtId="164" fontId="45" fillId="0" borderId="22" xfId="0" applyNumberFormat="1" applyFont="1" applyBorder="1"/>
    <xf numFmtId="164" fontId="45" fillId="0" borderId="36" xfId="0" applyNumberFormat="1" applyFont="1" applyBorder="1" applyAlignment="1">
      <alignment horizontal="right"/>
    </xf>
    <xf numFmtId="164" fontId="45" fillId="0" borderId="23" xfId="0" applyNumberFormat="1" applyFont="1" applyBorder="1"/>
    <xf numFmtId="0" fontId="45" fillId="0" borderId="30" xfId="0" applyFont="1" applyBorder="1" applyAlignment="1">
      <alignment wrapText="1"/>
    </xf>
    <xf numFmtId="0" fontId="40" fillId="2" borderId="30" xfId="0" applyFont="1" applyFill="1" applyBorder="1" applyAlignment="1">
      <alignment wrapText="1"/>
    </xf>
    <xf numFmtId="0" fontId="45" fillId="0" borderId="30" xfId="0" applyFont="1" applyBorder="1" applyAlignment="1">
      <alignment horizontal="left" vertical="top"/>
    </xf>
    <xf numFmtId="0" fontId="48" fillId="17" borderId="34" xfId="0" applyFont="1" applyFill="1" applyBorder="1" applyAlignment="1">
      <alignment wrapText="1"/>
    </xf>
    <xf numFmtId="164" fontId="48" fillId="17" borderId="26" xfId="0" applyNumberFormat="1" applyFont="1" applyFill="1" applyBorder="1" applyAlignment="1">
      <alignment horizontal="right"/>
    </xf>
    <xf numFmtId="164" fontId="48" fillId="17" borderId="37" xfId="0" applyNumberFormat="1" applyFont="1" applyFill="1" applyBorder="1" applyAlignment="1">
      <alignment horizontal="right"/>
    </xf>
    <xf numFmtId="164" fontId="48" fillId="17" borderId="27" xfId="0" applyNumberFormat="1" applyFont="1" applyFill="1" applyBorder="1" applyAlignment="1">
      <alignment horizontal="right"/>
    </xf>
    <xf numFmtId="0" fontId="45" fillId="0" borderId="0" xfId="0" applyFont="1"/>
    <xf numFmtId="0" fontId="41" fillId="22" borderId="32" xfId="0" applyFont="1" applyFill="1" applyBorder="1" applyAlignment="1">
      <alignment horizontal="center" vertical="center"/>
    </xf>
    <xf numFmtId="0" fontId="49" fillId="6" borderId="22" xfId="0" applyFont="1" applyFill="1" applyBorder="1" applyAlignment="1">
      <alignment horizontal="center"/>
    </xf>
    <xf numFmtId="0" fontId="41" fillId="22" borderId="22" xfId="0" applyFont="1" applyFill="1" applyBorder="1" applyAlignment="1">
      <alignment horizontal="center" vertical="center"/>
    </xf>
    <xf numFmtId="0" fontId="41" fillId="22" borderId="23" xfId="0" applyFont="1" applyFill="1" applyBorder="1" applyAlignment="1">
      <alignment horizontal="center" vertical="center"/>
    </xf>
    <xf numFmtId="0" fontId="41" fillId="22" borderId="30" xfId="0" applyFont="1" applyFill="1" applyBorder="1" applyAlignment="1">
      <alignment horizontal="center" vertical="center"/>
    </xf>
    <xf numFmtId="0" fontId="41" fillId="14" borderId="0" xfId="0" applyFont="1" applyFill="1"/>
    <xf numFmtId="0" fontId="41" fillId="22" borderId="38" xfId="0" applyFont="1" applyFill="1" applyBorder="1" applyAlignment="1">
      <alignment horizontal="center" vertical="center"/>
    </xf>
    <xf numFmtId="0" fontId="41" fillId="22" borderId="29" xfId="0" applyFont="1" applyFill="1" applyBorder="1" applyAlignment="1">
      <alignment horizontal="center" vertical="center"/>
    </xf>
    <xf numFmtId="0" fontId="40" fillId="0" borderId="21" xfId="0" applyFont="1" applyBorder="1"/>
    <xf numFmtId="0" fontId="44" fillId="0" borderId="22" xfId="0" applyFont="1" applyBorder="1"/>
    <xf numFmtId="37" fontId="42" fillId="0" borderId="22" xfId="0" applyNumberFormat="1" applyFont="1" applyBorder="1"/>
    <xf numFmtId="37" fontId="42" fillId="0" borderId="30" xfId="0" applyNumberFormat="1" applyFont="1" applyBorder="1"/>
    <xf numFmtId="37" fontId="42" fillId="0" borderId="0" xfId="0" applyNumberFormat="1" applyFont="1"/>
    <xf numFmtId="37" fontId="42" fillId="0" borderId="20" xfId="0" applyNumberFormat="1" applyFont="1" applyBorder="1"/>
    <xf numFmtId="37" fontId="42" fillId="0" borderId="18" xfId="0" applyNumberFormat="1" applyFont="1" applyBorder="1"/>
    <xf numFmtId="0" fontId="43" fillId="0" borderId="17" xfId="0" applyFont="1" applyBorder="1"/>
    <xf numFmtId="0" fontId="43" fillId="0" borderId="30" xfId="0" applyFont="1" applyBorder="1"/>
    <xf numFmtId="0" fontId="42" fillId="0" borderId="18" xfId="0" applyFont="1" applyBorder="1"/>
    <xf numFmtId="37" fontId="45" fillId="0" borderId="24" xfId="0" applyNumberFormat="1" applyFont="1" applyBorder="1"/>
    <xf numFmtId="168" fontId="42" fillId="0" borderId="0" xfId="3" applyNumberFormat="1" applyFont="1" applyBorder="1"/>
    <xf numFmtId="168" fontId="42" fillId="0" borderId="30" xfId="3" applyNumberFormat="1" applyFont="1" applyBorder="1"/>
    <xf numFmtId="168" fontId="42" fillId="0" borderId="18" xfId="3" applyNumberFormat="1" applyFont="1" applyBorder="1"/>
    <xf numFmtId="168" fontId="43" fillId="0" borderId="18" xfId="0" applyNumberFormat="1" applyFont="1" applyBorder="1"/>
    <xf numFmtId="169" fontId="42" fillId="0" borderId="0" xfId="3" applyNumberFormat="1" applyFont="1" applyBorder="1"/>
    <xf numFmtId="169" fontId="42" fillId="0" borderId="30" xfId="3" applyNumberFormat="1" applyFont="1" applyBorder="1"/>
    <xf numFmtId="169" fontId="42" fillId="0" borderId="18" xfId="3" applyNumberFormat="1" applyFont="1" applyBorder="1"/>
    <xf numFmtId="10" fontId="43" fillId="0" borderId="18" xfId="3" applyNumberFormat="1" applyFont="1" applyBorder="1"/>
    <xf numFmtId="37" fontId="45" fillId="0" borderId="24" xfId="0" applyNumberFormat="1" applyFont="1" applyBorder="1" applyAlignment="1">
      <alignment horizontal="left"/>
    </xf>
    <xf numFmtId="170" fontId="42" fillId="6" borderId="0" xfId="3" applyNumberFormat="1" applyFont="1" applyFill="1" applyBorder="1"/>
    <xf numFmtId="170" fontId="42" fillId="0" borderId="30" xfId="3" applyNumberFormat="1" applyFont="1" applyBorder="1"/>
    <xf numFmtId="170" fontId="42" fillId="0" borderId="0" xfId="3" applyNumberFormat="1" applyFont="1" applyBorder="1"/>
    <xf numFmtId="170" fontId="42" fillId="0" borderId="18" xfId="3" applyNumberFormat="1" applyFont="1" applyBorder="1"/>
    <xf numFmtId="0" fontId="40" fillId="0" borderId="24" xfId="0" applyFont="1" applyBorder="1"/>
    <xf numFmtId="0" fontId="43" fillId="0" borderId="18" xfId="0" applyFont="1" applyBorder="1"/>
    <xf numFmtId="0" fontId="45" fillId="0" borderId="24" xfId="0" applyFont="1" applyBorder="1"/>
    <xf numFmtId="169" fontId="42" fillId="6" borderId="0" xfId="3" applyNumberFormat="1" applyFont="1" applyFill="1" applyBorder="1"/>
    <xf numFmtId="10" fontId="42" fillId="0" borderId="30" xfId="3" applyNumberFormat="1" applyFont="1" applyBorder="1"/>
    <xf numFmtId="10" fontId="42" fillId="0" borderId="0" xfId="3" applyNumberFormat="1" applyFont="1" applyBorder="1"/>
    <xf numFmtId="10" fontId="42" fillId="0" borderId="18" xfId="3" applyNumberFormat="1" applyFont="1" applyBorder="1"/>
    <xf numFmtId="0" fontId="45" fillId="0" borderId="25" xfId="0" applyFont="1" applyBorder="1"/>
    <xf numFmtId="170" fontId="42" fillId="0" borderId="26" xfId="3" applyNumberFormat="1" applyFont="1" applyBorder="1"/>
    <xf numFmtId="41" fontId="47" fillId="0" borderId="0" xfId="0" applyNumberFormat="1" applyFont="1"/>
    <xf numFmtId="41" fontId="43" fillId="0" borderId="0" xfId="0" applyNumberFormat="1" applyFont="1"/>
    <xf numFmtId="0" fontId="44" fillId="0" borderId="0" xfId="0" applyFont="1" applyAlignment="1">
      <alignment wrapText="1"/>
    </xf>
    <xf numFmtId="0" fontId="44" fillId="0" borderId="6" xfId="0" applyFont="1" applyBorder="1" applyAlignment="1">
      <alignment horizontal="center"/>
    </xf>
    <xf numFmtId="0" fontId="44" fillId="0" borderId="0" xfId="0" applyFont="1" applyAlignment="1">
      <alignment horizontal="right"/>
    </xf>
    <xf numFmtId="0" fontId="40" fillId="0" borderId="32" xfId="0" applyFont="1" applyBorder="1" applyAlignment="1">
      <alignment wrapText="1"/>
    </xf>
    <xf numFmtId="164" fontId="40" fillId="0" borderId="22" xfId="0" applyNumberFormat="1" applyFont="1" applyBorder="1"/>
    <xf numFmtId="164" fontId="40" fillId="0" borderId="32" xfId="0" applyNumberFormat="1" applyFont="1" applyBorder="1"/>
    <xf numFmtId="164" fontId="40" fillId="0" borderId="23" xfId="0" applyNumberFormat="1" applyFont="1" applyBorder="1"/>
    <xf numFmtId="0" fontId="44" fillId="0" borderId="0" xfId="0" applyFont="1"/>
    <xf numFmtId="164" fontId="45" fillId="0" borderId="30" xfId="0" applyNumberFormat="1" applyFont="1" applyBorder="1"/>
    <xf numFmtId="0" fontId="40" fillId="3" borderId="18" xfId="0" applyFont="1" applyFill="1" applyBorder="1" applyAlignment="1">
      <alignment horizontal="left"/>
    </xf>
    <xf numFmtId="164" fontId="40" fillId="11" borderId="0" xfId="0" applyNumberFormat="1" applyFont="1" applyFill="1"/>
    <xf numFmtId="164" fontId="40" fillId="11" borderId="34" xfId="0" applyNumberFormat="1" applyFont="1" applyFill="1" applyBorder="1"/>
    <xf numFmtId="164" fontId="40" fillId="11" borderId="26" xfId="0" applyNumberFormat="1" applyFont="1" applyFill="1" applyBorder="1"/>
    <xf numFmtId="164" fontId="40" fillId="11" borderId="27" xfId="0" applyNumberFormat="1" applyFont="1" applyFill="1" applyBorder="1"/>
    <xf numFmtId="0" fontId="40" fillId="0" borderId="30" xfId="0" applyFont="1" applyBorder="1" applyAlignment="1">
      <alignment wrapText="1"/>
    </xf>
    <xf numFmtId="0" fontId="40" fillId="12" borderId="18" xfId="0" applyFont="1" applyFill="1" applyBorder="1" applyAlignment="1">
      <alignment horizontal="left"/>
    </xf>
    <xf numFmtId="0" fontId="40" fillId="0" borderId="0" xfId="0" applyFont="1"/>
    <xf numFmtId="164" fontId="40" fillId="11" borderId="18" xfId="0" applyNumberFormat="1" applyFont="1" applyFill="1" applyBorder="1"/>
    <xf numFmtId="165" fontId="45" fillId="0" borderId="0" xfId="0" applyNumberFormat="1" applyFont="1"/>
    <xf numFmtId="164" fontId="40" fillId="0" borderId="0" xfId="0" applyNumberFormat="1" applyFont="1"/>
    <xf numFmtId="164" fontId="40" fillId="0" borderId="30" xfId="0" applyNumberFormat="1" applyFont="1" applyBorder="1"/>
    <xf numFmtId="164" fontId="40" fillId="0" borderId="18" xfId="0" applyNumberFormat="1" applyFont="1" applyBorder="1"/>
    <xf numFmtId="0" fontId="45" fillId="0" borderId="34" xfId="0" applyFont="1" applyBorder="1" applyAlignment="1">
      <alignment wrapText="1"/>
    </xf>
    <xf numFmtId="164" fontId="45" fillId="0" borderId="26" xfId="0" applyNumberFormat="1" applyFont="1" applyBorder="1"/>
    <xf numFmtId="164" fontId="45" fillId="0" borderId="34" xfId="0" applyNumberFormat="1" applyFont="1" applyBorder="1"/>
    <xf numFmtId="164" fontId="45" fillId="0" borderId="27" xfId="0" applyNumberFormat="1" applyFont="1" applyBorder="1"/>
    <xf numFmtId="0" fontId="40" fillId="14" borderId="8" xfId="0" applyFont="1" applyFill="1" applyBorder="1"/>
    <xf numFmtId="0" fontId="41" fillId="22" borderId="10" xfId="0" applyFont="1" applyFill="1" applyBorder="1" applyAlignment="1">
      <alignment horizontal="center"/>
    </xf>
    <xf numFmtId="0" fontId="45" fillId="14" borderId="0" xfId="0" applyFont="1" applyFill="1"/>
    <xf numFmtId="0" fontId="41" fillId="22" borderId="15" xfId="0" applyFont="1" applyFill="1" applyBorder="1"/>
    <xf numFmtId="0" fontId="41" fillId="22" borderId="4" xfId="0" applyFont="1" applyFill="1" applyBorder="1"/>
    <xf numFmtId="0" fontId="41" fillId="22" borderId="5" xfId="0" applyFont="1" applyFill="1" applyBorder="1"/>
    <xf numFmtId="0" fontId="41" fillId="22" borderId="12" xfId="0" applyFont="1" applyFill="1" applyBorder="1"/>
    <xf numFmtId="0" fontId="41" fillId="22" borderId="11" xfId="0" applyFont="1" applyFill="1" applyBorder="1"/>
    <xf numFmtId="0" fontId="41" fillId="22" borderId="0" xfId="0" applyFont="1" applyFill="1"/>
    <xf numFmtId="0" fontId="45" fillId="0" borderId="16" xfId="0" applyFont="1" applyBorder="1" applyAlignment="1">
      <alignment wrapText="1"/>
    </xf>
    <xf numFmtId="0" fontId="45" fillId="4" borderId="0" xfId="0" applyFont="1" applyFill="1"/>
    <xf numFmtId="10" fontId="45" fillId="0" borderId="0" xfId="0" applyNumberFormat="1" applyFont="1"/>
    <xf numFmtId="10" fontId="45" fillId="0" borderId="0" xfId="3" applyNumberFormat="1" applyFont="1" applyBorder="1"/>
    <xf numFmtId="9" fontId="45" fillId="0" borderId="15" xfId="0" applyNumberFormat="1" applyFont="1" applyBorder="1" applyAlignment="1">
      <alignment wrapText="1"/>
    </xf>
    <xf numFmtId="9" fontId="45" fillId="0" borderId="4" xfId="0" applyNumberFormat="1" applyFont="1" applyBorder="1"/>
    <xf numFmtId="0" fontId="45" fillId="0" borderId="13" xfId="0" applyFont="1" applyBorder="1" applyAlignment="1">
      <alignment horizontal="left"/>
    </xf>
    <xf numFmtId="10" fontId="45" fillId="4" borderId="0" xfId="0" applyNumberFormat="1" applyFont="1" applyFill="1"/>
    <xf numFmtId="10" fontId="45" fillId="0" borderId="1" xfId="3" applyNumberFormat="1" applyFont="1" applyBorder="1"/>
    <xf numFmtId="0" fontId="45" fillId="0" borderId="14" xfId="0" applyFont="1" applyBorder="1" applyAlignment="1">
      <alignment wrapText="1"/>
    </xf>
    <xf numFmtId="0" fontId="45" fillId="0" borderId="2" xfId="0" applyFont="1" applyBorder="1"/>
    <xf numFmtId="9" fontId="45" fillId="0" borderId="2" xfId="3" applyFont="1" applyBorder="1"/>
    <xf numFmtId="10" fontId="45" fillId="0" borderId="3" xfId="3" applyNumberFormat="1" applyFont="1" applyBorder="1"/>
    <xf numFmtId="0" fontId="42" fillId="0" borderId="0" xfId="0" applyFont="1" applyAlignment="1">
      <alignment wrapText="1"/>
    </xf>
    <xf numFmtId="10" fontId="42" fillId="0" borderId="0" xfId="0" applyNumberFormat="1" applyFont="1"/>
    <xf numFmtId="0" fontId="42" fillId="0" borderId="0" xfId="0" applyFont="1" applyAlignment="1">
      <alignment horizontal="right"/>
    </xf>
    <xf numFmtId="0" fontId="41" fillId="22" borderId="39" xfId="0" applyFont="1" applyFill="1" applyBorder="1" applyAlignment="1">
      <alignment horizontal="left"/>
    </xf>
    <xf numFmtId="0" fontId="41" fillId="22" borderId="40" xfId="0" applyFont="1" applyFill="1" applyBorder="1" applyAlignment="1">
      <alignment horizontal="right"/>
    </xf>
    <xf numFmtId="0" fontId="53" fillId="0" borderId="0" xfId="0" applyFont="1" applyAlignment="1">
      <alignment wrapText="1"/>
    </xf>
    <xf numFmtId="164" fontId="44" fillId="0" borderId="0" xfId="0" applyNumberFormat="1" applyFont="1"/>
    <xf numFmtId="0" fontId="54" fillId="0" borderId="26" xfId="0" applyFont="1" applyBorder="1" applyAlignment="1">
      <alignment wrapText="1"/>
    </xf>
    <xf numFmtId="164" fontId="42" fillId="0" borderId="26" xfId="0" applyNumberFormat="1" applyFont="1" applyBorder="1"/>
    <xf numFmtId="0" fontId="46" fillId="0" borderId="0" xfId="0" applyFont="1"/>
    <xf numFmtId="0" fontId="54" fillId="0" borderId="0" xfId="0" applyFont="1" applyAlignment="1">
      <alignment wrapText="1"/>
    </xf>
    <xf numFmtId="0" fontId="53" fillId="0" borderId="0" xfId="0" applyFont="1" applyAlignment="1">
      <alignment horizontal="left" wrapText="1"/>
    </xf>
    <xf numFmtId="164" fontId="54" fillId="0" borderId="0" xfId="0" applyNumberFormat="1" applyFont="1"/>
    <xf numFmtId="0" fontId="53" fillId="0" borderId="31" xfId="0" applyFont="1" applyBorder="1" applyAlignment="1">
      <alignment wrapText="1"/>
    </xf>
    <xf numFmtId="164" fontId="44" fillId="0" borderId="31" xfId="0" applyNumberFormat="1" applyFont="1" applyBorder="1"/>
    <xf numFmtId="0" fontId="54" fillId="0" borderId="0" xfId="0" applyFont="1" applyAlignment="1">
      <alignment horizontal="left"/>
    </xf>
    <xf numFmtId="44" fontId="47" fillId="0" borderId="0" xfId="0" applyNumberFormat="1" applyFont="1"/>
    <xf numFmtId="0" fontId="53" fillId="2" borderId="0" xfId="0" applyFont="1" applyFill="1" applyAlignment="1">
      <alignment horizontal="left"/>
    </xf>
    <xf numFmtId="164" fontId="44" fillId="12" borderId="0" xfId="0" applyNumberFormat="1" applyFont="1" applyFill="1"/>
    <xf numFmtId="164" fontId="47" fillId="0" borderId="0" xfId="0" applyNumberFormat="1" applyFont="1"/>
    <xf numFmtId="0" fontId="53" fillId="12" borderId="0" xfId="0" applyFont="1" applyFill="1" applyAlignment="1">
      <alignment horizontal="left"/>
    </xf>
    <xf numFmtId="0" fontId="55" fillId="13" borderId="0" xfId="0" applyFont="1" applyFill="1"/>
    <xf numFmtId="0" fontId="55" fillId="18" borderId="0" xfId="0" applyFont="1" applyFill="1"/>
    <xf numFmtId="0" fontId="53" fillId="0" borderId="31" xfId="0" applyFont="1" applyBorder="1" applyAlignment="1">
      <alignment horizontal="left"/>
    </xf>
    <xf numFmtId="0" fontId="54" fillId="0" borderId="0" xfId="0" applyFont="1" applyAlignment="1">
      <alignment horizontal="left" vertical="top"/>
    </xf>
    <xf numFmtId="164" fontId="42" fillId="13" borderId="0" xfId="0" applyNumberFormat="1" applyFont="1" applyFill="1"/>
    <xf numFmtId="166" fontId="47" fillId="0" borderId="0" xfId="0" applyNumberFormat="1" applyFont="1"/>
    <xf numFmtId="0" fontId="56" fillId="18" borderId="0" xfId="0" applyFont="1" applyFill="1" applyAlignment="1">
      <alignment horizontal="left"/>
    </xf>
    <xf numFmtId="164" fontId="56" fillId="18" borderId="0" xfId="0" applyNumberFormat="1" applyFont="1" applyFill="1"/>
    <xf numFmtId="0" fontId="53" fillId="24" borderId="10" xfId="0" applyFont="1" applyFill="1" applyBorder="1"/>
    <xf numFmtId="0" fontId="53" fillId="24" borderId="11" xfId="0" applyFont="1" applyFill="1" applyBorder="1"/>
    <xf numFmtId="0" fontId="53" fillId="24" borderId="12" xfId="0" applyFont="1" applyFill="1" applyBorder="1"/>
    <xf numFmtId="0" fontId="57" fillId="0" borderId="0" xfId="0" applyFont="1"/>
    <xf numFmtId="0" fontId="59" fillId="22" borderId="2" xfId="0" applyFont="1" applyFill="1" applyBorder="1" applyAlignment="1">
      <alignment horizontal="right"/>
    </xf>
    <xf numFmtId="0" fontId="28" fillId="22" borderId="2" xfId="0" applyFont="1" applyFill="1" applyBorder="1"/>
    <xf numFmtId="0" fontId="59" fillId="22" borderId="3" xfId="0" applyFont="1" applyFill="1" applyBorder="1" applyAlignment="1">
      <alignment horizontal="right"/>
    </xf>
    <xf numFmtId="0" fontId="60" fillId="24" borderId="0" xfId="0" applyFont="1" applyFill="1"/>
    <xf numFmtId="0" fontId="11" fillId="24" borderId="0" xfId="0" applyFont="1" applyFill="1"/>
    <xf numFmtId="164" fontId="0" fillId="0" borderId="1" xfId="0" applyNumberFormat="1" applyBorder="1"/>
    <xf numFmtId="164" fontId="11" fillId="24" borderId="0" xfId="0" applyNumberFormat="1" applyFont="1" applyFill="1"/>
    <xf numFmtId="164" fontId="60" fillId="24" borderId="0" xfId="0" applyNumberFormat="1" applyFont="1" applyFill="1"/>
    <xf numFmtId="164" fontId="60" fillId="24" borderId="1" xfId="0" applyNumberFormat="1" applyFont="1" applyFill="1" applyBorder="1"/>
    <xf numFmtId="0" fontId="7" fillId="0" borderId="22" xfId="0" applyFont="1" applyBorder="1" applyAlignment="1">
      <alignment horizontal="center"/>
    </xf>
    <xf numFmtId="0" fontId="52" fillId="22" borderId="4" xfId="0" applyFont="1" applyFill="1" applyBorder="1" applyAlignment="1">
      <alignment horizontal="right"/>
    </xf>
    <xf numFmtId="0" fontId="52" fillId="22" borderId="31" xfId="0" applyFont="1" applyFill="1" applyBorder="1" applyAlignment="1">
      <alignment horizontal="right"/>
    </xf>
    <xf numFmtId="0" fontId="52" fillId="22" borderId="19" xfId="0" applyFont="1" applyFill="1" applyBorder="1" applyAlignment="1">
      <alignment horizontal="right"/>
    </xf>
    <xf numFmtId="0" fontId="52" fillId="22" borderId="15" xfId="0" applyFont="1" applyFill="1" applyBorder="1"/>
    <xf numFmtId="0" fontId="1" fillId="0" borderId="2" xfId="0" applyFont="1" applyBorder="1" applyAlignment="1">
      <alignment horizontal="left"/>
    </xf>
    <xf numFmtId="0" fontId="7" fillId="24" borderId="0" xfId="0" applyFont="1" applyFill="1" applyAlignment="1">
      <alignment horizontal="left"/>
    </xf>
    <xf numFmtId="0" fontId="62" fillId="0" borderId="0" xfId="0" applyFont="1"/>
    <xf numFmtId="0" fontId="63" fillId="0" borderId="0" xfId="0" applyFont="1"/>
    <xf numFmtId="0" fontId="64" fillId="0" borderId="0" xfId="0" applyFont="1"/>
    <xf numFmtId="0" fontId="64" fillId="24" borderId="13" xfId="0" applyFont="1" applyFill="1" applyBorder="1"/>
    <xf numFmtId="3" fontId="64" fillId="24" borderId="13" xfId="0" applyNumberFormat="1" applyFont="1" applyFill="1" applyBorder="1"/>
    <xf numFmtId="0" fontId="65" fillId="0" borderId="0" xfId="0" applyFont="1"/>
    <xf numFmtId="0" fontId="64" fillId="0" borderId="0" xfId="0" applyFont="1" applyAlignment="1">
      <alignment horizontal="left"/>
    </xf>
    <xf numFmtId="0" fontId="72" fillId="0" borderId="0" xfId="0" applyFont="1" applyAlignment="1">
      <alignment horizontal="center"/>
    </xf>
    <xf numFmtId="3" fontId="65" fillId="0" borderId="0" xfId="0" applyNumberFormat="1" applyFont="1"/>
    <xf numFmtId="0" fontId="73" fillId="0" borderId="0" xfId="0" applyFont="1"/>
    <xf numFmtId="0" fontId="64" fillId="7" borderId="0" xfId="0" applyFont="1" applyFill="1"/>
    <xf numFmtId="0" fontId="65" fillId="7" borderId="0" xfId="0" applyFont="1" applyFill="1"/>
    <xf numFmtId="3" fontId="64" fillId="7" borderId="0" xfId="0" applyNumberFormat="1" applyFont="1" applyFill="1"/>
    <xf numFmtId="0" fontId="75" fillId="7" borderId="0" xfId="0" applyFont="1" applyFill="1"/>
    <xf numFmtId="10" fontId="64" fillId="0" borderId="0" xfId="0" applyNumberFormat="1" applyFont="1"/>
    <xf numFmtId="0" fontId="64" fillId="9" borderId="0" xfId="0" applyFont="1" applyFill="1"/>
    <xf numFmtId="10" fontId="64" fillId="9" borderId="0" xfId="0" applyNumberFormat="1" applyFont="1" applyFill="1"/>
    <xf numFmtId="9" fontId="64" fillId="0" borderId="0" xfId="0" applyNumberFormat="1" applyFont="1"/>
    <xf numFmtId="0" fontId="76" fillId="22" borderId="45" xfId="0" applyFont="1" applyFill="1" applyBorder="1"/>
    <xf numFmtId="0" fontId="69" fillId="0" borderId="0" xfId="0" applyFont="1"/>
    <xf numFmtId="0" fontId="72" fillId="24" borderId="13" xfId="0" applyFont="1" applyFill="1" applyBorder="1"/>
    <xf numFmtId="0" fontId="14" fillId="24" borderId="13" xfId="1" applyFill="1" applyBorder="1"/>
    <xf numFmtId="0" fontId="77" fillId="24" borderId="11" xfId="0" applyFont="1" applyFill="1" applyBorder="1"/>
    <xf numFmtId="2" fontId="63" fillId="24" borderId="1" xfId="0" applyNumberFormat="1" applyFont="1" applyFill="1" applyBorder="1"/>
    <xf numFmtId="10" fontId="65" fillId="24" borderId="1" xfId="0" applyNumberFormat="1" applyFont="1" applyFill="1" applyBorder="1"/>
    <xf numFmtId="10" fontId="68" fillId="24" borderId="1" xfId="0" applyNumberFormat="1" applyFont="1" applyFill="1" applyBorder="1"/>
    <xf numFmtId="2" fontId="68" fillId="24" borderId="1" xfId="0" applyNumberFormat="1" applyFont="1" applyFill="1" applyBorder="1"/>
    <xf numFmtId="0" fontId="68" fillId="0" borderId="10" xfId="0" applyFont="1" applyBorder="1"/>
    <xf numFmtId="0" fontId="69" fillId="0" borderId="8" xfId="0" applyFont="1" applyBorder="1"/>
    <xf numFmtId="0" fontId="68" fillId="0" borderId="11" xfId="0" applyFont="1" applyBorder="1"/>
    <xf numFmtId="0" fontId="64" fillId="0" borderId="12" xfId="0" applyFont="1" applyBorder="1"/>
    <xf numFmtId="0" fontId="70" fillId="0" borderId="2" xfId="1" applyFont="1" applyFill="1" applyBorder="1" applyAlignment="1"/>
    <xf numFmtId="171" fontId="67" fillId="0" borderId="8" xfId="0" applyNumberFormat="1" applyFont="1" applyBorder="1" applyAlignment="1">
      <alignment horizontal="left"/>
    </xf>
    <xf numFmtId="171" fontId="67" fillId="0" borderId="0" xfId="0" applyNumberFormat="1" applyFont="1" applyAlignment="1">
      <alignment horizontal="left"/>
    </xf>
    <xf numFmtId="171" fontId="71" fillId="0" borderId="2" xfId="0" applyNumberFormat="1" applyFont="1" applyBorder="1" applyAlignment="1">
      <alignment horizontal="left"/>
    </xf>
    <xf numFmtId="173" fontId="67" fillId="0" borderId="8" xfId="0" applyNumberFormat="1" applyFont="1" applyBorder="1" applyAlignment="1">
      <alignment horizontal="left"/>
    </xf>
    <xf numFmtId="173" fontId="67" fillId="0" borderId="0" xfId="0" applyNumberFormat="1" applyFont="1" applyAlignment="1">
      <alignment horizontal="left"/>
    </xf>
    <xf numFmtId="173" fontId="64" fillId="0" borderId="2" xfId="0" applyNumberFormat="1" applyFont="1" applyBorder="1" applyAlignment="1">
      <alignment horizontal="left"/>
    </xf>
    <xf numFmtId="173" fontId="67" fillId="0" borderId="2" xfId="0" applyNumberFormat="1" applyFont="1" applyBorder="1" applyAlignment="1">
      <alignment horizontal="left"/>
    </xf>
    <xf numFmtId="174" fontId="67" fillId="0" borderId="8" xfId="0" applyNumberFormat="1" applyFont="1" applyBorder="1" applyAlignment="1">
      <alignment horizontal="right"/>
    </xf>
    <xf numFmtId="174" fontId="68" fillId="0" borderId="9" xfId="0" applyNumberFormat="1" applyFont="1" applyBorder="1" applyAlignment="1">
      <alignment horizontal="right"/>
    </xf>
    <xf numFmtId="174" fontId="67" fillId="0" borderId="0" xfId="0" applyNumberFormat="1" applyFont="1" applyAlignment="1">
      <alignment horizontal="right"/>
    </xf>
    <xf numFmtId="174" fontId="68" fillId="0" borderId="1" xfId="0" applyNumberFormat="1" applyFont="1" applyBorder="1" applyAlignment="1">
      <alignment horizontal="right"/>
    </xf>
    <xf numFmtId="174" fontId="67" fillId="0" borderId="2" xfId="0" applyNumberFormat="1" applyFont="1" applyBorder="1" applyAlignment="1">
      <alignment horizontal="right"/>
    </xf>
    <xf numFmtId="174" fontId="64" fillId="0" borderId="2" xfId="0" applyNumberFormat="1" applyFont="1" applyBorder="1" applyAlignment="1">
      <alignment horizontal="right"/>
    </xf>
    <xf numFmtId="174" fontId="68" fillId="0" borderId="3" xfId="0" applyNumberFormat="1" applyFont="1" applyBorder="1" applyAlignment="1">
      <alignment horizontal="right"/>
    </xf>
    <xf numFmtId="0" fontId="78" fillId="18" borderId="11" xfId="0" applyFont="1" applyFill="1" applyBorder="1"/>
    <xf numFmtId="2" fontId="78" fillId="18" borderId="1" xfId="0" applyNumberFormat="1" applyFont="1" applyFill="1" applyBorder="1"/>
    <xf numFmtId="0" fontId="78" fillId="18" borderId="12" xfId="0" applyFont="1" applyFill="1" applyBorder="1"/>
    <xf numFmtId="10" fontId="78" fillId="18" borderId="3" xfId="0" applyNumberFormat="1" applyFont="1" applyFill="1" applyBorder="1"/>
    <xf numFmtId="10" fontId="78" fillId="18" borderId="1" xfId="0" applyNumberFormat="1" applyFont="1" applyFill="1" applyBorder="1"/>
    <xf numFmtId="172" fontId="67" fillId="0" borderId="8" xfId="0" applyNumberFormat="1" applyFont="1" applyBorder="1" applyAlignment="1">
      <alignment horizontal="right"/>
    </xf>
    <xf numFmtId="172" fontId="67" fillId="0" borderId="0" xfId="0" applyNumberFormat="1" applyFont="1" applyAlignment="1">
      <alignment horizontal="right"/>
    </xf>
    <xf numFmtId="172" fontId="66" fillId="0" borderId="2" xfId="0" applyNumberFormat="1" applyFont="1" applyBorder="1" applyAlignment="1">
      <alignment horizontal="right"/>
    </xf>
    <xf numFmtId="0" fontId="7" fillId="24" borderId="0" xfId="0" applyFont="1" applyFill="1"/>
    <xf numFmtId="164" fontId="10" fillId="0" borderId="0" xfId="2" applyNumberFormat="1" applyFont="1"/>
    <xf numFmtId="164" fontId="1" fillId="0" borderId="0" xfId="0" applyNumberFormat="1" applyFont="1"/>
    <xf numFmtId="164" fontId="7" fillId="24" borderId="0" xfId="0" applyNumberFormat="1" applyFont="1" applyFill="1"/>
    <xf numFmtId="0" fontId="7" fillId="24" borderId="10" xfId="0" applyFont="1" applyFill="1" applyBorder="1" applyAlignment="1">
      <alignment horizontal="left"/>
    </xf>
    <xf numFmtId="0" fontId="7" fillId="24" borderId="11" xfId="0" applyFont="1" applyFill="1" applyBorder="1" applyAlignment="1">
      <alignment horizontal="left"/>
    </xf>
    <xf numFmtId="9" fontId="9" fillId="24" borderId="9" xfId="0" applyNumberFormat="1" applyFont="1" applyFill="1" applyBorder="1" applyAlignment="1">
      <alignment horizontal="right"/>
    </xf>
    <xf numFmtId="10" fontId="17" fillId="24" borderId="1" xfId="0" applyNumberFormat="1" applyFont="1" applyFill="1" applyBorder="1"/>
    <xf numFmtId="169" fontId="9" fillId="24" borderId="1" xfId="0" applyNumberFormat="1" applyFont="1" applyFill="1" applyBorder="1" applyAlignment="1">
      <alignment horizontal="right"/>
    </xf>
    <xf numFmtId="0" fontId="9" fillId="24" borderId="1" xfId="0" applyFont="1" applyFill="1" applyBorder="1" applyAlignment="1">
      <alignment horizontal="right"/>
    </xf>
    <xf numFmtId="10" fontId="1" fillId="24" borderId="1" xfId="0" applyNumberFormat="1" applyFont="1" applyFill="1" applyBorder="1" applyAlignment="1">
      <alignment horizontal="right"/>
    </xf>
    <xf numFmtId="9" fontId="1" fillId="24" borderId="1" xfId="0" applyNumberFormat="1" applyFont="1" applyFill="1" applyBorder="1" applyAlignment="1">
      <alignment horizontal="right"/>
    </xf>
    <xf numFmtId="0" fontId="79" fillId="18" borderId="11" xfId="0" applyFont="1" applyFill="1" applyBorder="1" applyAlignment="1">
      <alignment horizontal="left"/>
    </xf>
    <xf numFmtId="0" fontId="79" fillId="18" borderId="12" xfId="0" applyFont="1" applyFill="1" applyBorder="1" applyAlignment="1">
      <alignment horizontal="left"/>
    </xf>
    <xf numFmtId="2" fontId="1" fillId="24" borderId="1" xfId="0" applyNumberFormat="1" applyFont="1" applyFill="1" applyBorder="1" applyAlignment="1">
      <alignment horizontal="right"/>
    </xf>
    <xf numFmtId="10" fontId="79" fillId="18" borderId="1" xfId="0" applyNumberFormat="1" applyFont="1" applyFill="1" applyBorder="1" applyAlignment="1">
      <alignment horizontal="right"/>
    </xf>
    <xf numFmtId="10" fontId="79" fillId="18" borderId="3" xfId="0" applyNumberFormat="1" applyFont="1" applyFill="1" applyBorder="1" applyAlignment="1">
      <alignment horizontal="right"/>
    </xf>
    <xf numFmtId="0" fontId="1" fillId="24" borderId="10" xfId="0" applyFont="1" applyFill="1" applyBorder="1"/>
    <xf numFmtId="0" fontId="1" fillId="24" borderId="11" xfId="0" applyFont="1" applyFill="1" applyBorder="1"/>
    <xf numFmtId="0" fontId="7" fillId="24" borderId="11" xfId="0" applyFont="1" applyFill="1" applyBorder="1"/>
    <xf numFmtId="0" fontId="7" fillId="24" borderId="1" xfId="0" applyFont="1" applyFill="1" applyBorder="1"/>
    <xf numFmtId="0" fontId="0" fillId="24" borderId="1" xfId="0" applyFill="1" applyBorder="1"/>
    <xf numFmtId="0" fontId="1" fillId="24" borderId="12" xfId="0" applyFont="1" applyFill="1" applyBorder="1"/>
    <xf numFmtId="172" fontId="1" fillId="24" borderId="9" xfId="0" applyNumberFormat="1" applyFont="1" applyFill="1" applyBorder="1"/>
    <xf numFmtId="172" fontId="1" fillId="24" borderId="1" xfId="0" applyNumberFormat="1" applyFont="1" applyFill="1" applyBorder="1"/>
    <xf numFmtId="172" fontId="1" fillId="24" borderId="3" xfId="0" applyNumberFormat="1" applyFont="1" applyFill="1" applyBorder="1"/>
    <xf numFmtId="173" fontId="35" fillId="0" borderId="0" xfId="2" applyNumberFormat="1" applyFont="1" applyFill="1" applyBorder="1" applyAlignment="1">
      <alignment horizontal="left" vertical="center"/>
    </xf>
    <xf numFmtId="173" fontId="35" fillId="23" borderId="0" xfId="2" applyNumberFormat="1" applyFont="1" applyFill="1" applyBorder="1" applyAlignment="1">
      <alignment horizontal="left" vertical="center"/>
    </xf>
    <xf numFmtId="173" fontId="35" fillId="23" borderId="0" xfId="4" applyNumberFormat="1" applyFont="1" applyFill="1" applyBorder="1" applyAlignment="1">
      <alignment horizontal="left" vertical="center"/>
    </xf>
    <xf numFmtId="0" fontId="81" fillId="22" borderId="0" xfId="0" applyFont="1" applyFill="1" applyAlignment="1">
      <alignment horizontal="left" vertical="center"/>
    </xf>
    <xf numFmtId="0" fontId="82" fillId="22" borderId="0" xfId="0" applyFont="1" applyFill="1" applyAlignment="1">
      <alignment horizontal="left" vertical="center"/>
    </xf>
    <xf numFmtId="173" fontId="35" fillId="0" borderId="1" xfId="2" applyNumberFormat="1" applyFont="1" applyFill="1" applyBorder="1" applyAlignment="1">
      <alignment horizontal="left" vertical="center"/>
    </xf>
    <xf numFmtId="173" fontId="35" fillId="0" borderId="1" xfId="4" applyNumberFormat="1" applyFont="1" applyFill="1" applyBorder="1" applyAlignment="1">
      <alignment horizontal="left" vertical="center"/>
    </xf>
    <xf numFmtId="173" fontId="35" fillId="23" borderId="1" xfId="4" applyNumberFormat="1" applyFont="1" applyFill="1" applyBorder="1" applyAlignment="1">
      <alignment horizontal="left" vertical="center"/>
    </xf>
    <xf numFmtId="173" fontId="35" fillId="0" borderId="2" xfId="4" applyNumberFormat="1" applyFont="1" applyFill="1" applyBorder="1" applyAlignment="1">
      <alignment horizontal="left" vertical="center"/>
    </xf>
    <xf numFmtId="173" fontId="35" fillId="23" borderId="2" xfId="4" applyNumberFormat="1" applyFont="1" applyFill="1" applyBorder="1" applyAlignment="1">
      <alignment horizontal="left" vertical="center"/>
    </xf>
    <xf numFmtId="173" fontId="35" fillId="0" borderId="3" xfId="4" applyNumberFormat="1" applyFont="1" applyFill="1" applyBorder="1" applyAlignment="1">
      <alignment horizontal="left" vertical="center"/>
    </xf>
    <xf numFmtId="10" fontId="80" fillId="22" borderId="16" xfId="3" applyNumberFormat="1" applyFont="1" applyFill="1" applyBorder="1" applyAlignment="1">
      <alignment horizontal="left" vertical="center"/>
    </xf>
    <xf numFmtId="10" fontId="80" fillId="22" borderId="14" xfId="3" applyNumberFormat="1" applyFont="1" applyFill="1" applyBorder="1" applyAlignment="1">
      <alignment horizontal="left" vertical="center"/>
    </xf>
    <xf numFmtId="9" fontId="80" fillId="22" borderId="15" xfId="3" applyFont="1" applyFill="1" applyBorder="1" applyAlignment="1">
      <alignment horizontal="left" vertical="center"/>
    </xf>
    <xf numFmtId="169" fontId="80" fillId="22" borderId="4" xfId="3" applyNumberFormat="1" applyFont="1" applyFill="1" applyBorder="1" applyAlignment="1">
      <alignment horizontal="left" vertical="center"/>
    </xf>
    <xf numFmtId="9" fontId="80" fillId="22" borderId="4" xfId="3" applyFont="1" applyFill="1" applyBorder="1" applyAlignment="1">
      <alignment horizontal="left" vertical="center"/>
    </xf>
    <xf numFmtId="169" fontId="80" fillId="22" borderId="5" xfId="3" applyNumberFormat="1" applyFont="1" applyFill="1" applyBorder="1" applyAlignment="1">
      <alignment horizontal="left" vertical="center"/>
    </xf>
    <xf numFmtId="0" fontId="82" fillId="22" borderId="8" xfId="0" applyFont="1" applyFill="1" applyBorder="1" applyAlignment="1">
      <alignment horizontal="left" vertical="center"/>
    </xf>
    <xf numFmtId="164" fontId="35" fillId="0" borderId="0" xfId="2" applyNumberFormat="1" applyFont="1" applyFill="1" applyBorder="1" applyAlignment="1">
      <alignment horizontal="left" vertical="center"/>
    </xf>
    <xf numFmtId="164" fontId="35" fillId="23" borderId="0" xfId="2" applyNumberFormat="1" applyFont="1" applyFill="1" applyBorder="1" applyAlignment="1">
      <alignment horizontal="left" vertical="center"/>
    </xf>
    <xf numFmtId="2" fontId="80" fillId="22" borderId="8" xfId="3" applyNumberFormat="1" applyFont="1" applyFill="1" applyBorder="1" applyAlignment="1">
      <alignment horizontal="left" vertical="center"/>
    </xf>
    <xf numFmtId="2" fontId="80" fillId="22" borderId="9" xfId="3" applyNumberFormat="1" applyFont="1" applyFill="1" applyBorder="1" applyAlignment="1">
      <alignment horizontal="left" vertical="center"/>
    </xf>
    <xf numFmtId="164" fontId="35" fillId="0" borderId="1" xfId="2" applyNumberFormat="1" applyFont="1" applyFill="1" applyBorder="1" applyAlignment="1">
      <alignment horizontal="left" vertical="center"/>
    </xf>
    <xf numFmtId="10" fontId="80" fillId="22" borderId="1" xfId="3" applyNumberFormat="1" applyFont="1" applyFill="1" applyBorder="1" applyAlignment="1">
      <alignment horizontal="left" vertical="center"/>
    </xf>
    <xf numFmtId="10" fontId="80" fillId="22" borderId="3" xfId="3" applyNumberFormat="1" applyFont="1" applyFill="1" applyBorder="1" applyAlignment="1">
      <alignment horizontal="left" vertical="center"/>
    </xf>
    <xf numFmtId="173" fontId="1" fillId="24" borderId="0" xfId="0" applyNumberFormat="1" applyFont="1" applyFill="1"/>
    <xf numFmtId="164" fontId="35" fillId="0" borderId="0" xfId="4" applyNumberFormat="1" applyFont="1" applyFill="1" applyBorder="1" applyAlignment="1">
      <alignment horizontal="left" vertical="center"/>
    </xf>
    <xf numFmtId="164" fontId="35" fillId="23" borderId="0" xfId="4" applyNumberFormat="1" applyFont="1" applyFill="1" applyBorder="1" applyAlignment="1">
      <alignment horizontal="left" vertical="center"/>
    </xf>
    <xf numFmtId="164" fontId="35" fillId="0" borderId="2" xfId="4" applyNumberFormat="1" applyFont="1" applyFill="1" applyBorder="1" applyAlignment="1">
      <alignment horizontal="left" vertical="center"/>
    </xf>
    <xf numFmtId="164" fontId="35" fillId="0" borderId="1" xfId="4" applyNumberFormat="1" applyFont="1" applyFill="1" applyBorder="1" applyAlignment="1">
      <alignment horizontal="left" vertical="center"/>
    </xf>
    <xf numFmtId="164" fontId="35" fillId="23" borderId="1" xfId="4" applyNumberFormat="1" applyFont="1" applyFill="1" applyBorder="1" applyAlignment="1">
      <alignment horizontal="left" vertical="center"/>
    </xf>
    <xf numFmtId="164" fontId="35" fillId="23" borderId="2" xfId="4" applyNumberFormat="1" applyFont="1" applyFill="1" applyBorder="1" applyAlignment="1">
      <alignment horizontal="left" vertical="center"/>
    </xf>
    <xf numFmtId="164" fontId="35" fillId="0" borderId="3" xfId="4" applyNumberFormat="1" applyFont="1" applyFill="1" applyBorder="1" applyAlignment="1">
      <alignment horizontal="left" vertical="center"/>
    </xf>
    <xf numFmtId="164" fontId="80" fillId="22" borderId="13" xfId="0" applyNumberFormat="1" applyFont="1" applyFill="1" applyBorder="1" applyAlignment="1">
      <alignment horizontal="left" vertical="center"/>
    </xf>
    <xf numFmtId="164" fontId="80" fillId="22" borderId="10" xfId="0" applyNumberFormat="1" applyFont="1" applyFill="1" applyBorder="1" applyAlignment="1">
      <alignment horizontal="left" vertical="center"/>
    </xf>
    <xf numFmtId="173" fontId="42" fillId="24" borderId="0" xfId="0" applyNumberFormat="1" applyFont="1" applyFill="1"/>
    <xf numFmtId="173" fontId="47" fillId="24" borderId="0" xfId="0" applyNumberFormat="1" applyFont="1" applyFill="1"/>
    <xf numFmtId="173" fontId="47" fillId="0" borderId="0" xfId="0" applyNumberFormat="1" applyFont="1"/>
    <xf numFmtId="0" fontId="83" fillId="22" borderId="31" xfId="0" applyFont="1" applyFill="1" applyBorder="1"/>
    <xf numFmtId="0" fontId="84" fillId="0" borderId="0" xfId="0" applyFont="1"/>
    <xf numFmtId="0" fontId="85" fillId="22" borderId="2" xfId="0" applyFont="1" applyFill="1" applyBorder="1" applyAlignment="1">
      <alignment horizontal="right"/>
    </xf>
    <xf numFmtId="0" fontId="41" fillId="22" borderId="2" xfId="0" applyFont="1" applyFill="1" applyBorder="1"/>
    <xf numFmtId="0" fontId="85" fillId="22" borderId="3" xfId="0" applyFont="1" applyFill="1" applyBorder="1" applyAlignment="1">
      <alignment horizontal="right"/>
    </xf>
    <xf numFmtId="0" fontId="85" fillId="22" borderId="29" xfId="0" applyFont="1" applyFill="1" applyBorder="1" applyAlignment="1">
      <alignment horizontal="right"/>
    </xf>
    <xf numFmtId="164" fontId="47" fillId="0" borderId="17" xfId="0" applyNumberFormat="1" applyFont="1" applyBorder="1"/>
    <xf numFmtId="164" fontId="47" fillId="0" borderId="18" xfId="0" applyNumberFormat="1" applyFont="1" applyBorder="1"/>
    <xf numFmtId="0" fontId="47" fillId="0" borderId="30" xfId="0" applyFont="1" applyBorder="1"/>
    <xf numFmtId="0" fontId="47" fillId="0" borderId="18" xfId="0" applyFont="1" applyBorder="1"/>
    <xf numFmtId="164" fontId="54" fillId="0" borderId="0" xfId="0" applyNumberFormat="1" applyFont="1" applyAlignment="1">
      <alignment horizontal="right"/>
    </xf>
    <xf numFmtId="164" fontId="54" fillId="0" borderId="18" xfId="0" applyNumberFormat="1" applyFont="1" applyBorder="1" applyAlignment="1">
      <alignment horizontal="right"/>
    </xf>
    <xf numFmtId="0" fontId="47" fillId="0" borderId="34" xfId="0" applyFont="1" applyBorder="1"/>
    <xf numFmtId="164" fontId="53" fillId="2" borderId="0" xfId="0" applyNumberFormat="1" applyFont="1" applyFill="1" applyAlignment="1">
      <alignment horizontal="right"/>
    </xf>
    <xf numFmtId="164" fontId="53" fillId="2" borderId="18" xfId="0" applyNumberFormat="1" applyFont="1" applyFill="1" applyBorder="1" applyAlignment="1">
      <alignment horizontal="right"/>
    </xf>
    <xf numFmtId="0" fontId="47" fillId="0" borderId="27" xfId="0" applyFont="1" applyBorder="1"/>
    <xf numFmtId="164" fontId="47" fillId="0" borderId="26" xfId="0" applyNumberFormat="1" applyFont="1" applyBorder="1"/>
    <xf numFmtId="164" fontId="47" fillId="0" borderId="37" xfId="0" applyNumberFormat="1" applyFont="1" applyBorder="1"/>
    <xf numFmtId="164" fontId="6" fillId="0" borderId="1" xfId="0" applyNumberFormat="1" applyFont="1" applyBorder="1"/>
    <xf numFmtId="164" fontId="11" fillId="24" borderId="1" xfId="0" applyNumberFormat="1" applyFont="1" applyFill="1" applyBorder="1"/>
    <xf numFmtId="164" fontId="10" fillId="0" borderId="0" xfId="2" applyNumberFormat="1" applyFont="1" applyBorder="1" applyAlignment="1">
      <alignment horizontal="right"/>
    </xf>
    <xf numFmtId="164" fontId="10" fillId="0" borderId="1" xfId="2" applyNumberFormat="1" applyFont="1" applyBorder="1" applyAlignment="1"/>
    <xf numFmtId="164" fontId="1" fillId="0" borderId="0" xfId="2" applyNumberFormat="1" applyFont="1" applyAlignment="1">
      <alignment horizontal="right"/>
    </xf>
    <xf numFmtId="164" fontId="1" fillId="0" borderId="2" xfId="2" applyNumberFormat="1" applyFont="1" applyBorder="1" applyAlignment="1">
      <alignment horizontal="right"/>
    </xf>
    <xf numFmtId="164" fontId="1" fillId="0" borderId="3" xfId="2" applyNumberFormat="1" applyFont="1" applyBorder="1" applyAlignment="1">
      <alignment horizontal="right"/>
    </xf>
    <xf numFmtId="164" fontId="1" fillId="0" borderId="1" xfId="2" applyNumberFormat="1" applyFont="1" applyBorder="1" applyAlignment="1">
      <alignment horizontal="right"/>
    </xf>
    <xf numFmtId="164" fontId="7" fillId="24" borderId="0" xfId="2" applyNumberFormat="1" applyFont="1" applyFill="1" applyAlignment="1">
      <alignment horizontal="right"/>
    </xf>
    <xf numFmtId="164" fontId="7" fillId="24" borderId="1" xfId="2" applyNumberFormat="1" applyFont="1" applyFill="1" applyBorder="1" applyAlignment="1">
      <alignment horizontal="right"/>
    </xf>
    <xf numFmtId="164" fontId="41" fillId="22" borderId="8" xfId="0" applyNumberFormat="1" applyFont="1" applyFill="1" applyBorder="1" applyAlignment="1">
      <alignment horizontal="right"/>
    </xf>
    <xf numFmtId="164" fontId="84" fillId="0" borderId="0" xfId="0" applyNumberFormat="1" applyFont="1"/>
    <xf numFmtId="164" fontId="47" fillId="0" borderId="31" xfId="0" applyNumberFormat="1" applyFont="1" applyBorder="1"/>
    <xf numFmtId="164" fontId="46" fillId="0" borderId="31" xfId="0" applyNumberFormat="1" applyFont="1" applyBorder="1"/>
    <xf numFmtId="164" fontId="46" fillId="0" borderId="0" xfId="0" applyNumberFormat="1" applyFont="1"/>
    <xf numFmtId="164" fontId="55" fillId="13" borderId="0" xfId="0" applyNumberFormat="1" applyFont="1" applyFill="1"/>
    <xf numFmtId="164" fontId="47" fillId="13" borderId="0" xfId="0" applyNumberFormat="1" applyFont="1" applyFill="1"/>
    <xf numFmtId="164" fontId="47" fillId="0" borderId="8" xfId="0" applyNumberFormat="1" applyFont="1" applyBorder="1"/>
    <xf numFmtId="164" fontId="47" fillId="0" borderId="9" xfId="0" applyNumberFormat="1" applyFont="1" applyBorder="1"/>
    <xf numFmtId="164" fontId="47" fillId="0" borderId="1" xfId="0" applyNumberFormat="1" applyFont="1" applyBorder="1"/>
    <xf numFmtId="164" fontId="47" fillId="0" borderId="2" xfId="0" applyNumberFormat="1" applyFont="1" applyBorder="1"/>
    <xf numFmtId="164" fontId="47" fillId="0" borderId="3" xfId="0" applyNumberFormat="1" applyFont="1" applyBorder="1"/>
    <xf numFmtId="0" fontId="40" fillId="0" borderId="30" xfId="0" applyFont="1" applyBorder="1"/>
    <xf numFmtId="0" fontId="45" fillId="0" borderId="30" xfId="0" applyFont="1" applyBorder="1"/>
    <xf numFmtId="164" fontId="42" fillId="0" borderId="30" xfId="3" applyNumberFormat="1" applyFont="1" applyBorder="1"/>
    <xf numFmtId="164" fontId="42" fillId="0" borderId="0" xfId="3" applyNumberFormat="1" applyFont="1" applyBorder="1"/>
    <xf numFmtId="164" fontId="42" fillId="0" borderId="18" xfId="3" applyNumberFormat="1" applyFont="1" applyBorder="1"/>
    <xf numFmtId="164" fontId="43" fillId="0" borderId="18" xfId="3" applyNumberFormat="1" applyFont="1" applyBorder="1"/>
    <xf numFmtId="164" fontId="43" fillId="0" borderId="18" xfId="0" applyNumberFormat="1" applyFont="1" applyBorder="1"/>
    <xf numFmtId="164" fontId="42" fillId="0" borderId="34" xfId="3" applyNumberFormat="1" applyFont="1" applyBorder="1"/>
    <xf numFmtId="164" fontId="42" fillId="0" borderId="26" xfId="3" applyNumberFormat="1" applyFont="1" applyBorder="1"/>
    <xf numFmtId="164" fontId="42" fillId="0" borderId="27" xfId="3" applyNumberFormat="1" applyFont="1" applyBorder="1"/>
    <xf numFmtId="164" fontId="43" fillId="0" borderId="27" xfId="0" applyNumberFormat="1" applyFont="1" applyBorder="1"/>
    <xf numFmtId="164" fontId="44" fillId="13" borderId="22" xfId="0" applyNumberFormat="1" applyFont="1" applyFill="1" applyBorder="1"/>
    <xf numFmtId="164" fontId="42" fillId="13" borderId="22" xfId="0" applyNumberFormat="1" applyFont="1" applyFill="1" applyBorder="1"/>
    <xf numFmtId="164" fontId="44" fillId="13" borderId="36" xfId="0" applyNumberFormat="1" applyFont="1" applyFill="1" applyBorder="1"/>
    <xf numFmtId="164" fontId="42" fillId="13" borderId="31" xfId="0" applyNumberFormat="1" applyFont="1" applyFill="1" applyBorder="1"/>
    <xf numFmtId="164" fontId="42" fillId="13" borderId="28" xfId="0" applyNumberFormat="1" applyFont="1" applyFill="1" applyBorder="1"/>
    <xf numFmtId="0" fontId="40" fillId="24" borderId="35" xfId="0" applyFont="1" applyFill="1" applyBorder="1" applyAlignment="1">
      <alignment wrapText="1"/>
    </xf>
    <xf numFmtId="0" fontId="44" fillId="24" borderId="31" xfId="0" applyFont="1" applyFill="1" applyBorder="1"/>
    <xf numFmtId="164" fontId="40" fillId="24" borderId="31" xfId="0" applyNumberFormat="1" applyFont="1" applyFill="1" applyBorder="1"/>
    <xf numFmtId="164" fontId="40" fillId="24" borderId="28" xfId="0" applyNumberFormat="1" applyFont="1" applyFill="1" applyBorder="1"/>
    <xf numFmtId="0" fontId="46" fillId="11" borderId="0" xfId="0" applyFont="1" applyFill="1"/>
    <xf numFmtId="0" fontId="87" fillId="0" borderId="0" xfId="1" applyFont="1"/>
    <xf numFmtId="0" fontId="88" fillId="0" borderId="0" xfId="0" applyFont="1"/>
    <xf numFmtId="3" fontId="63" fillId="0" borderId="0" xfId="0" applyNumberFormat="1" applyFont="1"/>
    <xf numFmtId="10" fontId="62" fillId="0" borderId="0" xfId="0" applyNumberFormat="1" applyFont="1"/>
    <xf numFmtId="0" fontId="62" fillId="9" borderId="0" xfId="0" applyFont="1" applyFill="1"/>
    <xf numFmtId="10" fontId="62" fillId="9" borderId="0" xfId="0" applyNumberFormat="1" applyFont="1" applyFill="1"/>
    <xf numFmtId="9" fontId="62" fillId="0" borderId="0" xfId="0" applyNumberFormat="1" applyFont="1"/>
    <xf numFmtId="0" fontId="91" fillId="0" borderId="0" xfId="0" applyFont="1"/>
    <xf numFmtId="0" fontId="89" fillId="0" borderId="0" xfId="0" applyFont="1"/>
    <xf numFmtId="3" fontId="91" fillId="0" borderId="0" xfId="0" applyNumberFormat="1" applyFont="1"/>
    <xf numFmtId="0" fontId="89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62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0" fontId="84" fillId="0" borderId="0" xfId="0" applyFont="1" applyAlignment="1">
      <alignment horizontal="left"/>
    </xf>
    <xf numFmtId="0" fontId="29" fillId="22" borderId="0" xfId="0" applyFont="1" applyFill="1" applyAlignment="1">
      <alignment wrapText="1"/>
    </xf>
    <xf numFmtId="0" fontId="47" fillId="0" borderId="32" xfId="0" applyFont="1" applyBorder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59" fillId="22" borderId="2" xfId="0" applyFont="1" applyFill="1" applyBorder="1" applyAlignment="1">
      <alignment horizontal="left"/>
    </xf>
    <xf numFmtId="164" fontId="66" fillId="24" borderId="13" xfId="0" applyNumberFormat="1" applyFont="1" applyFill="1" applyBorder="1"/>
    <xf numFmtId="164" fontId="67" fillId="24" borderId="13" xfId="0" applyNumberFormat="1" applyFont="1" applyFill="1" applyBorder="1" applyAlignment="1">
      <alignment horizontal="center"/>
    </xf>
    <xf numFmtId="2" fontId="67" fillId="24" borderId="13" xfId="0" applyNumberFormat="1" applyFont="1" applyFill="1" applyBorder="1" applyAlignment="1">
      <alignment horizontal="right"/>
    </xf>
    <xf numFmtId="0" fontId="64" fillId="24" borderId="13" xfId="0" applyFont="1" applyFill="1" applyBorder="1" applyAlignment="1">
      <alignment horizontal="right"/>
    </xf>
    <xf numFmtId="2" fontId="68" fillId="24" borderId="13" xfId="0" applyNumberFormat="1" applyFont="1" applyFill="1" applyBorder="1" applyAlignment="1">
      <alignment horizontal="right"/>
    </xf>
    <xf numFmtId="164" fontId="45" fillId="0" borderId="0" xfId="0" applyNumberFormat="1" applyFont="1" applyAlignment="1">
      <alignment horizontal="center" vertical="center"/>
    </xf>
    <xf numFmtId="0" fontId="50" fillId="0" borderId="30" xfId="0" applyFont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0" fillId="0" borderId="18" xfId="0" applyFont="1" applyBorder="1" applyAlignment="1">
      <alignment horizontal="left" vertical="center"/>
    </xf>
    <xf numFmtId="0" fontId="42" fillId="0" borderId="34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27" xfId="0" applyFont="1" applyBorder="1" applyAlignment="1">
      <alignment horizontal="left" vertical="center"/>
    </xf>
    <xf numFmtId="0" fontId="51" fillId="0" borderId="30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18" xfId="0" applyFont="1" applyBorder="1" applyAlignment="1">
      <alignment horizontal="left" vertical="center"/>
    </xf>
    <xf numFmtId="164" fontId="45" fillId="0" borderId="18" xfId="0" applyNumberFormat="1" applyFont="1" applyBorder="1" applyAlignment="1">
      <alignment horizontal="center" vertical="center"/>
    </xf>
    <xf numFmtId="0" fontId="41" fillId="22" borderId="32" xfId="0" applyFont="1" applyFill="1" applyBorder="1" applyAlignment="1">
      <alignment horizontal="center" vertical="center"/>
    </xf>
    <xf numFmtId="0" fontId="41" fillId="22" borderId="22" xfId="0" applyFont="1" applyFill="1" applyBorder="1" applyAlignment="1">
      <alignment horizontal="center" vertical="center"/>
    </xf>
    <xf numFmtId="0" fontId="41" fillId="22" borderId="23" xfId="0" applyFont="1" applyFill="1" applyBorder="1" applyAlignment="1">
      <alignment horizontal="center" vertical="center"/>
    </xf>
    <xf numFmtId="0" fontId="41" fillId="22" borderId="0" xfId="0" applyFont="1" applyFill="1" applyAlignment="1">
      <alignment horizontal="center" wrapText="1"/>
    </xf>
    <xf numFmtId="0" fontId="41" fillId="22" borderId="29" xfId="0" applyFont="1" applyFill="1" applyBorder="1" applyAlignment="1">
      <alignment horizontal="center" vertical="center"/>
    </xf>
    <xf numFmtId="0" fontId="41" fillId="22" borderId="30" xfId="0" applyFont="1" applyFill="1" applyBorder="1" applyAlignment="1">
      <alignment horizontal="center" vertical="center"/>
    </xf>
    <xf numFmtId="0" fontId="41" fillId="22" borderId="0" xfId="0" applyFont="1" applyFill="1" applyAlignment="1">
      <alignment horizontal="center" vertical="center"/>
    </xf>
    <xf numFmtId="0" fontId="41" fillId="22" borderId="18" xfId="0" applyFont="1" applyFill="1" applyBorder="1" applyAlignment="1">
      <alignment horizontal="center" vertical="center"/>
    </xf>
    <xf numFmtId="164" fontId="45" fillId="8" borderId="30" xfId="0" applyNumberFormat="1" applyFont="1" applyFill="1" applyBorder="1" applyAlignment="1">
      <alignment horizontal="left"/>
    </xf>
    <xf numFmtId="164" fontId="45" fillId="8" borderId="0" xfId="0" applyNumberFormat="1" applyFont="1" applyFill="1" applyAlignment="1">
      <alignment horizontal="left"/>
    </xf>
    <xf numFmtId="164" fontId="45" fillId="8" borderId="18" xfId="0" applyNumberFormat="1" applyFont="1" applyFill="1" applyBorder="1" applyAlignment="1">
      <alignment horizontal="left"/>
    </xf>
    <xf numFmtId="0" fontId="40" fillId="13" borderId="0" xfId="0" applyFont="1" applyFill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164" fontId="40" fillId="0" borderId="11" xfId="0" applyNumberFormat="1" applyFont="1" applyBorder="1" applyAlignment="1">
      <alignment horizontal="center"/>
    </xf>
    <xf numFmtId="164" fontId="40" fillId="0" borderId="0" xfId="0" applyNumberFormat="1" applyFont="1" applyAlignment="1">
      <alignment horizontal="center"/>
    </xf>
    <xf numFmtId="0" fontId="41" fillId="22" borderId="13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/>
    <xf numFmtId="164" fontId="45" fillId="8" borderId="30" xfId="0" applyNumberFormat="1" applyFont="1" applyFill="1" applyBorder="1" applyAlignment="1">
      <alignment horizontal="left" vertical="center"/>
    </xf>
    <xf numFmtId="164" fontId="45" fillId="8" borderId="0" xfId="0" applyNumberFormat="1" applyFont="1" applyFill="1" applyAlignment="1">
      <alignment horizontal="left" vertical="center"/>
    </xf>
    <xf numFmtId="164" fontId="45" fillId="8" borderId="18" xfId="0" applyNumberFormat="1" applyFont="1" applyFill="1" applyBorder="1" applyAlignment="1">
      <alignment horizontal="left" vertical="center"/>
    </xf>
    <xf numFmtId="0" fontId="45" fillId="8" borderId="30" xfId="0" applyFont="1" applyFill="1" applyBorder="1" applyAlignment="1">
      <alignment horizontal="left" vertical="center"/>
    </xf>
    <xf numFmtId="0" fontId="45" fillId="8" borderId="0" xfId="0" applyFont="1" applyFill="1" applyAlignment="1">
      <alignment horizontal="left" vertical="center"/>
    </xf>
    <xf numFmtId="0" fontId="45" fillId="8" borderId="18" xfId="0" applyFont="1" applyFill="1" applyBorder="1" applyAlignment="1">
      <alignment horizontal="left" vertical="center"/>
    </xf>
    <xf numFmtId="0" fontId="41" fillId="22" borderId="15" xfId="0" applyFont="1" applyFill="1" applyBorder="1" applyAlignment="1">
      <alignment horizontal="center"/>
    </xf>
    <xf numFmtId="0" fontId="41" fillId="22" borderId="4" xfId="0" applyFont="1" applyFill="1" applyBorder="1"/>
    <xf numFmtId="0" fontId="41" fillId="22" borderId="5" xfId="0" applyFont="1" applyFill="1" applyBorder="1"/>
    <xf numFmtId="0" fontId="38" fillId="22" borderId="5" xfId="0" applyFont="1" applyFill="1" applyBorder="1" applyAlignment="1">
      <alignment horizontal="center"/>
    </xf>
    <xf numFmtId="0" fontId="38" fillId="22" borderId="13" xfId="0" applyFont="1" applyFill="1" applyBorder="1" applyAlignment="1">
      <alignment horizontal="center"/>
    </xf>
    <xf numFmtId="0" fontId="29" fillId="22" borderId="0" xfId="0" applyFont="1" applyFill="1" applyAlignment="1">
      <alignment horizontal="center" wrapText="1"/>
    </xf>
    <xf numFmtId="0" fontId="29" fillId="22" borderId="0" xfId="0" applyFont="1" applyFill="1"/>
    <xf numFmtId="0" fontId="32" fillId="22" borderId="0" xfId="0" applyFont="1" applyFill="1"/>
    <xf numFmtId="0" fontId="39" fillId="13" borderId="11" xfId="0" applyFont="1" applyFill="1" applyBorder="1" applyAlignment="1">
      <alignment horizontal="center"/>
    </xf>
    <xf numFmtId="0" fontId="31" fillId="13" borderId="0" xfId="0" applyFont="1" applyFill="1"/>
    <xf numFmtId="0" fontId="31" fillId="13" borderId="1" xfId="0" applyFont="1" applyFill="1" applyBorder="1"/>
    <xf numFmtId="0" fontId="7" fillId="5" borderId="1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0" fillId="0" borderId="0" xfId="0"/>
    <xf numFmtId="0" fontId="12" fillId="8" borderId="0" xfId="0" applyFont="1" applyFill="1" applyAlignment="1">
      <alignment horizontal="left"/>
    </xf>
    <xf numFmtId="164" fontId="47" fillId="8" borderId="0" xfId="0" applyNumberFormat="1" applyFont="1" applyFill="1" applyAlignment="1">
      <alignment horizontal="left"/>
    </xf>
    <xf numFmtId="0" fontId="44" fillId="5" borderId="12" xfId="0" applyFont="1" applyFill="1" applyBorder="1" applyAlignment="1">
      <alignment horizontal="left"/>
    </xf>
    <xf numFmtId="0" fontId="44" fillId="5" borderId="2" xfId="0" applyFont="1" applyFill="1" applyBorder="1" applyAlignment="1">
      <alignment horizontal="left"/>
    </xf>
    <xf numFmtId="0" fontId="47" fillId="8" borderId="0" xfId="0" applyFont="1" applyFill="1" applyAlignment="1">
      <alignment horizontal="left"/>
    </xf>
    <xf numFmtId="164" fontId="47" fillId="8" borderId="2" xfId="0" applyNumberFormat="1" applyFont="1" applyFill="1" applyBorder="1" applyAlignment="1">
      <alignment horizontal="left"/>
    </xf>
    <xf numFmtId="164" fontId="37" fillId="8" borderId="0" xfId="0" applyNumberFormat="1" applyFont="1" applyFill="1" applyAlignment="1">
      <alignment horizontal="left"/>
    </xf>
    <xf numFmtId="0" fontId="0" fillId="8" borderId="0" xfId="0" applyFill="1" applyAlignment="1">
      <alignment horizontal="left"/>
    </xf>
    <xf numFmtId="0" fontId="29" fillId="22" borderId="26" xfId="0" applyFont="1" applyFill="1" applyBorder="1" applyAlignment="1">
      <alignment horizontal="center" wrapText="1"/>
    </xf>
    <xf numFmtId="0" fontId="83" fillId="22" borderId="34" xfId="0" applyFont="1" applyFill="1" applyBorder="1" applyAlignment="1">
      <alignment horizontal="left" vertical="center"/>
    </xf>
    <xf numFmtId="0" fontId="83" fillId="22" borderId="27" xfId="0" applyFont="1" applyFill="1" applyBorder="1" applyAlignment="1">
      <alignment horizontal="left" vertical="center"/>
    </xf>
    <xf numFmtId="0" fontId="84" fillId="11" borderId="32" xfId="0" applyFont="1" applyFill="1" applyBorder="1" applyAlignment="1">
      <alignment horizontal="left"/>
    </xf>
    <xf numFmtId="0" fontId="84" fillId="11" borderId="23" xfId="0" applyFont="1" applyFill="1" applyBorder="1" applyAlignment="1">
      <alignment horizontal="left"/>
    </xf>
    <xf numFmtId="0" fontId="53" fillId="0" borderId="22" xfId="0" applyFont="1" applyBorder="1" applyAlignment="1">
      <alignment horizontal="center"/>
    </xf>
    <xf numFmtId="0" fontId="53" fillId="0" borderId="33" xfId="0" applyFont="1" applyBorder="1" applyAlignment="1">
      <alignment horizontal="center"/>
    </xf>
    <xf numFmtId="0" fontId="5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9" fillId="19" borderId="13" xfId="0" applyFont="1" applyFill="1" applyBorder="1"/>
    <xf numFmtId="0" fontId="61" fillId="22" borderId="0" xfId="0" applyFont="1" applyFill="1" applyAlignment="1">
      <alignment horizontal="center" wrapText="1"/>
    </xf>
    <xf numFmtId="0" fontId="61" fillId="22" borderId="26" xfId="0" applyFont="1" applyFill="1" applyBorder="1" applyAlignment="1">
      <alignment horizontal="center" wrapText="1"/>
    </xf>
    <xf numFmtId="0" fontId="52" fillId="22" borderId="11" xfId="0" applyFont="1" applyFill="1" applyBorder="1" applyAlignment="1">
      <alignment horizontal="center"/>
    </xf>
    <xf numFmtId="0" fontId="52" fillId="22" borderId="0" xfId="0" applyFont="1" applyFill="1" applyAlignment="1">
      <alignment horizontal="center"/>
    </xf>
    <xf numFmtId="0" fontId="7" fillId="24" borderId="0" xfId="0" applyFont="1" applyFill="1" applyAlignment="1">
      <alignment horizontal="left"/>
    </xf>
    <xf numFmtId="0" fontId="80" fillId="22" borderId="0" xfId="0" applyFont="1" applyFill="1" applyAlignment="1">
      <alignment horizontal="center" vertical="center"/>
    </xf>
    <xf numFmtId="0" fontId="80" fillId="22" borderId="45" xfId="0" applyFont="1" applyFill="1" applyBorder="1" applyAlignment="1">
      <alignment horizontal="center" vertical="center"/>
    </xf>
    <xf numFmtId="0" fontId="80" fillId="22" borderId="16" xfId="0" applyFont="1" applyFill="1" applyBorder="1" applyAlignment="1">
      <alignment horizontal="center" vertical="center"/>
    </xf>
    <xf numFmtId="0" fontId="80" fillId="22" borderId="14" xfId="0" applyFont="1" applyFill="1" applyBorder="1" applyAlignment="1">
      <alignment horizontal="center" vertical="center"/>
    </xf>
    <xf numFmtId="0" fontId="80" fillId="22" borderId="16" xfId="0" applyFont="1" applyFill="1" applyBorder="1" applyAlignment="1">
      <alignment horizontal="left" vertical="center"/>
    </xf>
    <xf numFmtId="0" fontId="80" fillId="22" borderId="14" xfId="0" applyFont="1" applyFill="1" applyBorder="1" applyAlignment="1">
      <alignment horizontal="left" vertical="center"/>
    </xf>
    <xf numFmtId="0" fontId="80" fillId="22" borderId="45" xfId="0" applyFont="1" applyFill="1" applyBorder="1" applyAlignment="1">
      <alignment horizontal="left" vertical="center"/>
    </xf>
    <xf numFmtId="0" fontId="92" fillId="0" borderId="0" xfId="0" applyFont="1"/>
    <xf numFmtId="0" fontId="93" fillId="25" borderId="0" xfId="0" applyFont="1" applyFill="1" applyAlignment="1">
      <alignment horizontal="center"/>
    </xf>
    <xf numFmtId="0" fontId="94" fillId="25" borderId="0" xfId="0" applyFont="1" applyFill="1" applyAlignment="1">
      <alignment horizontal="center" wrapText="1"/>
    </xf>
    <xf numFmtId="0" fontId="93" fillId="0" borderId="0" xfId="0" applyFont="1" applyFill="1"/>
    <xf numFmtId="0" fontId="0" fillId="0" borderId="0" xfId="0" applyFill="1"/>
  </cellXfs>
  <cellStyles count="5">
    <cellStyle name="Comma" xfId="4" builtinId="3"/>
    <cellStyle name="Currency" xfId="2" builtinId="4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354C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18</xdr:row>
      <xdr:rowOff>114300</xdr:rowOff>
    </xdr:from>
    <xdr:to>
      <xdr:col>14</xdr:col>
      <xdr:colOff>571500</xdr:colOff>
      <xdr:row>20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6ECD8-0B22-D457-FD2C-8F2D6F94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6825" y="3695700"/>
          <a:ext cx="3086100" cy="31432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5</xdr:row>
      <xdr:rowOff>0</xdr:rowOff>
    </xdr:from>
    <xdr:to>
      <xdr:col>13</xdr:col>
      <xdr:colOff>247650</xdr:colOff>
      <xdr:row>7</xdr:row>
      <xdr:rowOff>57150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3610770B-B1F3-A237-EC31-B4757A1EBF94}"/>
            </a:ext>
            <a:ext uri="{147F2762-F138-4A5C-976F-8EAC2B608ADB}">
              <a16:predDERef xmlns:a16="http://schemas.microsoft.com/office/drawing/2014/main" pred="{3BA6ECD8-0B22-D457-FD2C-8F2D6F94DF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1000125"/>
          <a:ext cx="18669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85725</xdr:rowOff>
    </xdr:from>
    <xdr:to>
      <xdr:col>4</xdr:col>
      <xdr:colOff>685800</xdr:colOff>
      <xdr:row>62</xdr:row>
      <xdr:rowOff>28575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6CA788C-E6AA-3F04-A28C-F5AA2517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96200"/>
          <a:ext cx="7705725" cy="4829175"/>
        </a:xfrm>
        <a:prstGeom prst="rect">
          <a:avLst/>
        </a:prstGeom>
      </xdr:spPr>
    </xdr:pic>
    <xdr:clientData/>
  </xdr:twoCellAnchor>
  <xdr:twoCellAnchor editAs="oneCell">
    <xdr:from>
      <xdr:col>4</xdr:col>
      <xdr:colOff>755650</xdr:colOff>
      <xdr:row>38</xdr:row>
      <xdr:rowOff>57150</xdr:rowOff>
    </xdr:from>
    <xdr:to>
      <xdr:col>11</xdr:col>
      <xdr:colOff>479425</xdr:colOff>
      <xdr:row>62</xdr:row>
      <xdr:rowOff>47625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515E08AC-705D-902D-B8A2-632D9795EA62}"/>
            </a:ext>
            <a:ext uri="{147F2762-F138-4A5C-976F-8EAC2B608ADB}">
              <a16:predDERef xmlns:a16="http://schemas.microsoft.com/office/drawing/2014/main" pred="{46CA788C-E6AA-3F04-A28C-F5AA2517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5575" y="7667625"/>
          <a:ext cx="7743825" cy="4876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iana-my.sharepoint.com/Users/vaishnaviramesh/Downloads/PATK%20Operating%20Model%20Solution.xlsx" TargetMode="External"/><Relationship Id="rId1" Type="http://schemas.openxmlformats.org/officeDocument/2006/relationships/externalLinkPath" Target="/Users/vaishnaviramesh/Downloads/PATK%20Operating%20Model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Common Size Statements &gt;&gt;&gt;"/>
      <sheetName val="Income Statement (Common Size)"/>
      <sheetName val="Balance Sheet (Common Size)"/>
      <sheetName val="Historical Financials &gt;&gt;&gt;"/>
      <sheetName val="Revenue Build"/>
      <sheetName val="Income Statement"/>
      <sheetName val="Balance Sheet"/>
      <sheetName val="Cash Flows"/>
      <sheetName val="Debt, Buybacks &amp; Dividends"/>
      <sheetName val="Asset Schedule"/>
      <sheetName val="UFCF &gt;&gt;&gt;"/>
      <sheetName val="Calculation of UFCF"/>
      <sheetName val="Comparables Analysis &gt;&gt;&gt;"/>
      <sheetName val="Comps"/>
      <sheetName val="DCF &gt;&gt;&gt;"/>
      <sheetName val="DCF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C9" t="str">
            <v>Total Revenue</v>
          </cell>
        </row>
        <row r="13">
          <cell r="C13" t="str">
            <v>Total Cost of Goods Sold</v>
          </cell>
        </row>
      </sheetData>
      <sheetData sheetId="7"/>
      <sheetData sheetId="8"/>
      <sheetData sheetId="9">
        <row r="12">
          <cell r="H12">
            <v>-7500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analysis.com/quote/etr/PUM/statistics/?utm_source=chatgpt.com" TargetMode="External"/><Relationship Id="rId13" Type="http://schemas.openxmlformats.org/officeDocument/2006/relationships/hyperlink" Target="https://finance.yahoo.com/quote/CROX/?utm_source=chatgpt.com" TargetMode="External"/><Relationship Id="rId18" Type="http://schemas.openxmlformats.org/officeDocument/2006/relationships/hyperlink" Target="https://www.gurufocus.com/term/debt-to-equity/VFC?utm_source=chatgpt.com" TargetMode="External"/><Relationship Id="rId3" Type="http://schemas.openxmlformats.org/officeDocument/2006/relationships/hyperlink" Target="https://finance.yahoo.com/quote/VFC/" TargetMode="External"/><Relationship Id="rId21" Type="http://schemas.openxmlformats.org/officeDocument/2006/relationships/hyperlink" Target="https://finance.yahoo.com/quote/DECK/" TargetMode="External"/><Relationship Id="rId7" Type="http://schemas.openxmlformats.org/officeDocument/2006/relationships/hyperlink" Target="https://stockanalysis.com/stocks/skx/statistics/?utm_source=chatgpt.com" TargetMode="External"/><Relationship Id="rId12" Type="http://schemas.openxmlformats.org/officeDocument/2006/relationships/hyperlink" Target="https://stockanalysis.com/stocks/crox/statistics/?utm_source=chatgpt.com" TargetMode="External"/><Relationship Id="rId17" Type="http://schemas.openxmlformats.org/officeDocument/2006/relationships/hyperlink" Target="https://stockanalysis.com/stocks/vfc/statistics/?utm_source=chatgpt.com" TargetMode="External"/><Relationship Id="rId2" Type="http://schemas.openxmlformats.org/officeDocument/2006/relationships/hyperlink" Target="https://finance.yahoo.com/quote/CROX/" TargetMode="External"/><Relationship Id="rId16" Type="http://schemas.openxmlformats.org/officeDocument/2006/relationships/hyperlink" Target="https://stockanalysis.com/stocks/vfc/statistics/?utm_source=chatgpt.com" TargetMode="External"/><Relationship Id="rId20" Type="http://schemas.openxmlformats.org/officeDocument/2006/relationships/hyperlink" Target="https://finance.yahoo.com/quote/NKE/" TargetMode="External"/><Relationship Id="rId1" Type="http://schemas.openxmlformats.org/officeDocument/2006/relationships/hyperlink" Target="https://finance.yahoo.com/quote/SKX/" TargetMode="External"/><Relationship Id="rId6" Type="http://schemas.openxmlformats.org/officeDocument/2006/relationships/hyperlink" Target="https://ycharts.com/companies/SKX/debt_equity_ratio?utm_source=chatgpt.com" TargetMode="External"/><Relationship Id="rId11" Type="http://schemas.openxmlformats.org/officeDocument/2006/relationships/hyperlink" Target="https://stockanalysis.com/quote/etr/PUM/statistics/?utm_source=chatgpt.com" TargetMode="External"/><Relationship Id="rId5" Type="http://schemas.openxmlformats.org/officeDocument/2006/relationships/hyperlink" Target="https://finance.yahoo.com/quote/SKX/key-statistics/?utm_source=chatgpt.com" TargetMode="External"/><Relationship Id="rId15" Type="http://schemas.openxmlformats.org/officeDocument/2006/relationships/hyperlink" Target="https://stockanalysis.com/stocks/crox/statistics/?utm_source=chatgpt.com" TargetMode="External"/><Relationship Id="rId10" Type="http://schemas.openxmlformats.org/officeDocument/2006/relationships/hyperlink" Target="https://stockanalysis.com/quote/otc/PMMAF/statistics/?utm_source=chatgpt.com" TargetMode="External"/><Relationship Id="rId19" Type="http://schemas.openxmlformats.org/officeDocument/2006/relationships/hyperlink" Target="https://stockanalysis.com/stocks/vfc/statistics/?utm_source=chatgpt.com" TargetMode="External"/><Relationship Id="rId4" Type="http://schemas.openxmlformats.org/officeDocument/2006/relationships/hyperlink" Target="https://stockanalysis.com/stocks/skx/statistics/?utm_source=chatgpt.com" TargetMode="External"/><Relationship Id="rId9" Type="http://schemas.openxmlformats.org/officeDocument/2006/relationships/hyperlink" Target="https://stockanalysis.com/quote/otc/PMMAF/statistics/?utm_source=chatgpt.com" TargetMode="External"/><Relationship Id="rId14" Type="http://schemas.openxmlformats.org/officeDocument/2006/relationships/hyperlink" Target="https://www.alphaquery.com/stock/CROX/fundamentals/quarterly/common-shares-outstanding?utm_source=chatgpt.com" TargetMode="External"/><Relationship Id="rId22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analysis.com/quote/etr/PUM/statistics/?utm_source=chatgpt.com" TargetMode="External"/><Relationship Id="rId13" Type="http://schemas.openxmlformats.org/officeDocument/2006/relationships/hyperlink" Target="https://finance.yahoo.com/quote/CROX/?utm_source=chatgpt.com" TargetMode="External"/><Relationship Id="rId18" Type="http://schemas.openxmlformats.org/officeDocument/2006/relationships/hyperlink" Target="https://www.gurufocus.com/term/debt-to-equity/VFC?utm_source=chatgpt.com" TargetMode="External"/><Relationship Id="rId3" Type="http://schemas.openxmlformats.org/officeDocument/2006/relationships/hyperlink" Target="https://finance.yahoo.com/quote/DECK/" TargetMode="External"/><Relationship Id="rId7" Type="http://schemas.openxmlformats.org/officeDocument/2006/relationships/hyperlink" Target="https://stockanalysis.com/stocks/skx/statistics/?utm_source=chatgpt.com" TargetMode="External"/><Relationship Id="rId12" Type="http://schemas.openxmlformats.org/officeDocument/2006/relationships/hyperlink" Target="https://stockanalysis.com/stocks/crox/statistics/?utm_source=chatgpt.com" TargetMode="External"/><Relationship Id="rId17" Type="http://schemas.openxmlformats.org/officeDocument/2006/relationships/hyperlink" Target="https://stockanalysis.com/stocks/vfc/statistics/?utm_source=chatgpt.com" TargetMode="External"/><Relationship Id="rId2" Type="http://schemas.openxmlformats.org/officeDocument/2006/relationships/hyperlink" Target="https://pages.stern.nyu.edu/~adamodar/" TargetMode="External"/><Relationship Id="rId16" Type="http://schemas.openxmlformats.org/officeDocument/2006/relationships/hyperlink" Target="https://stockanalysis.com/stocks/vfc/statistics/?utm_source=chatgpt.com" TargetMode="External"/><Relationship Id="rId1" Type="http://schemas.openxmlformats.org/officeDocument/2006/relationships/hyperlink" Target="https://home.treasury.gov/resource-center/data-chart-center/interest-rates/TextView?type=daily_treasury_yield_curve&amp;field_tdr_date_value_month=202508" TargetMode="External"/><Relationship Id="rId6" Type="http://schemas.openxmlformats.org/officeDocument/2006/relationships/hyperlink" Target="https://ycharts.com/companies/SKX/debt_equity_ratio?utm_source=chatgpt.com" TargetMode="External"/><Relationship Id="rId11" Type="http://schemas.openxmlformats.org/officeDocument/2006/relationships/hyperlink" Target="https://stockanalysis.com/quote/etr/PUM/statistics/?utm_source=chatgpt.com" TargetMode="External"/><Relationship Id="rId5" Type="http://schemas.openxmlformats.org/officeDocument/2006/relationships/hyperlink" Target="https://finance.yahoo.com/quote/SKX/key-statistics/?utm_source=chatgpt.com" TargetMode="External"/><Relationship Id="rId15" Type="http://schemas.openxmlformats.org/officeDocument/2006/relationships/hyperlink" Target="https://stockanalysis.com/stocks/crox/statistics/?utm_source=chatgpt.com" TargetMode="External"/><Relationship Id="rId10" Type="http://schemas.openxmlformats.org/officeDocument/2006/relationships/hyperlink" Target="https://stockanalysis.com/quote/otc/PMMAF/statistics/?utm_source=chatgpt.com" TargetMode="External"/><Relationship Id="rId19" Type="http://schemas.openxmlformats.org/officeDocument/2006/relationships/hyperlink" Target="https://stockanalysis.com/stocks/vfc/statistics/?utm_source=chatgpt.com" TargetMode="External"/><Relationship Id="rId4" Type="http://schemas.openxmlformats.org/officeDocument/2006/relationships/hyperlink" Target="https://stockanalysis.com/stocks/skx/statistics/?utm_source=chatgpt.com" TargetMode="External"/><Relationship Id="rId9" Type="http://schemas.openxmlformats.org/officeDocument/2006/relationships/hyperlink" Target="https://stockanalysis.com/quote/otc/PMMAF/statistics/?utm_source=chatgpt.com" TargetMode="External"/><Relationship Id="rId14" Type="http://schemas.openxmlformats.org/officeDocument/2006/relationships/hyperlink" Target="https://www.alphaquery.com/stock/CROX/fundamentals/quarterly/common-shares-outstanding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2688A-5B9C-2040-8BA4-32FD4393BD84}">
  <dimension ref="A4:R11"/>
  <sheetViews>
    <sheetView showGridLines="0" tabSelected="1" workbookViewId="0">
      <selection activeCell="E25" sqref="E25"/>
    </sheetView>
  </sheetViews>
  <sheetFormatPr baseColWidth="10" defaultRowHeight="13" x14ac:dyDescent="0.15"/>
  <sheetData>
    <row r="4" spans="1:18" ht="23" x14ac:dyDescent="0.25">
      <c r="A4" s="596" t="s">
        <v>481</v>
      </c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</row>
    <row r="5" spans="1:18" ht="23" x14ac:dyDescent="0.25">
      <c r="A5" s="596" t="s">
        <v>479</v>
      </c>
      <c r="B5" s="596"/>
      <c r="C5" s="596"/>
      <c r="D5" s="596"/>
      <c r="E5" s="596"/>
      <c r="F5" s="596"/>
      <c r="G5" s="596"/>
      <c r="H5" s="596"/>
      <c r="I5" s="596"/>
      <c r="J5" s="596"/>
      <c r="K5" s="596"/>
      <c r="L5" s="596"/>
      <c r="M5" s="596"/>
      <c r="N5" s="596"/>
      <c r="O5" s="596"/>
      <c r="P5" s="596"/>
      <c r="Q5" s="596"/>
      <c r="R5" s="596"/>
    </row>
    <row r="6" spans="1:18" ht="23" x14ac:dyDescent="0.25">
      <c r="A6" s="598"/>
      <c r="B6" s="598"/>
      <c r="C6" s="599"/>
    </row>
    <row r="7" spans="1:18" ht="23" customHeight="1" x14ac:dyDescent="0.15">
      <c r="A7" s="597" t="s">
        <v>480</v>
      </c>
      <c r="B7" s="597"/>
      <c r="C7" s="597"/>
      <c r="D7" s="597"/>
      <c r="E7" s="597"/>
      <c r="F7" s="597"/>
      <c r="G7" s="597"/>
      <c r="H7" s="597"/>
      <c r="I7" s="597"/>
      <c r="J7" s="597"/>
      <c r="K7" s="597"/>
      <c r="L7" s="597"/>
      <c r="M7" s="597"/>
      <c r="N7" s="597"/>
      <c r="O7" s="597"/>
      <c r="P7" s="597"/>
      <c r="Q7" s="597"/>
      <c r="R7" s="597"/>
    </row>
    <row r="8" spans="1:18" ht="23" customHeight="1" x14ac:dyDescent="0.15">
      <c r="A8" s="597"/>
      <c r="B8" s="597"/>
      <c r="C8" s="597"/>
      <c r="D8" s="597"/>
      <c r="E8" s="597"/>
      <c r="F8" s="597"/>
      <c r="G8" s="597"/>
      <c r="H8" s="597"/>
      <c r="I8" s="597"/>
      <c r="J8" s="597"/>
      <c r="K8" s="597"/>
      <c r="L8" s="597"/>
      <c r="M8" s="597"/>
      <c r="N8" s="597"/>
      <c r="O8" s="597"/>
      <c r="P8" s="597"/>
      <c r="Q8" s="597"/>
      <c r="R8" s="597"/>
    </row>
    <row r="9" spans="1:18" ht="22" x14ac:dyDescent="0.25">
      <c r="A9" s="595"/>
    </row>
    <row r="10" spans="1:18" ht="22" x14ac:dyDescent="0.25">
      <c r="A10" s="595"/>
    </row>
    <row r="11" spans="1:18" ht="22" x14ac:dyDescent="0.25">
      <c r="A11" s="595"/>
    </row>
  </sheetData>
  <mergeCells count="3">
    <mergeCell ref="A4:R4"/>
    <mergeCell ref="A5:R5"/>
    <mergeCell ref="A7:R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1"/>
  <sheetViews>
    <sheetView workbookViewId="0">
      <selection activeCell="D15" sqref="D15"/>
    </sheetView>
  </sheetViews>
  <sheetFormatPr baseColWidth="10" defaultColWidth="12.6640625" defaultRowHeight="15.75" customHeight="1" x14ac:dyDescent="0.15"/>
  <cols>
    <col min="1" max="1" width="44" style="168" customWidth="1"/>
    <col min="2" max="3" width="12.6640625" style="114" hidden="1" customWidth="1"/>
    <col min="4" max="9" width="16.1640625" style="114" bestFit="1" customWidth="1"/>
    <col min="10" max="10" width="16.6640625" style="114" bestFit="1" customWidth="1"/>
    <col min="11" max="13" width="16.1640625" style="114" bestFit="1" customWidth="1"/>
    <col min="14" max="19" width="17.5" style="114" bestFit="1" customWidth="1"/>
    <col min="20" max="20" width="12.6640625" style="114" bestFit="1"/>
    <col min="21" max="16384" width="12.6640625" style="114"/>
  </cols>
  <sheetData>
    <row r="1" spans="1:25" ht="15.75" customHeight="1" x14ac:dyDescent="0.15">
      <c r="A1" s="111"/>
      <c r="B1" s="112"/>
      <c r="C1" s="112"/>
      <c r="D1" s="526" t="s">
        <v>0</v>
      </c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113"/>
      <c r="U1" s="113"/>
      <c r="V1" s="113"/>
      <c r="W1" s="113"/>
      <c r="X1" s="113"/>
      <c r="Y1" s="113"/>
    </row>
    <row r="2" spans="1:25" ht="15.75" customHeight="1" x14ac:dyDescent="0.15">
      <c r="A2" s="111"/>
      <c r="B2" s="112"/>
      <c r="C2" s="112"/>
      <c r="D2" s="526" t="s">
        <v>1</v>
      </c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113"/>
      <c r="U2" s="113"/>
      <c r="V2" s="113"/>
      <c r="W2" s="113"/>
      <c r="X2" s="113"/>
      <c r="Y2" s="113"/>
    </row>
    <row r="3" spans="1:25" ht="15.75" customHeight="1" x14ac:dyDescent="0.15">
      <c r="A3" s="111"/>
      <c r="B3" s="112"/>
      <c r="C3" s="112"/>
      <c r="D3" s="526" t="s">
        <v>2</v>
      </c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113"/>
      <c r="U3" s="113"/>
      <c r="V3" s="113"/>
      <c r="W3" s="113"/>
      <c r="X3" s="113"/>
      <c r="Y3" s="113"/>
    </row>
    <row r="4" spans="1:25" ht="15.75" customHeight="1" x14ac:dyDescent="0.15">
      <c r="A4" s="115"/>
      <c r="B4" s="116" t="s">
        <v>3</v>
      </c>
      <c r="C4" s="116"/>
      <c r="D4" s="534" t="s">
        <v>4</v>
      </c>
      <c r="E4" s="534"/>
      <c r="F4" s="534"/>
      <c r="G4" s="534"/>
      <c r="H4" s="534"/>
      <c r="I4" s="535"/>
      <c r="J4" s="536" t="s">
        <v>5</v>
      </c>
      <c r="K4" s="537"/>
      <c r="L4" s="537"/>
      <c r="M4" s="537"/>
      <c r="N4" s="537"/>
      <c r="O4" s="537"/>
      <c r="P4" s="537"/>
      <c r="Q4" s="537"/>
      <c r="R4" s="537"/>
      <c r="S4" s="537"/>
      <c r="T4" s="113"/>
      <c r="U4" s="113"/>
      <c r="V4" s="113"/>
      <c r="W4" s="113"/>
      <c r="X4" s="113"/>
      <c r="Y4" s="113"/>
    </row>
    <row r="5" spans="1:25" ht="15.75" customHeight="1" x14ac:dyDescent="0.15">
      <c r="A5" s="117"/>
      <c r="B5" s="118">
        <v>2018</v>
      </c>
      <c r="C5" s="118">
        <v>2019</v>
      </c>
      <c r="D5" s="119">
        <v>2020</v>
      </c>
      <c r="E5" s="119">
        <v>2021</v>
      </c>
      <c r="F5" s="119">
        <v>2022</v>
      </c>
      <c r="G5" s="119">
        <v>2023</v>
      </c>
      <c r="H5" s="119">
        <v>2024</v>
      </c>
      <c r="I5" s="120">
        <v>2025</v>
      </c>
      <c r="J5" s="119">
        <v>2026</v>
      </c>
      <c r="K5" s="119">
        <v>2027</v>
      </c>
      <c r="L5" s="119">
        <v>2028</v>
      </c>
      <c r="M5" s="119">
        <v>2029</v>
      </c>
      <c r="N5" s="119">
        <v>2030</v>
      </c>
      <c r="O5" s="119">
        <v>2031</v>
      </c>
      <c r="P5" s="119">
        <v>2032</v>
      </c>
      <c r="Q5" s="119">
        <v>2033</v>
      </c>
      <c r="R5" s="119">
        <v>2034</v>
      </c>
      <c r="S5" s="120">
        <v>2035</v>
      </c>
      <c r="T5" s="113"/>
      <c r="U5" s="113"/>
      <c r="V5" s="113"/>
      <c r="W5" s="113"/>
      <c r="X5" s="113"/>
      <c r="Y5" s="113"/>
    </row>
    <row r="6" spans="1:25" ht="15.75" customHeight="1" x14ac:dyDescent="0.15">
      <c r="A6" s="117" t="s">
        <v>6</v>
      </c>
      <c r="B6" s="121"/>
      <c r="C6" s="121"/>
      <c r="D6" s="121"/>
      <c r="E6" s="122"/>
      <c r="F6" s="121"/>
      <c r="G6" s="121"/>
      <c r="H6" s="122"/>
      <c r="I6" s="123"/>
      <c r="J6" s="124"/>
      <c r="K6" s="124"/>
      <c r="L6" s="124"/>
      <c r="M6" s="124"/>
      <c r="N6" s="124"/>
      <c r="O6" s="124"/>
      <c r="P6" s="124"/>
      <c r="Q6" s="124"/>
      <c r="R6" s="124"/>
      <c r="S6" s="124"/>
      <c r="T6" s="113"/>
      <c r="U6" s="113"/>
      <c r="V6" s="113"/>
      <c r="W6" s="113"/>
      <c r="X6" s="113"/>
      <c r="Y6" s="113"/>
    </row>
    <row r="7" spans="1:25" ht="15.75" customHeight="1" x14ac:dyDescent="0.15">
      <c r="A7" s="125" t="s">
        <v>7</v>
      </c>
      <c r="B7" s="126">
        <v>429970</v>
      </c>
      <c r="C7" s="126">
        <v>589692</v>
      </c>
      <c r="D7" s="127">
        <v>649436</v>
      </c>
      <c r="E7" s="128">
        <v>1089361</v>
      </c>
      <c r="F7" s="127">
        <v>843527</v>
      </c>
      <c r="G7" s="129">
        <v>981795</v>
      </c>
      <c r="H7" s="128">
        <v>1502051</v>
      </c>
      <c r="I7" s="130">
        <v>1889188</v>
      </c>
      <c r="J7" s="131">
        <f>'Balanced Proforma'!C21</f>
        <v>2131469.4547243617</v>
      </c>
      <c r="K7" s="132">
        <f>Proforma!D18</f>
        <v>2335668.7411201955</v>
      </c>
      <c r="L7" s="132">
        <f>Proforma!E18</f>
        <v>2768891.8819427029</v>
      </c>
      <c r="M7" s="132">
        <f>Proforma!F18</f>
        <v>3282469.8635180579</v>
      </c>
      <c r="N7" s="132">
        <f>Proforma!G18</f>
        <v>3891307.0153337317</v>
      </c>
      <c r="O7" s="132">
        <f>Proforma!H18</f>
        <v>4613072.1429857882</v>
      </c>
      <c r="P7" s="132">
        <f>Proforma!I18</f>
        <v>5468711.287116576</v>
      </c>
      <c r="Q7" s="132">
        <f>Proforma!J18</f>
        <v>6483055.5896052402</v>
      </c>
      <c r="R7" s="132">
        <f>Proforma!K18</f>
        <v>7685541.9076387947</v>
      </c>
      <c r="S7" s="133">
        <f>Proforma!L18</f>
        <v>9111067.088300081</v>
      </c>
      <c r="T7" s="113"/>
      <c r="U7" s="113"/>
      <c r="V7" s="113"/>
      <c r="W7" s="113"/>
      <c r="X7" s="113"/>
      <c r="Y7" s="113"/>
    </row>
    <row r="8" spans="1:25" ht="15.75" customHeight="1" x14ac:dyDescent="0.15">
      <c r="A8" s="125" t="s">
        <v>8</v>
      </c>
      <c r="B8" s="126">
        <v>143704</v>
      </c>
      <c r="C8" s="126">
        <v>178602</v>
      </c>
      <c r="D8" s="127">
        <v>185596</v>
      </c>
      <c r="E8" s="128">
        <v>215718</v>
      </c>
      <c r="F8" s="127">
        <v>302688</v>
      </c>
      <c r="G8" s="129">
        <v>301511</v>
      </c>
      <c r="H8" s="128">
        <v>296565</v>
      </c>
      <c r="I8" s="128">
        <v>332872</v>
      </c>
      <c r="J8" s="134">
        <f>Proforma!C19</f>
        <v>971564.44333060738</v>
      </c>
      <c r="K8" s="127">
        <f>Proforma!D19</f>
        <v>1151771.5901066049</v>
      </c>
      <c r="L8" s="127">
        <f>Proforma!E19</f>
        <v>1365403.813285996</v>
      </c>
      <c r="M8" s="127">
        <f>Proforma!F19</f>
        <v>1618660.843304341</v>
      </c>
      <c r="N8" s="127">
        <f>Proforma!G19</f>
        <v>1918892.34536503</v>
      </c>
      <c r="O8" s="127">
        <f>Proforma!H19</f>
        <v>2274811.2109660688</v>
      </c>
      <c r="P8" s="127">
        <f>Proforma!I19</f>
        <v>2696746.4110408537</v>
      </c>
      <c r="Q8" s="127">
        <f>Proforma!J19</f>
        <v>3196942.7486570459</v>
      </c>
      <c r="R8" s="127">
        <f>Proforma!K19</f>
        <v>3789916.2102698847</v>
      </c>
      <c r="S8" s="135">
        <f>Proforma!L19</f>
        <v>4492875.2280284576</v>
      </c>
      <c r="T8" s="113"/>
      <c r="U8" s="113"/>
      <c r="V8" s="113"/>
      <c r="W8" s="113"/>
      <c r="X8" s="113"/>
      <c r="Y8" s="113"/>
    </row>
    <row r="9" spans="1:25" ht="15.75" customHeight="1" x14ac:dyDescent="0.15">
      <c r="A9" s="125" t="s">
        <v>9</v>
      </c>
      <c r="B9" s="126">
        <v>299602</v>
      </c>
      <c r="C9" s="126">
        <v>278842</v>
      </c>
      <c r="D9" s="127">
        <v>311620</v>
      </c>
      <c r="E9" s="128">
        <v>278242</v>
      </c>
      <c r="F9" s="127">
        <v>506796</v>
      </c>
      <c r="G9" s="129">
        <v>532852</v>
      </c>
      <c r="H9" s="128">
        <v>474311</v>
      </c>
      <c r="I9" s="128">
        <v>495226</v>
      </c>
      <c r="J9" s="134">
        <f>Proforma!C20</f>
        <v>603246.01508258295</v>
      </c>
      <c r="K9" s="127">
        <f>Proforma!D20</f>
        <v>715136.93897164369</v>
      </c>
      <c r="L9" s="127">
        <f>Proforma!E20</f>
        <v>847781.54964143457</v>
      </c>
      <c r="M9" s="127">
        <f>Proforma!F20</f>
        <v>1005029.2702625046</v>
      </c>
      <c r="N9" s="127">
        <f>Proforma!G20</f>
        <v>1191443.5204582983</v>
      </c>
      <c r="O9" s="127">
        <f>Proforma!H20</f>
        <v>1412434.1493768566</v>
      </c>
      <c r="P9" s="127">
        <f>Proforma!I20</f>
        <v>1674414.4326359199</v>
      </c>
      <c r="Q9" s="127">
        <f>Proforma!J20</f>
        <v>1984987.1892834092</v>
      </c>
      <c r="R9" s="127">
        <f>Proforma!K20</f>
        <v>2353165.419994913</v>
      </c>
      <c r="S9" s="135">
        <f>Proforma!L20</f>
        <v>2789633.8695560358</v>
      </c>
      <c r="T9" s="113"/>
      <c r="U9" s="113"/>
      <c r="V9" s="113"/>
      <c r="W9" s="113"/>
      <c r="X9" s="113"/>
      <c r="Y9" s="113"/>
    </row>
    <row r="10" spans="1:25" ht="15.75" customHeight="1" x14ac:dyDescent="0.15">
      <c r="A10" s="125" t="s">
        <v>10</v>
      </c>
      <c r="B10" s="126">
        <v>17639</v>
      </c>
      <c r="C10" s="136">
        <v>19901</v>
      </c>
      <c r="D10" s="128">
        <v>17760</v>
      </c>
      <c r="E10" s="128">
        <v>16924</v>
      </c>
      <c r="F10" s="127">
        <v>25610</v>
      </c>
      <c r="G10" s="129">
        <v>33788</v>
      </c>
      <c r="H10" s="128">
        <v>34284</v>
      </c>
      <c r="I10" s="137">
        <v>39294</v>
      </c>
      <c r="J10" s="512">
        <f>Proforma!C21</f>
        <v>142160.55781677403</v>
      </c>
      <c r="K10" s="512">
        <f>Proforma!D21</f>
        <v>168528.69910076665</v>
      </c>
      <c r="L10" s="512">
        <f>Proforma!E21</f>
        <v>199787.64051561354</v>
      </c>
      <c r="M10" s="512">
        <f>Proforma!F21</f>
        <v>236844.53458535273</v>
      </c>
      <c r="N10" s="512">
        <f>Proforma!G21</f>
        <v>280774.79376692697</v>
      </c>
      <c r="O10" s="512">
        <f>Proforma!H21</f>
        <v>332853.29954046477</v>
      </c>
      <c r="P10" s="512">
        <f>Proforma!I21</f>
        <v>394591.400205757</v>
      </c>
      <c r="Q10" s="512">
        <f>Proforma!J21</f>
        <v>467780.77108234062</v>
      </c>
      <c r="R10" s="512">
        <f>Proforma!K21</f>
        <v>554545.40996151336</v>
      </c>
      <c r="S10" s="522">
        <f>Proforma!L21</f>
        <v>657403.2767483124</v>
      </c>
      <c r="T10" s="113"/>
      <c r="U10" s="113"/>
      <c r="V10" s="113"/>
      <c r="W10" s="113"/>
      <c r="X10" s="113"/>
      <c r="Y10" s="113"/>
    </row>
    <row r="11" spans="1:25" ht="15.75" customHeight="1" x14ac:dyDescent="0.15">
      <c r="A11" s="125" t="s">
        <v>11</v>
      </c>
      <c r="B11" s="126">
        <v>17599</v>
      </c>
      <c r="C11" s="126">
        <v>26028</v>
      </c>
      <c r="D11" s="127">
        <v>21548</v>
      </c>
      <c r="E11" s="128">
        <v>44244</v>
      </c>
      <c r="F11" s="127">
        <v>55264</v>
      </c>
      <c r="G11" s="129">
        <v>55523</v>
      </c>
      <c r="H11" s="128">
        <v>92713</v>
      </c>
      <c r="I11" s="137">
        <v>67282</v>
      </c>
      <c r="J11" s="512"/>
      <c r="K11" s="512"/>
      <c r="L11" s="512"/>
      <c r="M11" s="512"/>
      <c r="N11" s="512"/>
      <c r="O11" s="512"/>
      <c r="P11" s="512"/>
      <c r="Q11" s="512"/>
      <c r="R11" s="512"/>
      <c r="S11" s="522"/>
      <c r="T11" s="113"/>
      <c r="U11" s="113"/>
      <c r="V11" s="113"/>
      <c r="W11" s="113"/>
      <c r="X11" s="113"/>
      <c r="Y11" s="113"/>
    </row>
    <row r="12" spans="1:25" ht="15.75" customHeight="1" x14ac:dyDescent="0.15">
      <c r="A12" s="125" t="s">
        <v>12</v>
      </c>
      <c r="B12" s="126">
        <v>2176</v>
      </c>
      <c r="C12" s="126">
        <v>2340</v>
      </c>
      <c r="D12" s="127">
        <v>8151</v>
      </c>
      <c r="E12" s="128">
        <v>6310</v>
      </c>
      <c r="F12" s="127">
        <v>18243</v>
      </c>
      <c r="G12" s="129">
        <v>4784</v>
      </c>
      <c r="H12" s="128">
        <v>43559</v>
      </c>
      <c r="I12" s="128">
        <v>36613</v>
      </c>
      <c r="J12" s="134">
        <v>0</v>
      </c>
      <c r="K12" s="127">
        <v>0</v>
      </c>
      <c r="L12" s="127">
        <v>0</v>
      </c>
      <c r="M12" s="127">
        <v>0</v>
      </c>
      <c r="N12" s="127">
        <v>0</v>
      </c>
      <c r="O12" s="127">
        <v>0</v>
      </c>
      <c r="P12" s="127">
        <v>0</v>
      </c>
      <c r="Q12" s="127">
        <v>0</v>
      </c>
      <c r="R12" s="127">
        <v>0</v>
      </c>
      <c r="S12" s="135">
        <v>0</v>
      </c>
      <c r="T12" s="126"/>
      <c r="U12" s="113"/>
      <c r="V12" s="113"/>
      <c r="W12" s="113"/>
      <c r="X12" s="113"/>
      <c r="Y12" s="113"/>
    </row>
    <row r="13" spans="1:25" ht="15.75" customHeight="1" x14ac:dyDescent="0.15">
      <c r="A13" s="138" t="s">
        <v>13</v>
      </c>
      <c r="B13" s="139">
        <f t="shared" ref="B13:I13" si="0">SUM(B7:B12)</f>
        <v>910690</v>
      </c>
      <c r="C13" s="139">
        <f t="shared" si="0"/>
        <v>1095405</v>
      </c>
      <c r="D13" s="140">
        <f t="shared" si="0"/>
        <v>1194111</v>
      </c>
      <c r="E13" s="140">
        <f t="shared" si="0"/>
        <v>1650799</v>
      </c>
      <c r="F13" s="140">
        <f t="shared" si="0"/>
        <v>1752128</v>
      </c>
      <c r="G13" s="141">
        <f t="shared" si="0"/>
        <v>1910253</v>
      </c>
      <c r="H13" s="140">
        <f t="shared" si="0"/>
        <v>2443483</v>
      </c>
      <c r="I13" s="140">
        <f t="shared" si="0"/>
        <v>2860475</v>
      </c>
      <c r="J13" s="142">
        <f>Proforma!C23</f>
        <v>3687199.0716563943</v>
      </c>
      <c r="K13" s="140">
        <f>Proforma!D23</f>
        <v>4371105.9692992102</v>
      </c>
      <c r="L13" s="140">
        <f>Proforma!E23</f>
        <v>5181864.8853857471</v>
      </c>
      <c r="M13" s="140">
        <f>Proforma!F23</f>
        <v>6143004.511670257</v>
      </c>
      <c r="N13" s="140">
        <f>Proforma!G23</f>
        <v>7282417.6749239862</v>
      </c>
      <c r="O13" s="140">
        <f>Proforma!H23</f>
        <v>8633170.8028691784</v>
      </c>
      <c r="P13" s="140">
        <f>Proforma!I23</f>
        <v>10234463.530999107</v>
      </c>
      <c r="Q13" s="140">
        <f>Proforma!J23</f>
        <v>12132766.298628034</v>
      </c>
      <c r="R13" s="140">
        <f>Proforma!K23</f>
        <v>14383168.947865106</v>
      </c>
      <c r="S13" s="143">
        <f>Proforma!L23</f>
        <v>17050979.462632887</v>
      </c>
      <c r="T13" s="126"/>
      <c r="U13" s="113"/>
      <c r="V13" s="113"/>
      <c r="W13" s="113"/>
      <c r="X13" s="113"/>
      <c r="Y13" s="113"/>
    </row>
    <row r="14" spans="1:25" ht="15.75" customHeight="1" x14ac:dyDescent="0.15">
      <c r="A14" s="125" t="s">
        <v>14</v>
      </c>
      <c r="B14" s="126"/>
      <c r="C14" s="126"/>
      <c r="D14" s="137">
        <f t="shared" ref="D14:I14" si="1">D15+D16</f>
        <v>444976</v>
      </c>
      <c r="E14" s="137">
        <f t="shared" si="1"/>
        <v>473115</v>
      </c>
      <c r="F14" s="137">
        <f t="shared" si="1"/>
        <v>505020</v>
      </c>
      <c r="G14" s="137">
        <f t="shared" si="1"/>
        <v>584187</v>
      </c>
      <c r="H14" s="137">
        <f t="shared" si="1"/>
        <v>651260</v>
      </c>
      <c r="I14" s="128">
        <f t="shared" si="1"/>
        <v>728563</v>
      </c>
      <c r="J14" s="134">
        <f>Proforma!C24</f>
        <v>998730.71970970265</v>
      </c>
      <c r="K14" s="127">
        <f>Proforma!D24</f>
        <v>1183976.7058425858</v>
      </c>
      <c r="L14" s="127">
        <f>Proforma!E24</f>
        <v>1403582.3794278775</v>
      </c>
      <c r="M14" s="127">
        <f>Proforma!F24</f>
        <v>1663920.8238800832</v>
      </c>
      <c r="N14" s="127">
        <f>Proforma!G24</f>
        <v>1972547.2111371998</v>
      </c>
      <c r="O14" s="127">
        <f>Proforma!H24</f>
        <v>2338418.0571115687</v>
      </c>
      <c r="P14" s="127">
        <f>Proforma!I24</f>
        <v>2772151.1449517878</v>
      </c>
      <c r="Q14" s="127">
        <f>Proforma!J24</f>
        <v>3286333.6592387832</v>
      </c>
      <c r="R14" s="127">
        <f>Proforma!K24</f>
        <v>3895887.4733482827</v>
      </c>
      <c r="S14" s="135">
        <f>Proforma!L24</f>
        <v>4618502.1908298107</v>
      </c>
      <c r="T14" s="126"/>
      <c r="U14" s="113"/>
      <c r="V14" s="113"/>
      <c r="W14" s="113"/>
      <c r="X14" s="113"/>
      <c r="Y14" s="113"/>
    </row>
    <row r="15" spans="1:25" ht="15.75" customHeight="1" x14ac:dyDescent="0.15">
      <c r="A15" s="125" t="s">
        <v>15</v>
      </c>
      <c r="B15" s="126"/>
      <c r="C15" s="126"/>
      <c r="D15" s="127">
        <v>235939</v>
      </c>
      <c r="E15" s="128">
        <v>266905</v>
      </c>
      <c r="F15" s="127">
        <v>282571</v>
      </c>
      <c r="G15" s="129">
        <v>317508</v>
      </c>
      <c r="H15" s="128">
        <v>349138</v>
      </c>
      <c r="I15" s="128">
        <v>402964</v>
      </c>
      <c r="J15" s="134">
        <f>Proforma!C25</f>
        <v>547069.97732597589</v>
      </c>
      <c r="K15" s="127">
        <f>Proforma!D25</f>
        <v>648541.29029700498</v>
      </c>
      <c r="L15" s="127">
        <f>Proforma!E25</f>
        <v>768833.64588198357</v>
      </c>
      <c r="M15" s="127">
        <f>Proforma!F25</f>
        <v>911437.99767857767</v>
      </c>
      <c r="N15" s="127">
        <f>Proforma!G25</f>
        <v>1080492.806294082</v>
      </c>
      <c r="O15" s="127">
        <f>Proforma!H25</f>
        <v>1280904.1398611644</v>
      </c>
      <c r="P15" s="127">
        <f>Proforma!I25</f>
        <v>1518488.050967097</v>
      </c>
      <c r="Q15" s="127">
        <f>Proforma!J25</f>
        <v>1800139.361857146</v>
      </c>
      <c r="R15" s="127">
        <f>Proforma!K25</f>
        <v>2134031.7561561558</v>
      </c>
      <c r="S15" s="135">
        <f>Proforma!L25</f>
        <v>2529854.9838855909</v>
      </c>
      <c r="T15" s="126"/>
      <c r="U15" s="113"/>
      <c r="V15" s="113"/>
      <c r="W15" s="113"/>
      <c r="X15" s="113"/>
      <c r="Y15" s="113"/>
    </row>
    <row r="16" spans="1:25" ht="15.75" customHeight="1" x14ac:dyDescent="0.15">
      <c r="A16" s="125" t="s">
        <v>16</v>
      </c>
      <c r="B16" s="126"/>
      <c r="C16" s="126"/>
      <c r="D16" s="127">
        <v>209037</v>
      </c>
      <c r="E16" s="128">
        <v>206210</v>
      </c>
      <c r="F16" s="127">
        <v>222449</v>
      </c>
      <c r="G16" s="129">
        <v>266679</v>
      </c>
      <c r="H16" s="128">
        <v>302122</v>
      </c>
      <c r="I16" s="128">
        <v>325599</v>
      </c>
      <c r="J16" s="531" t="s">
        <v>17</v>
      </c>
      <c r="K16" s="532"/>
      <c r="L16" s="532"/>
      <c r="M16" s="532"/>
      <c r="N16" s="532"/>
      <c r="O16" s="532"/>
      <c r="P16" s="532"/>
      <c r="Q16" s="532"/>
      <c r="R16" s="532"/>
      <c r="S16" s="533"/>
      <c r="T16" s="126"/>
      <c r="U16" s="113"/>
      <c r="V16" s="113"/>
      <c r="W16" s="113"/>
      <c r="X16" s="113"/>
      <c r="Y16" s="113"/>
    </row>
    <row r="17" spans="1:25" ht="15.75" customHeight="1" x14ac:dyDescent="0.15">
      <c r="A17" s="125" t="s">
        <v>18</v>
      </c>
      <c r="B17" s="136">
        <v>0</v>
      </c>
      <c r="C17" s="126">
        <v>0</v>
      </c>
      <c r="D17" s="127">
        <v>243522</v>
      </c>
      <c r="E17" s="128">
        <v>186991</v>
      </c>
      <c r="F17" s="127">
        <v>182459</v>
      </c>
      <c r="G17" s="129">
        <v>213302</v>
      </c>
      <c r="H17" s="128">
        <v>225669</v>
      </c>
      <c r="I17" s="128">
        <v>237352</v>
      </c>
      <c r="J17" s="134">
        <f>Proforma!C27</f>
        <v>214882.5</v>
      </c>
      <c r="K17" s="127">
        <f>Proforma!D27</f>
        <v>214882.5</v>
      </c>
      <c r="L17" s="127">
        <f>Proforma!E27</f>
        <v>214882.5</v>
      </c>
      <c r="M17" s="127">
        <f>Proforma!F27</f>
        <v>214882.5</v>
      </c>
      <c r="N17" s="127">
        <f>Proforma!G27</f>
        <v>214882.5</v>
      </c>
      <c r="O17" s="127">
        <f>Proforma!H27</f>
        <v>214882.5</v>
      </c>
      <c r="P17" s="127">
        <f>Proforma!I27</f>
        <v>214882.5</v>
      </c>
      <c r="Q17" s="127">
        <f>Proforma!J27</f>
        <v>214882.5</v>
      </c>
      <c r="R17" s="127">
        <f>Proforma!K27</f>
        <v>214882.5</v>
      </c>
      <c r="S17" s="135">
        <f>Proforma!L27</f>
        <v>214882.5</v>
      </c>
      <c r="T17" s="126"/>
      <c r="U17" s="113"/>
      <c r="V17" s="113"/>
      <c r="W17" s="113"/>
      <c r="X17" s="113"/>
      <c r="Y17" s="113"/>
    </row>
    <row r="18" spans="1:25" ht="15.75" customHeight="1" x14ac:dyDescent="0.15">
      <c r="A18" s="125" t="s">
        <v>19</v>
      </c>
      <c r="B18" s="126">
        <v>13990</v>
      </c>
      <c r="C18" s="126">
        <v>13990</v>
      </c>
      <c r="D18" s="127">
        <v>13990</v>
      </c>
      <c r="E18" s="128">
        <v>13990</v>
      </c>
      <c r="F18" s="127">
        <v>13990</v>
      </c>
      <c r="G18" s="129">
        <v>13990</v>
      </c>
      <c r="H18" s="128">
        <v>13990</v>
      </c>
      <c r="I18" s="128">
        <v>13990</v>
      </c>
      <c r="J18" s="134">
        <f>Proforma!C28</f>
        <v>13990</v>
      </c>
      <c r="K18" s="127">
        <f>Proforma!D28</f>
        <v>13990</v>
      </c>
      <c r="L18" s="127">
        <f>Proforma!E28</f>
        <v>13990</v>
      </c>
      <c r="M18" s="127">
        <f>Proforma!F28</f>
        <v>13990</v>
      </c>
      <c r="N18" s="127">
        <f>Proforma!G28</f>
        <v>13990</v>
      </c>
      <c r="O18" s="127">
        <f>Proforma!H28</f>
        <v>13990</v>
      </c>
      <c r="P18" s="127">
        <f>Proforma!I28</f>
        <v>13990</v>
      </c>
      <c r="Q18" s="127">
        <f>Proforma!J28</f>
        <v>13990</v>
      </c>
      <c r="R18" s="127">
        <f>Proforma!K28</f>
        <v>13990</v>
      </c>
      <c r="S18" s="135">
        <f>Proforma!L28</f>
        <v>13990</v>
      </c>
      <c r="T18" s="126"/>
      <c r="U18" s="113"/>
      <c r="V18" s="113"/>
      <c r="W18" s="113"/>
      <c r="X18" s="113"/>
      <c r="Y18" s="113"/>
    </row>
    <row r="19" spans="1:25" ht="30" x14ac:dyDescent="0.15">
      <c r="A19" s="125" t="s">
        <v>20</v>
      </c>
      <c r="B19" s="126">
        <v>57850</v>
      </c>
      <c r="C19" s="126">
        <v>51494</v>
      </c>
      <c r="D19" s="127">
        <v>48016</v>
      </c>
      <c r="E19" s="128">
        <v>41945</v>
      </c>
      <c r="F19" s="127">
        <v>39688</v>
      </c>
      <c r="G19" s="129">
        <v>37457</v>
      </c>
      <c r="H19" s="128">
        <v>27083</v>
      </c>
      <c r="I19" s="128">
        <v>15699</v>
      </c>
      <c r="J19" s="134">
        <f>Proforma!C29</f>
        <v>34981.333333333336</v>
      </c>
      <c r="K19" s="127">
        <f>Proforma!D29</f>
        <v>34981.333333333336</v>
      </c>
      <c r="L19" s="127">
        <f>Proforma!E29</f>
        <v>34981.333333333336</v>
      </c>
      <c r="M19" s="127">
        <f>Proforma!F29</f>
        <v>34981.333333333336</v>
      </c>
      <c r="N19" s="127">
        <f>Proforma!G29</f>
        <v>34981.333333333336</v>
      </c>
      <c r="O19" s="127">
        <f>Proforma!H29</f>
        <v>34981.333333333336</v>
      </c>
      <c r="P19" s="127">
        <f>Proforma!I29</f>
        <v>34981.333333333336</v>
      </c>
      <c r="Q19" s="127">
        <f>Proforma!J29</f>
        <v>34981.333333333336</v>
      </c>
      <c r="R19" s="127">
        <f>Proforma!K29</f>
        <v>34981.333333333336</v>
      </c>
      <c r="S19" s="135">
        <f>Proforma!L29</f>
        <v>34981.333333333336</v>
      </c>
      <c r="T19" s="113"/>
      <c r="U19" s="113"/>
      <c r="V19" s="113"/>
      <c r="W19" s="113"/>
      <c r="X19" s="113"/>
      <c r="Y19" s="113"/>
    </row>
    <row r="20" spans="1:25" ht="15.75" customHeight="1" x14ac:dyDescent="0.15">
      <c r="A20" s="125" t="s">
        <v>21</v>
      </c>
      <c r="B20" s="126">
        <v>38381</v>
      </c>
      <c r="C20" s="126">
        <v>30870</v>
      </c>
      <c r="D20" s="127">
        <v>28233</v>
      </c>
      <c r="E20" s="128">
        <v>37194</v>
      </c>
      <c r="F20" s="127">
        <v>64217</v>
      </c>
      <c r="G20" s="129">
        <v>72592</v>
      </c>
      <c r="H20" s="128">
        <v>72584</v>
      </c>
      <c r="I20" s="128">
        <v>77591</v>
      </c>
      <c r="J20" s="531" t="s">
        <v>22</v>
      </c>
      <c r="K20" s="532"/>
      <c r="L20" s="532"/>
      <c r="M20" s="532"/>
      <c r="N20" s="532"/>
      <c r="O20" s="532"/>
      <c r="P20" s="532"/>
      <c r="Q20" s="532"/>
      <c r="R20" s="532"/>
      <c r="S20" s="533"/>
      <c r="T20" s="113"/>
      <c r="U20" s="113"/>
      <c r="V20" s="113"/>
      <c r="W20" s="113"/>
      <c r="X20" s="113"/>
      <c r="Y20" s="113"/>
    </row>
    <row r="21" spans="1:25" ht="15.75" customHeight="1" x14ac:dyDescent="0.15">
      <c r="A21" s="125" t="s">
        <v>23</v>
      </c>
      <c r="B21" s="126">
        <v>23306</v>
      </c>
      <c r="C21" s="126">
        <v>21651</v>
      </c>
      <c r="D21" s="127">
        <v>28209</v>
      </c>
      <c r="E21" s="128">
        <v>30576</v>
      </c>
      <c r="F21" s="127">
        <v>57319</v>
      </c>
      <c r="G21" s="129">
        <v>41930</v>
      </c>
      <c r="H21" s="128">
        <v>50648</v>
      </c>
      <c r="I21" s="128">
        <v>39546</v>
      </c>
      <c r="J21" s="220">
        <f>Proforma!C31</f>
        <v>73619.802670458041</v>
      </c>
      <c r="K21" s="127">
        <v>87274.907770821141</v>
      </c>
      <c r="L21" s="127">
        <v>103462.7810740089</v>
      </c>
      <c r="M21" s="127">
        <v>122653.2040077065</v>
      </c>
      <c r="N21" s="127">
        <v>145403.09372309397</v>
      </c>
      <c r="O21" s="127">
        <v>172372.66515205312</v>
      </c>
      <c r="P21" s="127">
        <v>204344.59082559877</v>
      </c>
      <c r="Q21" s="127">
        <v>242246.71448252548</v>
      </c>
      <c r="R21" s="127">
        <v>287178.97763030382</v>
      </c>
      <c r="S21" s="135">
        <v>340445.34048256691</v>
      </c>
      <c r="T21" s="113"/>
      <c r="U21" s="113"/>
      <c r="V21" s="113"/>
      <c r="W21" s="113"/>
      <c r="X21" s="113"/>
      <c r="Y21" s="113"/>
    </row>
    <row r="22" spans="1:25" ht="15.75" customHeight="1" x14ac:dyDescent="0.15">
      <c r="A22" s="144" t="s">
        <v>24</v>
      </c>
      <c r="B22" s="145"/>
      <c r="C22" s="145"/>
      <c r="D22" s="146">
        <f t="shared" ref="D22:I22" si="2">SUM(D14:D21)</f>
        <v>1251922</v>
      </c>
      <c r="E22" s="146">
        <f t="shared" si="2"/>
        <v>1256926</v>
      </c>
      <c r="F22" s="146">
        <f t="shared" si="2"/>
        <v>1367713</v>
      </c>
      <c r="G22" s="146">
        <f t="shared" si="2"/>
        <v>1547645</v>
      </c>
      <c r="H22" s="146">
        <f t="shared" si="2"/>
        <v>1692494</v>
      </c>
      <c r="I22" s="146">
        <f t="shared" si="2"/>
        <v>1841304</v>
      </c>
      <c r="J22" s="147">
        <f>Proforma!C32</f>
        <v>789134.37838751823</v>
      </c>
      <c r="K22" s="146">
        <f>Proforma!D32</f>
        <v>886564.15664973529</v>
      </c>
      <c r="L22" s="146">
        <f>Proforma!E32</f>
        <v>1002065.3479532362</v>
      </c>
      <c r="M22" s="146">
        <f>Proforma!F32</f>
        <v>1138989.8635425454</v>
      </c>
      <c r="N22" s="146">
        <f>Proforma!G32</f>
        <v>1301311.3318995452</v>
      </c>
      <c r="O22" s="146">
        <f>Proforma!H32</f>
        <v>1493740.4157357907</v>
      </c>
      <c r="P22" s="146">
        <f>Proforma!I32</f>
        <v>1721861.5181436227</v>
      </c>
      <c r="Q22" s="146">
        <f>Proforma!J32</f>
        <v>1992294.845197496</v>
      </c>
      <c r="R22" s="146">
        <f>Proforma!K32</f>
        <v>2312888.5281557641</v>
      </c>
      <c r="S22" s="148">
        <f>Proforma!L32</f>
        <v>2692946.3807601202</v>
      </c>
      <c r="T22" s="149"/>
      <c r="U22" s="149"/>
      <c r="V22" s="149"/>
      <c r="W22" s="149"/>
    </row>
    <row r="23" spans="1:25" ht="15.75" customHeight="1" x14ac:dyDescent="0.15">
      <c r="A23" s="150" t="s">
        <v>25</v>
      </c>
      <c r="B23" s="151">
        <f>SUM(B14:B21)+B13</f>
        <v>1044217</v>
      </c>
      <c r="C23" s="151">
        <f>SUM(C14:C21)+C13</f>
        <v>1213410</v>
      </c>
      <c r="D23" s="151">
        <f t="shared" ref="D23:I23" si="3">SUM(D16:D21)+D13</f>
        <v>1765118</v>
      </c>
      <c r="E23" s="151">
        <f t="shared" si="3"/>
        <v>2167705</v>
      </c>
      <c r="F23" s="151">
        <f t="shared" si="3"/>
        <v>2332250</v>
      </c>
      <c r="G23" s="151">
        <f t="shared" si="3"/>
        <v>2556203</v>
      </c>
      <c r="H23" s="151">
        <f t="shared" si="3"/>
        <v>3135579</v>
      </c>
      <c r="I23" s="151">
        <f t="shared" si="3"/>
        <v>3570252</v>
      </c>
      <c r="J23" s="152">
        <f>Proforma!C33</f>
        <v>4476333.450043913</v>
      </c>
      <c r="K23" s="151">
        <f>Proforma!D33</f>
        <v>5257670.1259489451</v>
      </c>
      <c r="L23" s="151">
        <f>Proforma!E33</f>
        <v>6183930.2333389837</v>
      </c>
      <c r="M23" s="151">
        <f>Proforma!F33</f>
        <v>7281994.3752128026</v>
      </c>
      <c r="N23" s="151">
        <f>Proforma!G33</f>
        <v>8583729.0068235323</v>
      </c>
      <c r="O23" s="151">
        <f>Proforma!H33</f>
        <v>10126911.218604969</v>
      </c>
      <c r="P23" s="151">
        <f>Proforma!I33</f>
        <v>11956325.049142729</v>
      </c>
      <c r="Q23" s="151">
        <f>Proforma!J33</f>
        <v>14125061.143825531</v>
      </c>
      <c r="R23" s="151">
        <f>Proforma!K33</f>
        <v>16696057.476020871</v>
      </c>
      <c r="S23" s="153">
        <f>Proforma!L33</f>
        <v>19743925.843393005</v>
      </c>
    </row>
    <row r="24" spans="1:25" ht="15.75" customHeight="1" x14ac:dyDescent="0.15">
      <c r="A24" s="154" t="s">
        <v>26</v>
      </c>
      <c r="B24" s="155"/>
      <c r="C24" s="155"/>
      <c r="D24" s="478"/>
      <c r="E24" s="479"/>
      <c r="F24" s="478"/>
      <c r="G24" s="478"/>
      <c r="H24" s="479"/>
      <c r="I24" s="480"/>
      <c r="J24" s="481"/>
      <c r="K24" s="481"/>
      <c r="L24" s="481"/>
      <c r="M24" s="481"/>
      <c r="N24" s="481"/>
      <c r="O24" s="481"/>
      <c r="P24" s="481"/>
      <c r="Q24" s="481"/>
      <c r="R24" s="481"/>
      <c r="S24" s="482"/>
      <c r="T24" s="113"/>
      <c r="U24" s="113"/>
      <c r="V24" s="113"/>
      <c r="W24" s="113"/>
      <c r="X24" s="113"/>
      <c r="Y24" s="113"/>
    </row>
    <row r="25" spans="1:25" ht="15.75" customHeight="1" x14ac:dyDescent="0.15">
      <c r="A25" s="156" t="s">
        <v>27</v>
      </c>
      <c r="B25" s="157">
        <v>578</v>
      </c>
      <c r="C25" s="157">
        <v>603</v>
      </c>
      <c r="D25" s="132">
        <v>638</v>
      </c>
      <c r="E25" s="158">
        <v>0</v>
      </c>
      <c r="F25" s="132">
        <v>0</v>
      </c>
      <c r="G25" s="159">
        <v>0</v>
      </c>
      <c r="H25" s="158">
        <v>0</v>
      </c>
      <c r="I25" s="160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3">
        <v>0</v>
      </c>
      <c r="T25" s="113"/>
      <c r="U25" s="113"/>
      <c r="V25" s="113"/>
      <c r="W25" s="113"/>
      <c r="X25" s="113"/>
      <c r="Y25" s="113"/>
    </row>
    <row r="26" spans="1:25" ht="15.75" customHeight="1" x14ac:dyDescent="0.15">
      <c r="A26" s="161" t="s">
        <v>28</v>
      </c>
      <c r="B26" s="126">
        <v>93939</v>
      </c>
      <c r="C26" s="126">
        <v>124974</v>
      </c>
      <c r="D26" s="127">
        <v>147892</v>
      </c>
      <c r="E26" s="128">
        <v>231632</v>
      </c>
      <c r="F26" s="127">
        <v>327487</v>
      </c>
      <c r="G26" s="129">
        <v>265605</v>
      </c>
      <c r="H26" s="128">
        <v>378503</v>
      </c>
      <c r="I26" s="137">
        <v>417955</v>
      </c>
      <c r="J26" s="127">
        <f>Proforma!C35</f>
        <v>504182.65954729903</v>
      </c>
      <c r="K26" s="127">
        <f>Proforma!D35</f>
        <v>597699.17217253079</v>
      </c>
      <c r="L26" s="127">
        <f>Proforma!E35</f>
        <v>708561.25979519985</v>
      </c>
      <c r="M26" s="127">
        <f>Proforma!F35</f>
        <v>839986.20419309742</v>
      </c>
      <c r="N26" s="127">
        <f>Proforma!G35</f>
        <v>995788.03311751108</v>
      </c>
      <c r="O26" s="127">
        <f>Proforma!H35</f>
        <v>1180488.2055802101</v>
      </c>
      <c r="P26" s="127">
        <f>Proforma!I35</f>
        <v>1399446.8272039716</v>
      </c>
      <c r="Q26" s="127">
        <f>Proforma!J35</f>
        <v>1659018.2035818682</v>
      </c>
      <c r="R26" s="127">
        <f>Proforma!K35</f>
        <v>1966735.2458935904</v>
      </c>
      <c r="S26" s="135">
        <f>Proforma!L35</f>
        <v>2331528.0803362471</v>
      </c>
      <c r="T26" s="113"/>
      <c r="U26" s="113"/>
      <c r="V26" s="113"/>
      <c r="W26" s="113"/>
      <c r="X26" s="113"/>
      <c r="Y26" s="113"/>
    </row>
    <row r="27" spans="1:25" ht="15.75" customHeight="1" x14ac:dyDescent="0.15">
      <c r="A27" s="161" t="s">
        <v>29</v>
      </c>
      <c r="B27" s="126">
        <v>55695</v>
      </c>
      <c r="C27" s="126">
        <v>54462</v>
      </c>
      <c r="D27" s="127">
        <v>42309</v>
      </c>
      <c r="E27" s="128">
        <v>79152</v>
      </c>
      <c r="F27" s="127">
        <v>67553</v>
      </c>
      <c r="G27" s="129">
        <v>63781</v>
      </c>
      <c r="H27" s="128">
        <v>123653</v>
      </c>
      <c r="I27" s="137">
        <v>125417</v>
      </c>
      <c r="J27" s="127">
        <f>Proforma!C36</f>
        <v>143389.26981219405</v>
      </c>
      <c r="K27" s="127">
        <f>Proforma!D36</f>
        <v>169985.31433454007</v>
      </c>
      <c r="L27" s="127">
        <f>Proforma!E36</f>
        <v>201514.43080265354</v>
      </c>
      <c r="M27" s="127">
        <f>Proforma!F36</f>
        <v>238891.61237657641</v>
      </c>
      <c r="N27" s="127">
        <f>Proforma!G36</f>
        <v>283201.56644150836</v>
      </c>
      <c r="O27" s="127">
        <f>Proforma!H36</f>
        <v>335730.19344227132</v>
      </c>
      <c r="P27" s="127">
        <f>Proforma!I36</f>
        <v>398001.904456502</v>
      </c>
      <c r="Q27" s="127">
        <f>Proforma!J36</f>
        <v>471823.86048408935</v>
      </c>
      <c r="R27" s="127">
        <f>Proforma!K36</f>
        <v>559338.41730257217</v>
      </c>
      <c r="S27" s="135">
        <f>Proforma!L36</f>
        <v>663085.29786847543</v>
      </c>
      <c r="T27" s="113"/>
      <c r="U27" s="113"/>
      <c r="V27" s="113"/>
      <c r="W27" s="113"/>
      <c r="X27" s="113"/>
      <c r="Y27" s="113"/>
    </row>
    <row r="28" spans="1:25" ht="15.75" customHeight="1" x14ac:dyDescent="0.15">
      <c r="A28" s="161" t="s">
        <v>30</v>
      </c>
      <c r="B28" s="136">
        <v>0</v>
      </c>
      <c r="C28" s="126">
        <v>0</v>
      </c>
      <c r="D28" s="127">
        <v>49091</v>
      </c>
      <c r="E28" s="128">
        <v>46768</v>
      </c>
      <c r="F28" s="127">
        <v>50098</v>
      </c>
      <c r="G28" s="129">
        <v>50765</v>
      </c>
      <c r="H28" s="128">
        <v>53581</v>
      </c>
      <c r="I28" s="137">
        <v>54453</v>
      </c>
      <c r="J28" s="127">
        <f>Proforma!C37</f>
        <v>93291.110032034718</v>
      </c>
      <c r="K28" s="127">
        <f>Proforma!D37</f>
        <v>110594.87703775856</v>
      </c>
      <c r="L28" s="127">
        <f>Proforma!E37</f>
        <v>131108.17121585243</v>
      </c>
      <c r="M28" s="127">
        <f>Proforma!F37</f>
        <v>155426.30020463429</v>
      </c>
      <c r="N28" s="127">
        <f>Proforma!G37</f>
        <v>184254.99014496367</v>
      </c>
      <c r="O28" s="127">
        <f>Proforma!H37</f>
        <v>218430.86626022891</v>
      </c>
      <c r="P28" s="127">
        <f>Proforma!I37</f>
        <v>258945.73220327048</v>
      </c>
      <c r="Q28" s="127">
        <f>Proforma!J37</f>
        <v>306975.35277090379</v>
      </c>
      <c r="R28" s="127">
        <f>Proforma!K37</f>
        <v>363913.57527703117</v>
      </c>
      <c r="S28" s="135">
        <f>Proforma!L37</f>
        <v>431412.77980628778</v>
      </c>
      <c r="T28" s="113"/>
      <c r="U28" s="113"/>
      <c r="V28" s="113"/>
      <c r="W28" s="113"/>
      <c r="X28" s="113"/>
      <c r="Y28" s="113"/>
    </row>
    <row r="29" spans="1:25" ht="15.75" customHeight="1" x14ac:dyDescent="0.15">
      <c r="A29" s="161" t="s">
        <v>31</v>
      </c>
      <c r="B29" s="126">
        <v>24446</v>
      </c>
      <c r="C29" s="126">
        <v>47963</v>
      </c>
      <c r="D29" s="127">
        <v>46281</v>
      </c>
      <c r="E29" s="128">
        <v>68995</v>
      </c>
      <c r="F29" s="127">
        <v>81400</v>
      </c>
      <c r="G29" s="129">
        <v>86753</v>
      </c>
      <c r="H29" s="128">
        <v>106785</v>
      </c>
      <c r="I29" s="137">
        <v>142120</v>
      </c>
      <c r="J29" s="127">
        <f>Proforma!C38</f>
        <v>150729.2132742689</v>
      </c>
      <c r="K29" s="127">
        <f>Proforma!D38</f>
        <v>178686.68088890438</v>
      </c>
      <c r="L29" s="127">
        <f>Proforma!E38</f>
        <v>211829.73912956635</v>
      </c>
      <c r="M29" s="127">
        <f>Proforma!F38</f>
        <v>251120.21867818167</v>
      </c>
      <c r="N29" s="127">
        <f>Proforma!G38</f>
        <v>297698.35193162411</v>
      </c>
      <c r="O29" s="127">
        <f>Proforma!H38</f>
        <v>352915.86320406938</v>
      </c>
      <c r="P29" s="127">
        <f>Proforma!I38</f>
        <v>418375.19654687296</v>
      </c>
      <c r="Q29" s="127">
        <f>Proforma!J38</f>
        <v>495976.01959994948</v>
      </c>
      <c r="R29" s="127">
        <f>Proforma!K38</f>
        <v>587970.35304326296</v>
      </c>
      <c r="S29" s="135">
        <f>Proforma!L38</f>
        <v>697027.92553693557</v>
      </c>
      <c r="T29" s="113"/>
      <c r="U29" s="113"/>
      <c r="V29" s="113"/>
      <c r="W29" s="113"/>
      <c r="X29" s="113"/>
      <c r="Y29" s="113"/>
    </row>
    <row r="30" spans="1:25" ht="15.75" customHeight="1" x14ac:dyDescent="0.15">
      <c r="A30" s="161" t="s">
        <v>32</v>
      </c>
      <c r="B30" s="126">
        <v>11006</v>
      </c>
      <c r="C30" s="126">
        <v>19283</v>
      </c>
      <c r="D30" s="127">
        <v>11104</v>
      </c>
      <c r="E30" s="128">
        <v>36920</v>
      </c>
      <c r="F30" s="127">
        <v>12426</v>
      </c>
      <c r="G30" s="129">
        <v>17322</v>
      </c>
      <c r="H30" s="128">
        <v>52338</v>
      </c>
      <c r="I30" s="137">
        <v>23299</v>
      </c>
      <c r="J30" s="127">
        <v>0</v>
      </c>
      <c r="K30" s="127">
        <v>0</v>
      </c>
      <c r="L30" s="127">
        <v>0</v>
      </c>
      <c r="M30" s="127">
        <v>0</v>
      </c>
      <c r="N30" s="127">
        <v>0</v>
      </c>
      <c r="O30" s="127">
        <v>0</v>
      </c>
      <c r="P30" s="127">
        <v>0</v>
      </c>
      <c r="Q30" s="127">
        <v>0</v>
      </c>
      <c r="R30" s="127">
        <v>0</v>
      </c>
      <c r="S30" s="135">
        <v>0</v>
      </c>
      <c r="T30" s="113"/>
      <c r="U30" s="113"/>
      <c r="V30" s="113"/>
      <c r="W30" s="113"/>
      <c r="X30" s="113"/>
      <c r="Y30" s="113"/>
    </row>
    <row r="31" spans="1:25" ht="15.75" customHeight="1" x14ac:dyDescent="0.15">
      <c r="A31" s="161" t="s">
        <v>33</v>
      </c>
      <c r="B31" s="126">
        <v>3502</v>
      </c>
      <c r="C31" s="126">
        <v>3239</v>
      </c>
      <c r="D31" s="127">
        <v>3631</v>
      </c>
      <c r="E31" s="128">
        <v>4901</v>
      </c>
      <c r="F31" s="127">
        <v>2720</v>
      </c>
      <c r="G31" s="129">
        <v>13154</v>
      </c>
      <c r="H31" s="128">
        <v>5133</v>
      </c>
      <c r="I31" s="137">
        <v>6697</v>
      </c>
      <c r="J31" s="127">
        <v>0</v>
      </c>
      <c r="K31" s="127">
        <v>0</v>
      </c>
      <c r="L31" s="127">
        <v>0</v>
      </c>
      <c r="M31" s="127">
        <v>0</v>
      </c>
      <c r="N31" s="127">
        <v>0</v>
      </c>
      <c r="O31" s="127">
        <v>0</v>
      </c>
      <c r="P31" s="127">
        <v>0</v>
      </c>
      <c r="Q31" s="127">
        <v>0</v>
      </c>
      <c r="R31" s="127">
        <v>0</v>
      </c>
      <c r="S31" s="135">
        <v>0</v>
      </c>
      <c r="T31" s="113"/>
      <c r="U31" s="113"/>
      <c r="V31" s="113"/>
      <c r="W31" s="113"/>
      <c r="X31" s="113"/>
      <c r="Y31" s="113"/>
    </row>
    <row r="32" spans="1:25" ht="15.75" customHeight="1" x14ac:dyDescent="0.15">
      <c r="A32" s="162" t="s">
        <v>34</v>
      </c>
      <c r="B32" s="139">
        <f t="shared" ref="B32:I32" si="4">SUM(B25:B31)</f>
        <v>189166</v>
      </c>
      <c r="C32" s="139">
        <f t="shared" si="4"/>
        <v>250524</v>
      </c>
      <c r="D32" s="140">
        <f t="shared" si="4"/>
        <v>300946</v>
      </c>
      <c r="E32" s="140">
        <f t="shared" si="4"/>
        <v>468368</v>
      </c>
      <c r="F32" s="140">
        <f t="shared" si="4"/>
        <v>541684</v>
      </c>
      <c r="G32" s="141">
        <f t="shared" si="4"/>
        <v>497380</v>
      </c>
      <c r="H32" s="140">
        <f t="shared" si="4"/>
        <v>719993</v>
      </c>
      <c r="I32" s="143">
        <f t="shared" si="4"/>
        <v>769941</v>
      </c>
      <c r="J32" s="140">
        <f>Proforma!C41</f>
        <v>891592.25266579667</v>
      </c>
      <c r="K32" s="140">
        <f>Proforma!D41</f>
        <v>1056966.0444337339</v>
      </c>
      <c r="L32" s="140">
        <f>Proforma!E41</f>
        <v>1253013.6009432722</v>
      </c>
      <c r="M32" s="140">
        <f>Proforma!F41</f>
        <v>1485424.3354524898</v>
      </c>
      <c r="N32" s="140">
        <f>Proforma!G41</f>
        <v>1760942.941635607</v>
      </c>
      <c r="O32" s="140">
        <f>Proforma!H41</f>
        <v>2087565.1284867798</v>
      </c>
      <c r="P32" s="140">
        <f>Proforma!I41</f>
        <v>2474769.660410617</v>
      </c>
      <c r="Q32" s="140">
        <f>Proforma!J41</f>
        <v>2933793.4364368105</v>
      </c>
      <c r="R32" s="140">
        <f>Proforma!K41</f>
        <v>3477957.5915164566</v>
      </c>
      <c r="S32" s="143">
        <f>Proforma!L41</f>
        <v>4123054.0835479461</v>
      </c>
      <c r="T32" s="113"/>
      <c r="U32" s="113"/>
      <c r="V32" s="113"/>
      <c r="W32" s="113"/>
      <c r="X32" s="113"/>
      <c r="Y32" s="113"/>
    </row>
    <row r="33" spans="1:25" ht="15.75" customHeight="1" x14ac:dyDescent="0.15">
      <c r="A33" s="161" t="s">
        <v>35</v>
      </c>
      <c r="B33" s="126">
        <v>0</v>
      </c>
      <c r="C33" s="126">
        <v>0</v>
      </c>
      <c r="D33" s="127">
        <v>215724</v>
      </c>
      <c r="E33" s="128">
        <v>176274</v>
      </c>
      <c r="F33" s="127">
        <v>171972</v>
      </c>
      <c r="G33" s="129">
        <v>195723</v>
      </c>
      <c r="H33" s="128">
        <v>213298</v>
      </c>
      <c r="I33" s="137">
        <v>222522</v>
      </c>
      <c r="J33" s="127">
        <f>Proforma!C42</f>
        <v>204296</v>
      </c>
      <c r="K33" s="127">
        <f>Proforma!D42</f>
        <v>204296</v>
      </c>
      <c r="L33" s="127">
        <f>Proforma!E42</f>
        <v>204296</v>
      </c>
      <c r="M33" s="127">
        <f>Proforma!F42</f>
        <v>204296</v>
      </c>
      <c r="N33" s="127">
        <f>Proforma!G42</f>
        <v>204296</v>
      </c>
      <c r="O33" s="127">
        <f>Proforma!H42</f>
        <v>204296</v>
      </c>
      <c r="P33" s="127">
        <f>Proforma!I42</f>
        <v>204296</v>
      </c>
      <c r="Q33" s="127">
        <f>Proforma!J42</f>
        <v>204296</v>
      </c>
      <c r="R33" s="127">
        <f>Proforma!K42</f>
        <v>204296</v>
      </c>
      <c r="S33" s="135">
        <f>Proforma!L42</f>
        <v>204296</v>
      </c>
      <c r="T33" s="113"/>
      <c r="U33" s="113"/>
      <c r="V33" s="113"/>
      <c r="W33" s="113"/>
      <c r="X33" s="113"/>
      <c r="Y33" s="113"/>
    </row>
    <row r="34" spans="1:25" ht="15.75" customHeight="1" x14ac:dyDescent="0.15">
      <c r="A34" s="161" t="s">
        <v>36</v>
      </c>
      <c r="B34" s="126">
        <v>31504</v>
      </c>
      <c r="C34" s="126">
        <v>30901</v>
      </c>
      <c r="D34" s="127">
        <v>30263</v>
      </c>
      <c r="E34" s="128">
        <v>0</v>
      </c>
      <c r="F34" s="127">
        <v>0</v>
      </c>
      <c r="G34" s="129">
        <v>0</v>
      </c>
      <c r="H34" s="128">
        <v>0</v>
      </c>
      <c r="I34" s="137">
        <v>0</v>
      </c>
      <c r="J34" s="128">
        <v>0</v>
      </c>
      <c r="K34" s="128">
        <v>0</v>
      </c>
      <c r="L34" s="128">
        <v>0</v>
      </c>
      <c r="M34" s="128">
        <v>0</v>
      </c>
      <c r="N34" s="128">
        <v>0</v>
      </c>
      <c r="O34" s="128">
        <v>0</v>
      </c>
      <c r="P34" s="128">
        <v>0</v>
      </c>
      <c r="Q34" s="128">
        <v>0</v>
      </c>
      <c r="R34" s="128">
        <v>0</v>
      </c>
      <c r="S34" s="137">
        <v>0</v>
      </c>
      <c r="T34" s="113"/>
      <c r="U34" s="113"/>
      <c r="V34" s="113"/>
      <c r="W34" s="113"/>
      <c r="X34" s="113"/>
      <c r="Y34" s="113"/>
    </row>
    <row r="35" spans="1:25" ht="15.75" customHeight="1" x14ac:dyDescent="0.15">
      <c r="A35" s="161" t="s">
        <v>37</v>
      </c>
      <c r="B35" s="126">
        <v>64735</v>
      </c>
      <c r="C35" s="126">
        <v>60616</v>
      </c>
      <c r="D35" s="128">
        <v>63547</v>
      </c>
      <c r="E35" s="128">
        <v>60094</v>
      </c>
      <c r="F35" s="127">
        <v>54259</v>
      </c>
      <c r="G35" s="129">
        <v>62032</v>
      </c>
      <c r="H35" s="128">
        <v>52470</v>
      </c>
      <c r="I35" s="137">
        <v>13587</v>
      </c>
      <c r="J35" s="531" t="s">
        <v>38</v>
      </c>
      <c r="K35" s="532"/>
      <c r="L35" s="532"/>
      <c r="M35" s="532"/>
      <c r="N35" s="532"/>
      <c r="O35" s="532"/>
      <c r="P35" s="532"/>
      <c r="Q35" s="532"/>
      <c r="R35" s="532"/>
      <c r="S35" s="533"/>
      <c r="T35" s="113"/>
      <c r="U35" s="113"/>
      <c r="V35" s="113"/>
      <c r="W35" s="113"/>
      <c r="X35" s="113"/>
      <c r="Y35" s="113"/>
    </row>
    <row r="36" spans="1:25" ht="15.75" customHeight="1" x14ac:dyDescent="0.15">
      <c r="A36" s="161" t="s">
        <v>39</v>
      </c>
      <c r="B36" s="126">
        <v>22499</v>
      </c>
      <c r="C36" s="126">
        <v>21107</v>
      </c>
      <c r="D36" s="127">
        <v>0</v>
      </c>
      <c r="E36" s="128">
        <v>0</v>
      </c>
      <c r="F36" s="127">
        <v>0</v>
      </c>
      <c r="G36" s="129">
        <v>0</v>
      </c>
      <c r="H36" s="128">
        <v>0</v>
      </c>
      <c r="I36" s="137">
        <v>0</v>
      </c>
      <c r="J36" s="531" t="s">
        <v>40</v>
      </c>
      <c r="K36" s="532"/>
      <c r="L36" s="532"/>
      <c r="M36" s="532"/>
      <c r="N36" s="532"/>
      <c r="O36" s="532"/>
      <c r="P36" s="532"/>
      <c r="Q36" s="532"/>
      <c r="R36" s="532"/>
      <c r="S36" s="533"/>
      <c r="T36" s="113"/>
      <c r="U36" s="113"/>
      <c r="V36" s="113"/>
      <c r="W36" s="113"/>
      <c r="X36" s="113"/>
      <c r="Y36" s="113"/>
    </row>
    <row r="37" spans="1:25" ht="15.75" customHeight="1" x14ac:dyDescent="0.15">
      <c r="A37" s="161" t="s">
        <v>41</v>
      </c>
      <c r="B37" s="126">
        <v>15696</v>
      </c>
      <c r="C37" s="126">
        <v>18928</v>
      </c>
      <c r="D37" s="127">
        <v>14518</v>
      </c>
      <c r="E37" s="128">
        <v>18744</v>
      </c>
      <c r="F37" s="127">
        <v>25510</v>
      </c>
      <c r="G37" s="129">
        <v>35335</v>
      </c>
      <c r="H37" s="128">
        <v>42350</v>
      </c>
      <c r="I37" s="137">
        <v>51189</v>
      </c>
      <c r="J37" s="127">
        <f>Proforma!C45</f>
        <v>51785.506657854778</v>
      </c>
      <c r="K37" s="127">
        <f>Proforma!D45</f>
        <v>61390.755659321032</v>
      </c>
      <c r="L37" s="127">
        <f>Proforma!E45</f>
        <v>72777.599827746511</v>
      </c>
      <c r="M37" s="127">
        <f>Proforma!F45</f>
        <v>86276.491953938385</v>
      </c>
      <c r="N37" s="127">
        <f>Proforma!G45</f>
        <v>102279.17767961489</v>
      </c>
      <c r="O37" s="127">
        <f>Proforma!H45</f>
        <v>121250.06418206256</v>
      </c>
      <c r="P37" s="127">
        <f>Proforma!I45</f>
        <v>143739.69753849946</v>
      </c>
      <c r="Q37" s="127">
        <f>Proforma!J45</f>
        <v>170400.73989103804</v>
      </c>
      <c r="R37" s="127">
        <f>Proforma!K45</f>
        <v>202006.91007879743</v>
      </c>
      <c r="S37" s="135">
        <f>Proforma!L45</f>
        <v>239475.43740524288</v>
      </c>
      <c r="T37" s="113"/>
      <c r="U37" s="113"/>
      <c r="V37" s="113"/>
      <c r="W37" s="113"/>
      <c r="X37" s="113"/>
      <c r="Y37" s="113"/>
    </row>
    <row r="38" spans="1:25" ht="15.75" customHeight="1" x14ac:dyDescent="0.15">
      <c r="A38" s="162" t="s">
        <v>42</v>
      </c>
      <c r="B38" s="139">
        <f t="shared" ref="B38:H38" si="5">SUM(B33:B37) +B32</f>
        <v>323600</v>
      </c>
      <c r="C38" s="139">
        <f t="shared" si="5"/>
        <v>382076</v>
      </c>
      <c r="D38" s="140">
        <f t="shared" si="5"/>
        <v>624998</v>
      </c>
      <c r="E38" s="140">
        <f t="shared" si="5"/>
        <v>723480</v>
      </c>
      <c r="F38" s="140">
        <f t="shared" si="5"/>
        <v>793425</v>
      </c>
      <c r="G38" s="141">
        <f t="shared" si="5"/>
        <v>790470</v>
      </c>
      <c r="H38" s="140">
        <f t="shared" si="5"/>
        <v>1028111</v>
      </c>
      <c r="I38" s="143">
        <f>SUM(I33:I37)+I32</f>
        <v>1057239</v>
      </c>
      <c r="J38" s="140">
        <f>Proforma!C46</f>
        <v>256081.50665785477</v>
      </c>
      <c r="K38" s="140">
        <f>Proforma!D46</f>
        <v>265686.75565932103</v>
      </c>
      <c r="L38" s="140">
        <f>Proforma!E46</f>
        <v>277073.59982774651</v>
      </c>
      <c r="M38" s="140">
        <f>Proforma!F46</f>
        <v>290572.49195393838</v>
      </c>
      <c r="N38" s="140">
        <f>Proforma!G46</f>
        <v>306575.17767961486</v>
      </c>
      <c r="O38" s="140">
        <f>Proforma!H46</f>
        <v>325546.06418206258</v>
      </c>
      <c r="P38" s="140">
        <f>Proforma!I46</f>
        <v>348035.69753849949</v>
      </c>
      <c r="Q38" s="140">
        <f>Proforma!J46</f>
        <v>374696.73989103804</v>
      </c>
      <c r="R38" s="140">
        <f>Proforma!K46</f>
        <v>406302.91007879743</v>
      </c>
      <c r="S38" s="143">
        <f>Proforma!L46</f>
        <v>443771.43740524288</v>
      </c>
      <c r="T38" s="113"/>
      <c r="U38" s="113"/>
      <c r="V38" s="113"/>
      <c r="W38" s="113"/>
      <c r="X38" s="113"/>
      <c r="Y38" s="113"/>
    </row>
    <row r="39" spans="1:25" ht="14" x14ac:dyDescent="0.15">
      <c r="A39" s="163" t="s">
        <v>43</v>
      </c>
      <c r="B39" s="126">
        <v>304</v>
      </c>
      <c r="C39" s="126">
        <v>291</v>
      </c>
      <c r="D39" s="127">
        <v>280</v>
      </c>
      <c r="E39" s="128">
        <v>279</v>
      </c>
      <c r="F39" s="127">
        <v>270</v>
      </c>
      <c r="G39" s="129">
        <v>262</v>
      </c>
      <c r="H39" s="128">
        <v>1536</v>
      </c>
      <c r="I39" s="137">
        <v>1502</v>
      </c>
      <c r="J39" s="127">
        <f>Proforma!C47</f>
        <v>32455.309014678467</v>
      </c>
      <c r="K39" s="127">
        <f>Proforma!D47</f>
        <v>-391877.23072862113</v>
      </c>
      <c r="L39" s="127">
        <f>Proforma!E47</f>
        <v>-894915.5699649686</v>
      </c>
      <c r="M39" s="127">
        <f>Proforma!F47</f>
        <v>-894915.5699649686</v>
      </c>
      <c r="N39" s="127">
        <f>Proforma!G47</f>
        <v>-894915.5699649686</v>
      </c>
      <c r="O39" s="127">
        <f>Proforma!H47</f>
        <v>-894915.5699649686</v>
      </c>
      <c r="P39" s="127">
        <f>Proforma!I47</f>
        <v>-894915.5699649686</v>
      </c>
      <c r="Q39" s="127">
        <f>Proforma!J47</f>
        <v>-894915.5699649686</v>
      </c>
      <c r="R39" s="127">
        <f>Proforma!K47</f>
        <v>-894915.5699649686</v>
      </c>
      <c r="S39" s="135">
        <f>Proforma!L47</f>
        <v>-894915.5699649686</v>
      </c>
      <c r="T39" s="113"/>
      <c r="U39" s="113"/>
      <c r="V39" s="113"/>
      <c r="W39" s="113"/>
      <c r="X39" s="113"/>
      <c r="Y39" s="113"/>
    </row>
    <row r="40" spans="1:25" ht="15.75" customHeight="1" x14ac:dyDescent="0.15">
      <c r="A40" s="161" t="s">
        <v>44</v>
      </c>
      <c r="B40" s="126">
        <v>167587</v>
      </c>
      <c r="C40" s="126">
        <v>178227</v>
      </c>
      <c r="D40" s="127">
        <v>191451</v>
      </c>
      <c r="E40" s="128">
        <v>203310</v>
      </c>
      <c r="F40" s="127">
        <v>210825</v>
      </c>
      <c r="G40" s="129">
        <v>232932</v>
      </c>
      <c r="H40" s="128">
        <v>243050</v>
      </c>
      <c r="I40" s="137">
        <v>253466</v>
      </c>
      <c r="J40" s="127">
        <f>Proforma!C48</f>
        <v>253466</v>
      </c>
      <c r="K40" s="127">
        <f>Proforma!D48</f>
        <v>253466</v>
      </c>
      <c r="L40" s="127">
        <f>Proforma!E48</f>
        <v>253466</v>
      </c>
      <c r="M40" s="127">
        <f>Proforma!F48</f>
        <v>253466</v>
      </c>
      <c r="N40" s="127">
        <f>Proforma!G48</f>
        <v>253466</v>
      </c>
      <c r="O40" s="127">
        <f>Proforma!H48</f>
        <v>253466</v>
      </c>
      <c r="P40" s="127">
        <f>Proforma!I48</f>
        <v>253466</v>
      </c>
      <c r="Q40" s="127">
        <f>Proforma!J48</f>
        <v>253466</v>
      </c>
      <c r="R40" s="127">
        <f>Proforma!K48</f>
        <v>253466</v>
      </c>
      <c r="S40" s="135">
        <f>Proforma!L48</f>
        <v>253466</v>
      </c>
      <c r="T40" s="113"/>
      <c r="U40" s="113"/>
      <c r="V40" s="113"/>
      <c r="W40" s="113"/>
      <c r="X40" s="113"/>
      <c r="Y40" s="113"/>
    </row>
    <row r="41" spans="1:25" ht="15.75" customHeight="1" x14ac:dyDescent="0.15">
      <c r="A41" s="161" t="s">
        <v>45</v>
      </c>
      <c r="B41" s="126">
        <v>785871</v>
      </c>
      <c r="C41" s="126">
        <v>889266</v>
      </c>
      <c r="D41" s="127">
        <v>973948</v>
      </c>
      <c r="E41" s="128">
        <v>1257379</v>
      </c>
      <c r="F41" s="127">
        <v>1352685</v>
      </c>
      <c r="G41" s="129">
        <v>1571574</v>
      </c>
      <c r="H41" s="128">
        <v>1913615</v>
      </c>
      <c r="I41" s="137">
        <v>2307699</v>
      </c>
      <c r="J41" s="127">
        <v>3203979.7810035148</v>
      </c>
      <c r="K41" s="127">
        <v>4266503.9886407945</v>
      </c>
      <c r="L41" s="127">
        <v>5526106.6887580492</v>
      </c>
      <c r="M41" s="127">
        <v>7019342.2788165342</v>
      </c>
      <c r="N41" s="127">
        <v>8789545.3176078517</v>
      </c>
      <c r="O41" s="127">
        <v>10888088.119164892</v>
      </c>
      <c r="P41" s="127">
        <v>13375871.606969668</v>
      </c>
      <c r="Q41" s="127">
        <v>16325092.693907723</v>
      </c>
      <c r="R41" s="127">
        <v>19821339.478355646</v>
      </c>
      <c r="S41" s="135">
        <v>23966075.060201563</v>
      </c>
      <c r="T41" s="113"/>
      <c r="U41" s="113"/>
      <c r="V41" s="113"/>
      <c r="W41" s="113"/>
      <c r="X41" s="113"/>
      <c r="Y41" s="113"/>
    </row>
    <row r="42" spans="1:25" ht="15.75" customHeight="1" x14ac:dyDescent="0.15">
      <c r="A42" s="161" t="s">
        <v>46</v>
      </c>
      <c r="B42" s="126">
        <v>-12983</v>
      </c>
      <c r="C42" s="126">
        <v>-22654</v>
      </c>
      <c r="D42" s="127">
        <v>-25559</v>
      </c>
      <c r="E42" s="128">
        <v>-16743</v>
      </c>
      <c r="F42" s="127">
        <v>-24955</v>
      </c>
      <c r="G42" s="129">
        <v>-39035</v>
      </c>
      <c r="H42" s="128">
        <v>-50733</v>
      </c>
      <c r="I42" s="137">
        <v>-49654</v>
      </c>
      <c r="J42" s="531" t="s">
        <v>47</v>
      </c>
      <c r="K42" s="532"/>
      <c r="L42" s="532"/>
      <c r="M42" s="532"/>
      <c r="N42" s="532"/>
      <c r="O42" s="532"/>
      <c r="P42" s="532"/>
      <c r="Q42" s="532"/>
      <c r="R42" s="532"/>
      <c r="S42" s="533"/>
      <c r="T42" s="113"/>
      <c r="U42" s="113"/>
      <c r="V42" s="113"/>
      <c r="W42" s="113"/>
      <c r="X42" s="113"/>
      <c r="Y42" s="113"/>
    </row>
    <row r="43" spans="1:25" ht="15.75" customHeight="1" x14ac:dyDescent="0.15">
      <c r="A43" s="162" t="s">
        <v>48</v>
      </c>
      <c r="B43" s="139">
        <f t="shared" ref="B43:I43" si="6">SUM(B39:B42)</f>
        <v>940779</v>
      </c>
      <c r="C43" s="139">
        <f t="shared" si="6"/>
        <v>1045130</v>
      </c>
      <c r="D43" s="140">
        <f t="shared" si="6"/>
        <v>1140120</v>
      </c>
      <c r="E43" s="140">
        <f t="shared" si="6"/>
        <v>1444225</v>
      </c>
      <c r="F43" s="140">
        <f t="shared" si="6"/>
        <v>1538825</v>
      </c>
      <c r="G43" s="141">
        <f t="shared" si="6"/>
        <v>1765733</v>
      </c>
      <c r="H43" s="140">
        <f t="shared" si="6"/>
        <v>2107468</v>
      </c>
      <c r="I43" s="143">
        <f t="shared" si="6"/>
        <v>2513013</v>
      </c>
      <c r="J43" s="140">
        <f>Proforma!C51</f>
        <v>3489901.0900181932</v>
      </c>
      <c r="K43" s="140">
        <f>Proforma!D51</f>
        <v>4128092.7579121734</v>
      </c>
      <c r="L43" s="140">
        <f>Proforma!E51</f>
        <v>4884657.1187930806</v>
      </c>
      <c r="M43" s="140">
        <f>Proforma!F51</f>
        <v>6377892.7088515656</v>
      </c>
      <c r="N43" s="140">
        <f>Proforma!G51</f>
        <v>8148095.7476428831</v>
      </c>
      <c r="O43" s="140">
        <f>Proforma!H51</f>
        <v>10246638.549199924</v>
      </c>
      <c r="P43" s="140">
        <f>Proforma!I51</f>
        <v>12734422.037004698</v>
      </c>
      <c r="Q43" s="140">
        <f>Proforma!J51</f>
        <v>15683643.123942755</v>
      </c>
      <c r="R43" s="140">
        <f>Proforma!K51</f>
        <v>19179889.908390678</v>
      </c>
      <c r="S43" s="143">
        <f>Proforma!L51</f>
        <v>23324625.490236595</v>
      </c>
      <c r="T43" s="113"/>
      <c r="U43" s="113"/>
      <c r="V43" s="113"/>
      <c r="W43" s="113"/>
      <c r="X43" s="113"/>
      <c r="Y43" s="113"/>
    </row>
    <row r="44" spans="1:25" ht="15.75" customHeight="1" x14ac:dyDescent="0.15">
      <c r="A44" s="164" t="s">
        <v>49</v>
      </c>
      <c r="B44" s="165">
        <f t="shared" ref="B44:I44" si="7">B43+B38</f>
        <v>1264379</v>
      </c>
      <c r="C44" s="165">
        <f t="shared" si="7"/>
        <v>1427206</v>
      </c>
      <c r="D44" s="165">
        <f t="shared" si="7"/>
        <v>1765118</v>
      </c>
      <c r="E44" s="165">
        <f t="shared" si="7"/>
        <v>2167705</v>
      </c>
      <c r="F44" s="165">
        <f t="shared" si="7"/>
        <v>2332250</v>
      </c>
      <c r="G44" s="166">
        <f t="shared" si="7"/>
        <v>2556203</v>
      </c>
      <c r="H44" s="165">
        <f t="shared" si="7"/>
        <v>3135579</v>
      </c>
      <c r="I44" s="167">
        <f t="shared" si="7"/>
        <v>3570252</v>
      </c>
      <c r="J44" s="165">
        <f>Proforma!C52</f>
        <v>4637574.8493418442</v>
      </c>
      <c r="K44" s="165">
        <f>Proforma!D52</f>
        <v>5450745.5580052286</v>
      </c>
      <c r="L44" s="165">
        <f>Proforma!E52</f>
        <v>6414744.3195640994</v>
      </c>
      <c r="M44" s="165">
        <f>Proforma!F52</f>
        <v>8153889.5362579934</v>
      </c>
      <c r="N44" s="165">
        <f>Proforma!G52</f>
        <v>10215613.866958104</v>
      </c>
      <c r="O44" s="165">
        <f>Proforma!H52</f>
        <v>12659749.741868766</v>
      </c>
      <c r="P44" s="165">
        <f>Proforma!I52</f>
        <v>15557227.394953813</v>
      </c>
      <c r="Q44" s="165">
        <f>Proforma!J52</f>
        <v>18992133.300270602</v>
      </c>
      <c r="R44" s="165">
        <f>Proforma!K52</f>
        <v>23064150.409985933</v>
      </c>
      <c r="S44" s="167">
        <f>Proforma!L52</f>
        <v>27891451.011189785</v>
      </c>
      <c r="T44" s="113"/>
      <c r="U44" s="113"/>
      <c r="V44" s="113"/>
      <c r="W44" s="113"/>
      <c r="X44" s="113"/>
      <c r="Y44" s="113"/>
    </row>
    <row r="45" spans="1:25" ht="15.75" customHeight="1" x14ac:dyDescent="0.15">
      <c r="A45" s="125"/>
      <c r="B45" s="113"/>
      <c r="C45" s="113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13"/>
      <c r="U45" s="113"/>
      <c r="V45" s="113"/>
      <c r="W45" s="113"/>
      <c r="X45" s="113"/>
      <c r="Y45" s="113"/>
    </row>
    <row r="46" spans="1:25" ht="15.75" customHeight="1" x14ac:dyDescent="0.15">
      <c r="A46" s="483" t="s">
        <v>50</v>
      </c>
      <c r="B46" s="484"/>
      <c r="C46" s="484"/>
      <c r="D46" s="485">
        <f t="shared" ref="D46:S46" si="8">D13-D32</f>
        <v>893165</v>
      </c>
      <c r="E46" s="485">
        <f t="shared" si="8"/>
        <v>1182431</v>
      </c>
      <c r="F46" s="485">
        <f t="shared" si="8"/>
        <v>1210444</v>
      </c>
      <c r="G46" s="485">
        <f t="shared" si="8"/>
        <v>1412873</v>
      </c>
      <c r="H46" s="485">
        <f t="shared" si="8"/>
        <v>1723490</v>
      </c>
      <c r="I46" s="486">
        <f t="shared" si="8"/>
        <v>2090534</v>
      </c>
      <c r="J46" s="485">
        <f t="shared" si="8"/>
        <v>2795606.8189905975</v>
      </c>
      <c r="K46" s="485">
        <f t="shared" si="8"/>
        <v>3314139.9248654763</v>
      </c>
      <c r="L46" s="485">
        <f t="shared" si="8"/>
        <v>3928851.2844424751</v>
      </c>
      <c r="M46" s="485">
        <f t="shared" si="8"/>
        <v>4657580.1762177674</v>
      </c>
      <c r="N46" s="485">
        <f t="shared" si="8"/>
        <v>5521474.7332883794</v>
      </c>
      <c r="O46" s="485">
        <f t="shared" si="8"/>
        <v>6545605.6743823988</v>
      </c>
      <c r="P46" s="485">
        <f t="shared" si="8"/>
        <v>7759693.8705884907</v>
      </c>
      <c r="Q46" s="485">
        <f t="shared" si="8"/>
        <v>9198972.8621912226</v>
      </c>
      <c r="R46" s="485">
        <f t="shared" si="8"/>
        <v>10905211.356348649</v>
      </c>
      <c r="S46" s="486">
        <f t="shared" si="8"/>
        <v>12927925.379084941</v>
      </c>
      <c r="T46" s="113"/>
      <c r="U46" s="113"/>
      <c r="V46" s="113"/>
      <c r="W46" s="113"/>
      <c r="X46" s="113"/>
      <c r="Y46" s="113"/>
    </row>
    <row r="47" spans="1:25" ht="15.75" customHeight="1" x14ac:dyDescent="0.15">
      <c r="A47" s="125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</row>
    <row r="48" spans="1:25" ht="15.75" customHeight="1" x14ac:dyDescent="0.15">
      <c r="A48" s="169" t="s">
        <v>51</v>
      </c>
      <c r="B48" s="170" t="s">
        <v>4</v>
      </c>
      <c r="C48" s="170"/>
      <c r="D48" s="523" t="s">
        <v>4</v>
      </c>
      <c r="E48" s="524"/>
      <c r="F48" s="524"/>
      <c r="G48" s="524"/>
      <c r="H48" s="524"/>
      <c r="I48" s="525"/>
      <c r="J48" s="525" t="s">
        <v>52</v>
      </c>
      <c r="K48" s="523" t="s">
        <v>53</v>
      </c>
      <c r="L48" s="524"/>
      <c r="M48" s="524"/>
      <c r="N48" s="524"/>
      <c r="O48" s="524"/>
      <c r="P48" s="524"/>
      <c r="Q48" s="524"/>
      <c r="R48" s="524"/>
      <c r="S48" s="524"/>
      <c r="T48" s="524"/>
      <c r="U48" s="524"/>
      <c r="V48" s="524"/>
      <c r="W48" s="524"/>
      <c r="X48" s="525"/>
      <c r="Y48" s="113"/>
    </row>
    <row r="49" spans="1:25" ht="15.75" customHeight="1" x14ac:dyDescent="0.15">
      <c r="A49" s="173" t="s">
        <v>54</v>
      </c>
      <c r="B49" s="174">
        <v>2017</v>
      </c>
      <c r="C49" s="174">
        <v>2018</v>
      </c>
      <c r="D49" s="175">
        <v>2020</v>
      </c>
      <c r="E49" s="119">
        <v>2021</v>
      </c>
      <c r="F49" s="119">
        <v>2022</v>
      </c>
      <c r="G49" s="119">
        <v>2023</v>
      </c>
      <c r="H49" s="119">
        <v>2024</v>
      </c>
      <c r="I49" s="176">
        <v>2025</v>
      </c>
      <c r="J49" s="527"/>
      <c r="K49" s="528"/>
      <c r="L49" s="529"/>
      <c r="M49" s="529"/>
      <c r="N49" s="529"/>
      <c r="O49" s="529"/>
      <c r="P49" s="529"/>
      <c r="Q49" s="529"/>
      <c r="R49" s="529"/>
      <c r="S49" s="529"/>
      <c r="T49" s="529"/>
      <c r="U49" s="529"/>
      <c r="V49" s="529"/>
      <c r="W49" s="529"/>
      <c r="X49" s="530"/>
      <c r="Y49" s="113"/>
    </row>
    <row r="50" spans="1:25" ht="15.75" customHeight="1" x14ac:dyDescent="0.15">
      <c r="A50" s="177" t="s">
        <v>55</v>
      </c>
      <c r="B50" s="178"/>
      <c r="C50" s="179"/>
      <c r="D50" s="180"/>
      <c r="E50" s="181"/>
      <c r="F50" s="181"/>
      <c r="G50" s="182"/>
      <c r="H50" s="181"/>
      <c r="I50" s="183"/>
      <c r="J50" s="184"/>
      <c r="K50" s="185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86"/>
      <c r="Y50" s="113"/>
    </row>
    <row r="51" spans="1:25" ht="15.75" customHeight="1" x14ac:dyDescent="0.15">
      <c r="A51" s="187" t="s">
        <v>56</v>
      </c>
      <c r="B51" s="188" t="e">
        <f>(B9/'[1]Income Statement'!B9)*365.25</f>
        <v>#DIV/0!</v>
      </c>
      <c r="C51" s="188" t="e">
        <f>(C9/'[1]Income Statement'!C9)*365.25</f>
        <v>#VALUE!</v>
      </c>
      <c r="D51" s="189">
        <f>(D8/'Balance Sheet'!D7)*365</f>
        <v>104.30980111974083</v>
      </c>
      <c r="E51" s="188">
        <f>(E8/'Balance Sheet'!E7)*365</f>
        <v>72.278216312131605</v>
      </c>
      <c r="F51" s="188">
        <f>(F8/'Balance Sheet'!F7)*365</f>
        <v>130.9752029277071</v>
      </c>
      <c r="G51" s="188">
        <f>(G8/'Balance Sheet'!G7)*365</f>
        <v>112.09215263878916</v>
      </c>
      <c r="H51" s="188">
        <f>(H8/'Balance Sheet'!H7)*365</f>
        <v>72.065612286134098</v>
      </c>
      <c r="I51" s="190">
        <f>(I8/'Balance Sheet'!I7)*365</f>
        <v>64.312434760330902</v>
      </c>
      <c r="J51" s="191">
        <v>60</v>
      </c>
      <c r="K51" s="513" t="s">
        <v>57</v>
      </c>
      <c r="L51" s="514"/>
      <c r="M51" s="514"/>
      <c r="N51" s="514"/>
      <c r="O51" s="514"/>
      <c r="P51" s="514"/>
      <c r="Q51" s="514"/>
      <c r="R51" s="514"/>
      <c r="S51" s="514"/>
      <c r="T51" s="514"/>
      <c r="U51" s="514"/>
      <c r="V51" s="514"/>
      <c r="W51" s="514"/>
      <c r="X51" s="515"/>
      <c r="Y51" s="113"/>
    </row>
    <row r="52" spans="1:25" ht="15.75" customHeight="1" x14ac:dyDescent="0.15">
      <c r="A52" s="187" t="s">
        <v>58</v>
      </c>
      <c r="B52" s="188" t="e">
        <f>(B10/'[1]Income Statement'!B13)*365.25</f>
        <v>#DIV/0!</v>
      </c>
      <c r="C52" s="188" t="e">
        <f>(C10/'[1]Income Statement'!C13)*365.25</f>
        <v>#VALUE!</v>
      </c>
      <c r="D52" s="189">
        <f>(D9/'Income Statement'!D7)*365</f>
        <v>110.53404417424024</v>
      </c>
      <c r="E52" s="188">
        <f>(E9/'Income Statement'!E7)*365</f>
        <v>86.687075509303483</v>
      </c>
      <c r="F52" s="188">
        <f>(F9/'Income Statement'!F7)*365</f>
        <v>119.90016774825834</v>
      </c>
      <c r="G52" s="188">
        <f>(G9/'Income Statement'!G7)*365</f>
        <v>107.93565293831676</v>
      </c>
      <c r="H52" s="188">
        <f>(H9/'Income Statement'!H7)*365</f>
        <v>91.008668567898965</v>
      </c>
      <c r="I52" s="190">
        <f>(I9/'Income Statement'!I7)*365</f>
        <v>86.077085681604643</v>
      </c>
      <c r="J52" s="191">
        <v>80</v>
      </c>
      <c r="K52" s="513" t="s">
        <v>59</v>
      </c>
      <c r="L52" s="514"/>
      <c r="M52" s="514"/>
      <c r="N52" s="514"/>
      <c r="O52" s="514"/>
      <c r="P52" s="514"/>
      <c r="Q52" s="514"/>
      <c r="R52" s="514"/>
      <c r="S52" s="514"/>
      <c r="T52" s="514"/>
      <c r="U52" s="514"/>
      <c r="V52" s="514"/>
      <c r="W52" s="514"/>
      <c r="X52" s="515"/>
      <c r="Y52" s="113"/>
    </row>
    <row r="53" spans="1:25" ht="15.75" customHeight="1" x14ac:dyDescent="0.15">
      <c r="A53" s="187" t="s">
        <v>60</v>
      </c>
      <c r="B53" s="192" t="e">
        <f>B11/'[1]Income Statement'!B13</f>
        <v>#DIV/0!</v>
      </c>
      <c r="C53" s="192" t="e">
        <f>C11/'[1]Income Statement'!C13</f>
        <v>#VALUE!</v>
      </c>
      <c r="D53" s="193">
        <f>(D10+D11)/'Income Statement'!D7</f>
        <v>3.8199600394940407E-2</v>
      </c>
      <c r="E53" s="192">
        <f>(E10+E11)/'Income Statement'!E7</f>
        <v>5.2211128666186962E-2</v>
      </c>
      <c r="F53" s="192">
        <f>(F10+F11)/'Income Statement'!F7</f>
        <v>5.2420682556514567E-2</v>
      </c>
      <c r="G53" s="192">
        <f>(G10+G11)/'Income Statement'!G7</f>
        <v>4.9564463604296762E-2</v>
      </c>
      <c r="H53" s="192">
        <f>(H10+H11)/'Income Statement'!H7</f>
        <v>6.6760589294397502E-2</v>
      </c>
      <c r="I53" s="194">
        <f>(I10+I11)/'Income Statement'!I7</f>
        <v>5.0751708731973967E-2</v>
      </c>
      <c r="J53" s="195">
        <f t="shared" ref="J53:J70" si="9">AVERAGE(D53:I53)</f>
        <v>5.16513622080517E-2</v>
      </c>
      <c r="K53" s="513" t="s">
        <v>61</v>
      </c>
      <c r="L53" s="514"/>
      <c r="M53" s="514"/>
      <c r="N53" s="514"/>
      <c r="O53" s="514"/>
      <c r="P53" s="514"/>
      <c r="Q53" s="514"/>
      <c r="R53" s="514"/>
      <c r="S53" s="514"/>
      <c r="T53" s="514"/>
      <c r="U53" s="514"/>
      <c r="V53" s="514"/>
      <c r="W53" s="514"/>
      <c r="X53" s="515"/>
      <c r="Y53" s="113"/>
    </row>
    <row r="54" spans="1:25" ht="15.75" customHeight="1" x14ac:dyDescent="0.15">
      <c r="A54" s="196" t="s">
        <v>62</v>
      </c>
      <c r="B54" s="197"/>
      <c r="C54" s="197"/>
      <c r="D54" s="198">
        <f t="shared" ref="D54:I55" si="10">D17</f>
        <v>243522</v>
      </c>
      <c r="E54" s="199">
        <f t="shared" si="10"/>
        <v>186991</v>
      </c>
      <c r="F54" s="199">
        <f t="shared" si="10"/>
        <v>182459</v>
      </c>
      <c r="G54" s="199">
        <f t="shared" si="10"/>
        <v>213302</v>
      </c>
      <c r="H54" s="199">
        <f t="shared" si="10"/>
        <v>225669</v>
      </c>
      <c r="I54" s="200">
        <f t="shared" si="10"/>
        <v>237352</v>
      </c>
      <c r="J54" s="191">
        <f t="shared" si="9"/>
        <v>214882.5</v>
      </c>
      <c r="K54" s="513" t="s">
        <v>63</v>
      </c>
      <c r="L54" s="514"/>
      <c r="M54" s="514"/>
      <c r="N54" s="514"/>
      <c r="O54" s="514"/>
      <c r="P54" s="514"/>
      <c r="Q54" s="514"/>
      <c r="R54" s="514"/>
      <c r="S54" s="514"/>
      <c r="T54" s="514"/>
      <c r="U54" s="514"/>
      <c r="V54" s="514"/>
      <c r="W54" s="514"/>
      <c r="X54" s="515"/>
      <c r="Y54" s="113"/>
    </row>
    <row r="55" spans="1:25" ht="15.75" customHeight="1" x14ac:dyDescent="0.15">
      <c r="A55" s="196" t="s">
        <v>19</v>
      </c>
      <c r="B55" s="199">
        <f>B18</f>
        <v>13990</v>
      </c>
      <c r="C55" s="199">
        <f>C18</f>
        <v>13990</v>
      </c>
      <c r="D55" s="198">
        <f t="shared" si="10"/>
        <v>13990</v>
      </c>
      <c r="E55" s="199">
        <f t="shared" si="10"/>
        <v>13990</v>
      </c>
      <c r="F55" s="199">
        <f t="shared" si="10"/>
        <v>13990</v>
      </c>
      <c r="G55" s="199">
        <f t="shared" si="10"/>
        <v>13990</v>
      </c>
      <c r="H55" s="199">
        <f t="shared" si="10"/>
        <v>13990</v>
      </c>
      <c r="I55" s="200">
        <f t="shared" si="10"/>
        <v>13990</v>
      </c>
      <c r="J55" s="191">
        <f t="shared" si="9"/>
        <v>13990</v>
      </c>
      <c r="K55" s="513" t="s">
        <v>64</v>
      </c>
      <c r="L55" s="514"/>
      <c r="M55" s="514"/>
      <c r="N55" s="514"/>
      <c r="O55" s="514"/>
      <c r="P55" s="514"/>
      <c r="Q55" s="514"/>
      <c r="R55" s="514"/>
      <c r="S55" s="514"/>
      <c r="T55" s="514"/>
      <c r="U55" s="514"/>
      <c r="V55" s="514"/>
      <c r="W55" s="514"/>
      <c r="X55" s="515"/>
      <c r="Y55" s="113"/>
    </row>
    <row r="56" spans="1:25" ht="15.75" customHeight="1" x14ac:dyDescent="0.15">
      <c r="A56" s="187" t="s">
        <v>65</v>
      </c>
      <c r="B56" s="192" t="e">
        <f>B20/'[1]Income Statement'!B9</f>
        <v>#DIV/0!</v>
      </c>
      <c r="C56" s="192" t="e">
        <f>C20/'[1]Income Statement'!C9</f>
        <v>#VALUE!</v>
      </c>
      <c r="D56" s="193">
        <f>D21/'Income Statement'!D6</f>
        <v>1.3226963706381944E-2</v>
      </c>
      <c r="E56" s="192">
        <f>E21/'Income Statement'!E6</f>
        <v>1.2011120185446415E-2</v>
      </c>
      <c r="F56" s="192">
        <f>F21/'Income Statement'!F6</f>
        <v>1.8194549856380537E-2</v>
      </c>
      <c r="G56" s="192">
        <f>G21/'Income Statement'!G6</f>
        <v>1.1559606824496331E-2</v>
      </c>
      <c r="H56" s="192">
        <f>H21/'Income Statement'!H6</f>
        <v>1.1812220031750822E-2</v>
      </c>
      <c r="I56" s="194">
        <f>I21/'Income Statement'!I6</f>
        <v>7.9320251957031556E-3</v>
      </c>
      <c r="J56" s="195">
        <f t="shared" si="9"/>
        <v>1.2456080966693201E-2</v>
      </c>
      <c r="K56" s="513" t="s">
        <v>66</v>
      </c>
      <c r="L56" s="514"/>
      <c r="M56" s="514"/>
      <c r="N56" s="514"/>
      <c r="O56" s="514"/>
      <c r="P56" s="514"/>
      <c r="Q56" s="514"/>
      <c r="R56" s="514"/>
      <c r="S56" s="514"/>
      <c r="T56" s="514"/>
      <c r="U56" s="514"/>
      <c r="V56" s="514"/>
      <c r="W56" s="514"/>
      <c r="X56" s="515"/>
      <c r="Y56" s="113"/>
    </row>
    <row r="57" spans="1:25" ht="15.75" customHeight="1" x14ac:dyDescent="0.15">
      <c r="A57" s="187" t="s">
        <v>67</v>
      </c>
      <c r="B57" s="192"/>
      <c r="C57" s="192"/>
      <c r="D57" s="193">
        <f>D15/D14</f>
        <v>0.53022859659846822</v>
      </c>
      <c r="E57" s="192">
        <f t="shared" ref="E57:I57" si="11">E15/E14</f>
        <v>0.56414402418016762</v>
      </c>
      <c r="F57" s="192">
        <f t="shared" si="11"/>
        <v>0.55952437527226639</v>
      </c>
      <c r="G57" s="192">
        <f t="shared" si="11"/>
        <v>0.54350404921711715</v>
      </c>
      <c r="H57" s="192">
        <f t="shared" si="11"/>
        <v>0.53609618278414151</v>
      </c>
      <c r="I57" s="194">
        <f t="shared" si="11"/>
        <v>0.5530942416784822</v>
      </c>
      <c r="J57" s="195">
        <f t="shared" si="9"/>
        <v>0.54776524495510726</v>
      </c>
      <c r="K57" s="513" t="s">
        <v>68</v>
      </c>
      <c r="L57" s="514"/>
      <c r="M57" s="514"/>
      <c r="N57" s="514"/>
      <c r="O57" s="514"/>
      <c r="P57" s="514"/>
      <c r="Q57" s="514"/>
      <c r="R57" s="514"/>
      <c r="S57" s="514"/>
      <c r="T57" s="514"/>
      <c r="U57" s="514"/>
      <c r="V57" s="514"/>
      <c r="W57" s="514"/>
      <c r="X57" s="515"/>
      <c r="Y57" s="113"/>
    </row>
    <row r="58" spans="1:25" ht="14" x14ac:dyDescent="0.15">
      <c r="A58" s="187" t="s">
        <v>69</v>
      </c>
      <c r="B58" s="192"/>
      <c r="C58" s="192"/>
      <c r="D58" s="193">
        <f>D14/'Income Statement'!D6</f>
        <v>0.2086455174664473</v>
      </c>
      <c r="E58" s="192">
        <f>E14/'Income Statement'!E6</f>
        <v>0.18585299341108977</v>
      </c>
      <c r="F58" s="192">
        <f>F14/'Income Statement'!F6</f>
        <v>0.16030655748476594</v>
      </c>
      <c r="G58" s="192">
        <f>G14/'Income Statement'!G6</f>
        <v>0.16105347083191124</v>
      </c>
      <c r="H58" s="192">
        <f>H14/'Income Statement'!H6</f>
        <v>0.15188805911147607</v>
      </c>
      <c r="I58" s="194">
        <f>I14/'Income Statement'!I6</f>
        <v>0.14613311264494711</v>
      </c>
      <c r="J58" s="195">
        <f t="shared" si="9"/>
        <v>0.16897995182510625</v>
      </c>
      <c r="K58" s="513" t="s">
        <v>70</v>
      </c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5"/>
      <c r="Y58" s="113"/>
    </row>
    <row r="59" spans="1:25" ht="15.75" customHeight="1" x14ac:dyDescent="0.15">
      <c r="A59" s="468" t="s">
        <v>20</v>
      </c>
      <c r="B59" s="192"/>
      <c r="C59" s="192"/>
      <c r="D59" s="469">
        <f>D19</f>
        <v>48016</v>
      </c>
      <c r="E59" s="470">
        <f t="shared" ref="E59:I59" si="12">E19</f>
        <v>41945</v>
      </c>
      <c r="F59" s="470">
        <f t="shared" si="12"/>
        <v>39688</v>
      </c>
      <c r="G59" s="470">
        <f t="shared" si="12"/>
        <v>37457</v>
      </c>
      <c r="H59" s="470">
        <f t="shared" si="12"/>
        <v>27083</v>
      </c>
      <c r="I59" s="471">
        <f t="shared" si="12"/>
        <v>15699</v>
      </c>
      <c r="J59" s="472">
        <f>AVERAGE(D59:I59)</f>
        <v>34981.333333333336</v>
      </c>
      <c r="K59" s="519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1"/>
      <c r="Y59" s="113"/>
    </row>
    <row r="60" spans="1:25" ht="16" customHeight="1" x14ac:dyDescent="0.15">
      <c r="A60" s="201" t="s">
        <v>71</v>
      </c>
      <c r="B60" s="181"/>
      <c r="C60" s="181"/>
      <c r="D60" s="180"/>
      <c r="E60" s="181"/>
      <c r="F60" s="181"/>
      <c r="G60" s="182"/>
      <c r="H60" s="181"/>
      <c r="I60" s="202"/>
      <c r="J60" s="191"/>
      <c r="K60" s="519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1"/>
      <c r="Y60" s="113"/>
    </row>
    <row r="61" spans="1:25" ht="15.75" customHeight="1" x14ac:dyDescent="0.15">
      <c r="A61" s="203" t="s">
        <v>72</v>
      </c>
      <c r="B61" s="199">
        <f>B26</f>
        <v>93939</v>
      </c>
      <c r="C61" s="199">
        <f>C26</f>
        <v>124974</v>
      </c>
      <c r="D61" s="469">
        <f>D33+D34</f>
        <v>245987</v>
      </c>
      <c r="E61" s="470">
        <f t="shared" ref="E61:I61" si="13">E33+E34</f>
        <v>176274</v>
      </c>
      <c r="F61" s="470">
        <f t="shared" si="13"/>
        <v>171972</v>
      </c>
      <c r="G61" s="470">
        <f t="shared" si="13"/>
        <v>195723</v>
      </c>
      <c r="H61" s="470">
        <f t="shared" si="13"/>
        <v>213298</v>
      </c>
      <c r="I61" s="471">
        <f t="shared" si="13"/>
        <v>222522</v>
      </c>
      <c r="J61" s="473">
        <f>AVERAGE(D61:I61)</f>
        <v>204296</v>
      </c>
      <c r="K61" s="513" t="s">
        <v>73</v>
      </c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5"/>
      <c r="Y61" s="113"/>
    </row>
    <row r="62" spans="1:25" ht="15.75" customHeight="1" x14ac:dyDescent="0.15">
      <c r="A62" s="203" t="s">
        <v>74</v>
      </c>
      <c r="B62" s="204"/>
      <c r="C62" s="204"/>
      <c r="D62" s="205">
        <f t="shared" ref="D62:I62" si="14">(D28/D33)</f>
        <v>0.22756392427360886</v>
      </c>
      <c r="E62" s="206">
        <f t="shared" si="14"/>
        <v>0.26531422671522742</v>
      </c>
      <c r="F62" s="206">
        <f t="shared" si="14"/>
        <v>0.29131486521061567</v>
      </c>
      <c r="G62" s="206">
        <f t="shared" si="14"/>
        <v>0.25937166301354464</v>
      </c>
      <c r="H62" s="206">
        <f t="shared" si="14"/>
        <v>0.25120254292117133</v>
      </c>
      <c r="I62" s="207">
        <f t="shared" si="14"/>
        <v>0.24470838838406989</v>
      </c>
      <c r="J62" s="195">
        <f t="shared" si="9"/>
        <v>0.2565792684197063</v>
      </c>
      <c r="K62" s="513" t="s">
        <v>75</v>
      </c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5"/>
      <c r="Y62" s="113"/>
    </row>
    <row r="63" spans="1:25" ht="14" x14ac:dyDescent="0.15">
      <c r="A63" s="187" t="s">
        <v>76</v>
      </c>
      <c r="B63" s="188" t="e">
        <f>(B28/'[1]Income Statement'!B13)*365.25</f>
        <v>#DIV/0!</v>
      </c>
      <c r="C63" s="188" t="e">
        <f>(C28/'[1]Income Statement'!C13)*365.25</f>
        <v>#VALUE!</v>
      </c>
      <c r="D63" s="189">
        <f>(D26/'Income Statement'!D7)*365</f>
        <v>52.458445738453051</v>
      </c>
      <c r="E63" s="188">
        <f>(E26/'Income Statement'!E7)*365</f>
        <v>72.165599278221777</v>
      </c>
      <c r="F63" s="188">
        <f>(F26/'Income Statement'!F7)*365</f>
        <v>77.478405976712281</v>
      </c>
      <c r="G63" s="188">
        <f>(G26/'Income Statement'!G7)*365</f>
        <v>53.801522934476417</v>
      </c>
      <c r="H63" s="188">
        <f>(H26/'Income Statement'!H7)*365</f>
        <v>72.625458989893673</v>
      </c>
      <c r="I63" s="190">
        <f>(I26/'Income Statement'!I7)*365</f>
        <v>72.646323791673041</v>
      </c>
      <c r="J63" s="191">
        <f>AVERAGE(D63:I63)</f>
        <v>66.862626118238367</v>
      </c>
      <c r="K63" s="513" t="s">
        <v>77</v>
      </c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5"/>
      <c r="Y63" s="113"/>
    </row>
    <row r="64" spans="1:25" ht="14" x14ac:dyDescent="0.15">
      <c r="A64" s="187" t="s">
        <v>78</v>
      </c>
      <c r="B64" s="188"/>
      <c r="C64" s="188"/>
      <c r="D64" s="205">
        <f>D27/'Income Statement'!D7</f>
        <v>4.1115978760291383E-2</v>
      </c>
      <c r="E64" s="206">
        <f>E27/'Income Statement'!E7</f>
        <v>6.7561719464197464E-2</v>
      </c>
      <c r="F64" s="206">
        <f>F27/'Income Statement'!F7</f>
        <v>4.3786314127410894E-2</v>
      </c>
      <c r="G64" s="206">
        <f>G27/'Income Statement'!G7</f>
        <v>3.5396211588109544E-2</v>
      </c>
      <c r="H64" s="206">
        <f>H27/'Income Statement'!H7</f>
        <v>6.5002694142539855E-2</v>
      </c>
      <c r="I64" s="207">
        <f>I27/'Income Statement'!I7</f>
        <v>5.9723831388286096E-2</v>
      </c>
      <c r="J64" s="195">
        <f>AVERAGE(D64:I64)</f>
        <v>5.2097791578472531E-2</v>
      </c>
      <c r="K64" s="513" t="s">
        <v>79</v>
      </c>
      <c r="L64" s="514"/>
      <c r="M64" s="514"/>
      <c r="N64" s="514"/>
      <c r="O64" s="514"/>
      <c r="P64" s="514"/>
      <c r="Q64" s="514"/>
      <c r="R64" s="514"/>
      <c r="S64" s="514"/>
      <c r="T64" s="514"/>
      <c r="U64" s="514"/>
      <c r="V64" s="514"/>
      <c r="W64" s="514"/>
      <c r="X64" s="515"/>
      <c r="Y64" s="113"/>
    </row>
    <row r="65" spans="1:25" ht="14" x14ac:dyDescent="0.15">
      <c r="A65" s="187" t="s">
        <v>80</v>
      </c>
      <c r="B65" s="192" t="e">
        <f>B29/'[1]Income Statement'!B13</f>
        <v>#DIV/0!</v>
      </c>
      <c r="C65" s="192" t="e">
        <f>C29/'[1]Income Statement'!C13</f>
        <v>#VALUE!</v>
      </c>
      <c r="D65" s="193">
        <f>D29/'Income Statement'!D7</f>
        <v>4.4975977049919534E-2</v>
      </c>
      <c r="E65" s="192">
        <f>E29/'Income Statement'!E7</f>
        <v>5.8892015797861123E-2</v>
      </c>
      <c r="F65" s="192">
        <f>F29/'Income Statement'!F7</f>
        <v>5.2761623761657467E-2</v>
      </c>
      <c r="G65" s="192">
        <f>G29/'Income Statement'!G7</f>
        <v>4.8144863578546394E-2</v>
      </c>
      <c r="H65" s="192">
        <f>H29/'Income Statement'!H7</f>
        <v>5.6135416803564153E-2</v>
      </c>
      <c r="I65" s="194">
        <f>I29/'Income Statement'!I7</f>
        <v>6.7677834080732441E-2</v>
      </c>
      <c r="J65" s="195">
        <f t="shared" si="9"/>
        <v>5.4764621845380189E-2</v>
      </c>
      <c r="K65" s="513" t="s">
        <v>81</v>
      </c>
      <c r="L65" s="514"/>
      <c r="M65" s="514"/>
      <c r="N65" s="514"/>
      <c r="O65" s="514"/>
      <c r="P65" s="514"/>
      <c r="Q65" s="514"/>
      <c r="R65" s="514"/>
      <c r="S65" s="514"/>
      <c r="T65" s="514"/>
      <c r="U65" s="514"/>
      <c r="V65" s="514"/>
      <c r="W65" s="514"/>
      <c r="X65" s="515"/>
      <c r="Y65" s="113"/>
    </row>
    <row r="66" spans="1:25" ht="14" x14ac:dyDescent="0.15">
      <c r="A66" s="187" t="s">
        <v>82</v>
      </c>
      <c r="B66" s="204"/>
      <c r="C66" s="204"/>
      <c r="D66" s="193">
        <f t="shared" ref="D66:I66" si="15">D28/D17</f>
        <v>0.20158753623902564</v>
      </c>
      <c r="E66" s="192">
        <f t="shared" si="15"/>
        <v>0.2501082939820633</v>
      </c>
      <c r="F66" s="192">
        <f t="shared" si="15"/>
        <v>0.27457127354638577</v>
      </c>
      <c r="G66" s="192">
        <f t="shared" si="15"/>
        <v>0.23799589314680594</v>
      </c>
      <c r="H66" s="192">
        <f t="shared" si="15"/>
        <v>0.23743181385126003</v>
      </c>
      <c r="I66" s="194">
        <f t="shared" si="15"/>
        <v>0.229418753581179</v>
      </c>
      <c r="J66" s="195">
        <f>AVERAGE(D66:I66)</f>
        <v>0.23851892739111993</v>
      </c>
      <c r="K66" s="513" t="s">
        <v>83</v>
      </c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5"/>
      <c r="Y66" s="113"/>
    </row>
    <row r="67" spans="1:25" ht="14" x14ac:dyDescent="0.15">
      <c r="A67" s="187" t="s">
        <v>84</v>
      </c>
      <c r="B67" s="204"/>
      <c r="C67" s="204"/>
      <c r="D67" s="193">
        <f>D28/'Income Statement'!D6</f>
        <v>2.3018358513594808E-2</v>
      </c>
      <c r="E67" s="192">
        <f>E28/'Income Statement'!E6</f>
        <v>1.8371797123003596E-2</v>
      </c>
      <c r="F67" s="192">
        <f>F28/'Income Statement'!F6</f>
        <v>1.5902415581307283E-2</v>
      </c>
      <c r="G67" s="192">
        <f>G28/'Income Statement'!G6</f>
        <v>1.3995312197604489E-2</v>
      </c>
      <c r="H67" s="192">
        <f>H28/'Income Statement'!H6</f>
        <v>1.249625970465252E-2</v>
      </c>
      <c r="I67" s="194">
        <f>I28/'Income Statement'!I6</f>
        <v>1.0922029231316036E-2</v>
      </c>
      <c r="J67" s="195">
        <f>AVERAGE(D67:I67)</f>
        <v>1.5784362058579787E-2</v>
      </c>
      <c r="K67" s="513" t="s">
        <v>85</v>
      </c>
      <c r="L67" s="514"/>
      <c r="M67" s="514"/>
      <c r="N67" s="514"/>
      <c r="O67" s="514"/>
      <c r="P67" s="514"/>
      <c r="Q67" s="514"/>
      <c r="R67" s="514"/>
      <c r="S67" s="514"/>
      <c r="T67" s="514"/>
      <c r="U67" s="514"/>
      <c r="V67" s="514"/>
      <c r="W67" s="514"/>
      <c r="X67" s="515"/>
      <c r="Y67" s="113"/>
    </row>
    <row r="68" spans="1:25" ht="14" x14ac:dyDescent="0.15">
      <c r="A68" s="203" t="s">
        <v>86</v>
      </c>
      <c r="B68" s="192">
        <f>B34/B18</f>
        <v>2.2518942101501072</v>
      </c>
      <c r="C68" s="192">
        <f>C34/C18</f>
        <v>2.2087919942816296</v>
      </c>
      <c r="D68" s="193">
        <f t="shared" ref="D68:I68" si="16">D35/D18</f>
        <v>4.5423159399571125</v>
      </c>
      <c r="E68" s="192">
        <f t="shared" si="16"/>
        <v>4.2954967834167261</v>
      </c>
      <c r="F68" s="192">
        <f t="shared" si="16"/>
        <v>3.8784131522516083</v>
      </c>
      <c r="G68" s="192">
        <f t="shared" si="16"/>
        <v>4.4340243030736239</v>
      </c>
      <c r="H68" s="192">
        <f t="shared" si="16"/>
        <v>3.7505360972122945</v>
      </c>
      <c r="I68" s="194">
        <f t="shared" si="16"/>
        <v>0.97119370979270903</v>
      </c>
      <c r="J68" s="195">
        <f t="shared" si="9"/>
        <v>3.6453299976173454</v>
      </c>
      <c r="K68" s="513" t="s">
        <v>87</v>
      </c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5"/>
      <c r="Y68" s="113"/>
    </row>
    <row r="69" spans="1:25" ht="14" x14ac:dyDescent="0.15">
      <c r="A69" s="187" t="s">
        <v>88</v>
      </c>
      <c r="B69" s="192" t="e">
        <f>B35/'[1]Income Statement'!B13</f>
        <v>#DIV/0!</v>
      </c>
      <c r="C69" s="192" t="e">
        <f>C35/'[1]Income Statement'!C13</f>
        <v>#VALUE!</v>
      </c>
      <c r="D69" s="193">
        <f>D37/'Income Statement'!D7</f>
        <v>1.4108624161334711E-2</v>
      </c>
      <c r="E69" s="192">
        <f>E37/'Income Statement'!E7</f>
        <v>1.5999303487428205E-2</v>
      </c>
      <c r="F69" s="192">
        <f>F37/'Income Statement'!F7</f>
        <v>1.6535000272234424E-2</v>
      </c>
      <c r="G69" s="192">
        <f>G37/'Income Statement'!G7</f>
        <v>1.9609682138346071E-2</v>
      </c>
      <c r="H69" s="192">
        <f>H37/'Income Statement'!H7</f>
        <v>2.2262816890302402E-2</v>
      </c>
      <c r="I69" s="194">
        <f>I37/'Income Statement'!I7</f>
        <v>2.4376306281723985E-2</v>
      </c>
      <c r="J69" s="195">
        <f t="shared" si="9"/>
        <v>1.8815288871894969E-2</v>
      </c>
      <c r="K69" s="513" t="s">
        <v>89</v>
      </c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5"/>
      <c r="Y69" s="113"/>
    </row>
    <row r="70" spans="1:25" ht="14" x14ac:dyDescent="0.15">
      <c r="A70" s="208" t="s">
        <v>90</v>
      </c>
      <c r="B70" s="209">
        <f t="shared" ref="B70:I70" si="17">B42</f>
        <v>-12983</v>
      </c>
      <c r="C70" s="209">
        <f t="shared" si="17"/>
        <v>-22654</v>
      </c>
      <c r="D70" s="474">
        <f t="shared" si="17"/>
        <v>-25559</v>
      </c>
      <c r="E70" s="475">
        <f t="shared" si="17"/>
        <v>-16743</v>
      </c>
      <c r="F70" s="475">
        <f t="shared" si="17"/>
        <v>-24955</v>
      </c>
      <c r="G70" s="475">
        <f t="shared" si="17"/>
        <v>-39035</v>
      </c>
      <c r="H70" s="475">
        <f t="shared" si="17"/>
        <v>-50733</v>
      </c>
      <c r="I70" s="476">
        <f t="shared" si="17"/>
        <v>-49654</v>
      </c>
      <c r="J70" s="477">
        <f t="shared" si="9"/>
        <v>-34446.5</v>
      </c>
      <c r="K70" s="516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8"/>
      <c r="Y70" s="113"/>
    </row>
    <row r="71" spans="1:25" ht="14" x14ac:dyDescent="0.15">
      <c r="B71" s="113"/>
      <c r="C71" s="113"/>
      <c r="D71" s="113"/>
      <c r="K71" s="149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</row>
    <row r="72" spans="1:25" ht="14" x14ac:dyDescent="0.15">
      <c r="J72" s="210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</row>
    <row r="73" spans="1:25" ht="14" x14ac:dyDescent="0.15">
      <c r="I73" s="211"/>
      <c r="J73" s="211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</row>
    <row r="74" spans="1:25" ht="14" x14ac:dyDescent="0.15">
      <c r="I74" s="211"/>
      <c r="J74" s="211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</row>
    <row r="75" spans="1:25" ht="14" x14ac:dyDescent="0.15"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</row>
    <row r="76" spans="1:25" ht="14" x14ac:dyDescent="0.15">
      <c r="A76" s="125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</row>
    <row r="77" spans="1:25" ht="14" x14ac:dyDescent="0.15">
      <c r="A77" s="125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</row>
    <row r="78" spans="1:25" ht="14" x14ac:dyDescent="0.15">
      <c r="A78" s="125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</row>
    <row r="79" spans="1:25" ht="14" x14ac:dyDescent="0.15">
      <c r="A79" s="125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</row>
    <row r="80" spans="1:25" ht="14" x14ac:dyDescent="0.15">
      <c r="A80" s="125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</row>
    <row r="81" spans="1:25" ht="14" x14ac:dyDescent="0.15">
      <c r="A81" s="125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</row>
    <row r="82" spans="1:25" ht="14" x14ac:dyDescent="0.15">
      <c r="A82" s="125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</row>
    <row r="83" spans="1:25" ht="14" x14ac:dyDescent="0.15">
      <c r="A83" s="125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</row>
    <row r="84" spans="1:25" ht="14" x14ac:dyDescent="0.15">
      <c r="A84" s="125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</row>
    <row r="85" spans="1:25" ht="14" x14ac:dyDescent="0.15">
      <c r="A85" s="125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</row>
    <row r="86" spans="1:25" ht="14" x14ac:dyDescent="0.15">
      <c r="A86" s="125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</row>
    <row r="87" spans="1:25" ht="14" x14ac:dyDescent="0.15">
      <c r="A87" s="125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</row>
    <row r="88" spans="1:25" ht="14" x14ac:dyDescent="0.15">
      <c r="A88" s="125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</row>
    <row r="89" spans="1:25" ht="14" x14ac:dyDescent="0.15">
      <c r="A89" s="125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</row>
    <row r="90" spans="1:25" ht="14" x14ac:dyDescent="0.15">
      <c r="A90" s="125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</row>
    <row r="91" spans="1:25" ht="14" x14ac:dyDescent="0.15">
      <c r="A91" s="125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</row>
    <row r="92" spans="1:25" ht="14" x14ac:dyDescent="0.15">
      <c r="A92" s="125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</row>
    <row r="93" spans="1:25" ht="14" x14ac:dyDescent="0.15">
      <c r="A93" s="125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</row>
    <row r="94" spans="1:25" ht="14" x14ac:dyDescent="0.15">
      <c r="A94" s="125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</row>
    <row r="95" spans="1:25" ht="14" x14ac:dyDescent="0.15">
      <c r="A95" s="125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</row>
    <row r="96" spans="1:25" ht="14" x14ac:dyDescent="0.15">
      <c r="A96" s="125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</row>
    <row r="97" spans="1:25" ht="14" x14ac:dyDescent="0.15">
      <c r="A97" s="125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</row>
    <row r="98" spans="1:25" ht="14" x14ac:dyDescent="0.15">
      <c r="A98" s="125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</row>
    <row r="99" spans="1:25" ht="14" x14ac:dyDescent="0.15">
      <c r="A99" s="125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</row>
    <row r="100" spans="1:25" ht="14" x14ac:dyDescent="0.15">
      <c r="A100" s="125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</row>
    <row r="101" spans="1:25" ht="14" x14ac:dyDescent="0.15">
      <c r="A101" s="125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</row>
    <row r="102" spans="1:25" ht="14" x14ac:dyDescent="0.15">
      <c r="A102" s="125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</row>
    <row r="103" spans="1:25" ht="14" x14ac:dyDescent="0.15">
      <c r="A103" s="125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</row>
    <row r="104" spans="1:25" ht="14" x14ac:dyDescent="0.15">
      <c r="A104" s="125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</row>
    <row r="105" spans="1:25" ht="14" x14ac:dyDescent="0.15">
      <c r="A105" s="125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</row>
    <row r="106" spans="1:25" ht="14" x14ac:dyDescent="0.15">
      <c r="A106" s="125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</row>
    <row r="107" spans="1:25" ht="14" x14ac:dyDescent="0.15">
      <c r="A107" s="125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</row>
    <row r="108" spans="1:25" ht="14" x14ac:dyDescent="0.15">
      <c r="A108" s="125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</row>
    <row r="109" spans="1:25" ht="14" x14ac:dyDescent="0.15">
      <c r="A109" s="125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</row>
    <row r="110" spans="1:25" ht="14" x14ac:dyDescent="0.15">
      <c r="A110" s="125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</row>
    <row r="111" spans="1:25" ht="14" x14ac:dyDescent="0.15">
      <c r="A111" s="125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</row>
    <row r="112" spans="1:25" ht="14" x14ac:dyDescent="0.15">
      <c r="A112" s="125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</row>
    <row r="113" spans="1:25" ht="14" x14ac:dyDescent="0.15">
      <c r="A113" s="125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</row>
    <row r="114" spans="1:25" ht="14" x14ac:dyDescent="0.15">
      <c r="A114" s="125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</row>
    <row r="115" spans="1:25" ht="14" x14ac:dyDescent="0.15">
      <c r="A115" s="125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</row>
    <row r="116" spans="1:25" ht="14" x14ac:dyDescent="0.15">
      <c r="A116" s="125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</row>
    <row r="117" spans="1:25" ht="14" x14ac:dyDescent="0.15">
      <c r="A117" s="125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</row>
    <row r="118" spans="1:25" ht="14" x14ac:dyDescent="0.15">
      <c r="A118" s="125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</row>
    <row r="119" spans="1:25" ht="14" x14ac:dyDescent="0.15">
      <c r="A119" s="125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</row>
    <row r="120" spans="1:25" ht="14" x14ac:dyDescent="0.15">
      <c r="A120" s="125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</row>
    <row r="121" spans="1:25" ht="14" x14ac:dyDescent="0.15">
      <c r="A121" s="125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</row>
    <row r="122" spans="1:25" ht="14" x14ac:dyDescent="0.15">
      <c r="A122" s="125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</row>
    <row r="123" spans="1:25" ht="14" x14ac:dyDescent="0.15">
      <c r="A123" s="125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</row>
    <row r="124" spans="1:25" ht="14" x14ac:dyDescent="0.15">
      <c r="A124" s="125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</row>
    <row r="125" spans="1:25" ht="14" x14ac:dyDescent="0.15">
      <c r="A125" s="125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</row>
    <row r="126" spans="1:25" ht="14" x14ac:dyDescent="0.15">
      <c r="A126" s="125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</row>
    <row r="127" spans="1:25" ht="14" x14ac:dyDescent="0.15">
      <c r="A127" s="125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</row>
    <row r="128" spans="1:25" ht="14" x14ac:dyDescent="0.15">
      <c r="A128" s="125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</row>
    <row r="129" spans="1:25" ht="14" x14ac:dyDescent="0.15">
      <c r="A129" s="125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</row>
    <row r="130" spans="1:25" ht="14" x14ac:dyDescent="0.15">
      <c r="A130" s="125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</row>
    <row r="131" spans="1:25" ht="14" x14ac:dyDescent="0.15">
      <c r="A131" s="125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</row>
    <row r="132" spans="1:25" ht="14" x14ac:dyDescent="0.15">
      <c r="A132" s="125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</row>
    <row r="133" spans="1:25" ht="14" x14ac:dyDescent="0.15">
      <c r="A133" s="125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</row>
    <row r="134" spans="1:25" ht="14" x14ac:dyDescent="0.15">
      <c r="A134" s="125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</row>
    <row r="135" spans="1:25" ht="14" x14ac:dyDescent="0.15">
      <c r="A135" s="125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</row>
    <row r="136" spans="1:25" ht="14" x14ac:dyDescent="0.15">
      <c r="A136" s="125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</row>
    <row r="137" spans="1:25" ht="14" x14ac:dyDescent="0.15">
      <c r="A137" s="125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</row>
    <row r="138" spans="1:25" ht="14" x14ac:dyDescent="0.15">
      <c r="A138" s="125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</row>
    <row r="139" spans="1:25" ht="14" x14ac:dyDescent="0.15">
      <c r="A139" s="125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</row>
    <row r="140" spans="1:25" ht="14" x14ac:dyDescent="0.15">
      <c r="A140" s="125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</row>
    <row r="141" spans="1:25" ht="14" x14ac:dyDescent="0.15">
      <c r="A141" s="125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</row>
    <row r="142" spans="1:25" ht="14" x14ac:dyDescent="0.15">
      <c r="A142" s="125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</row>
    <row r="143" spans="1:25" ht="14" x14ac:dyDescent="0.15">
      <c r="A143" s="125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</row>
    <row r="144" spans="1:25" ht="14" x14ac:dyDescent="0.15">
      <c r="A144" s="125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</row>
    <row r="145" spans="1:25" ht="14" x14ac:dyDescent="0.15">
      <c r="A145" s="125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</row>
    <row r="146" spans="1:25" ht="14" x14ac:dyDescent="0.15">
      <c r="A146" s="125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</row>
    <row r="147" spans="1:25" ht="14" x14ac:dyDescent="0.15">
      <c r="A147" s="125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</row>
    <row r="148" spans="1:25" ht="14" x14ac:dyDescent="0.15">
      <c r="A148" s="125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</row>
    <row r="149" spans="1:25" ht="14" x14ac:dyDescent="0.15">
      <c r="A149" s="125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</row>
    <row r="150" spans="1:25" ht="14" x14ac:dyDescent="0.15">
      <c r="A150" s="125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</row>
    <row r="151" spans="1:25" ht="14" x14ac:dyDescent="0.15">
      <c r="A151" s="125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</row>
    <row r="152" spans="1:25" ht="14" x14ac:dyDescent="0.15">
      <c r="A152" s="125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</row>
    <row r="153" spans="1:25" ht="14" x14ac:dyDescent="0.15">
      <c r="A153" s="125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</row>
    <row r="154" spans="1:25" ht="14" x14ac:dyDescent="0.15">
      <c r="A154" s="125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</row>
    <row r="155" spans="1:25" ht="14" x14ac:dyDescent="0.15">
      <c r="A155" s="125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</row>
    <row r="156" spans="1:25" ht="14" x14ac:dyDescent="0.15">
      <c r="A156" s="125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</row>
    <row r="157" spans="1:25" ht="14" x14ac:dyDescent="0.15">
      <c r="A157" s="125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</row>
    <row r="158" spans="1:25" ht="14" x14ac:dyDescent="0.15">
      <c r="A158" s="125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</row>
    <row r="159" spans="1:25" ht="14" x14ac:dyDescent="0.15">
      <c r="A159" s="125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</row>
    <row r="160" spans="1:25" ht="14" x14ac:dyDescent="0.15">
      <c r="A160" s="125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</row>
    <row r="161" spans="1:25" ht="14" x14ac:dyDescent="0.15">
      <c r="A161" s="125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</row>
    <row r="162" spans="1:25" ht="14" x14ac:dyDescent="0.15">
      <c r="A162" s="125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</row>
    <row r="163" spans="1:25" ht="14" x14ac:dyDescent="0.15">
      <c r="A163" s="125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</row>
    <row r="164" spans="1:25" ht="14" x14ac:dyDescent="0.15">
      <c r="A164" s="125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</row>
    <row r="165" spans="1:25" ht="14" x14ac:dyDescent="0.15">
      <c r="A165" s="125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</row>
    <row r="166" spans="1:25" ht="14" x14ac:dyDescent="0.15">
      <c r="A166" s="125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</row>
    <row r="167" spans="1:25" ht="14" x14ac:dyDescent="0.15">
      <c r="A167" s="125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</row>
    <row r="168" spans="1:25" ht="14" x14ac:dyDescent="0.15">
      <c r="A168" s="125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</row>
    <row r="169" spans="1:25" ht="14" x14ac:dyDescent="0.15">
      <c r="A169" s="125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</row>
    <row r="170" spans="1:25" ht="14" x14ac:dyDescent="0.15">
      <c r="A170" s="125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</row>
    <row r="171" spans="1:25" ht="14" x14ac:dyDescent="0.15">
      <c r="A171" s="125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</row>
    <row r="172" spans="1:25" ht="14" x14ac:dyDescent="0.15">
      <c r="A172" s="125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</row>
    <row r="173" spans="1:25" ht="14" x14ac:dyDescent="0.15">
      <c r="A173" s="125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</row>
    <row r="174" spans="1:25" ht="14" x14ac:dyDescent="0.15">
      <c r="A174" s="125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</row>
    <row r="175" spans="1:25" ht="14" x14ac:dyDescent="0.15">
      <c r="A175" s="125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</row>
    <row r="176" spans="1:25" ht="14" x14ac:dyDescent="0.15">
      <c r="A176" s="125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</row>
    <row r="177" spans="1:25" ht="14" x14ac:dyDescent="0.15">
      <c r="A177" s="125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</row>
    <row r="178" spans="1:25" ht="14" x14ac:dyDescent="0.15">
      <c r="A178" s="125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</row>
    <row r="179" spans="1:25" ht="14" x14ac:dyDescent="0.15">
      <c r="A179" s="125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</row>
    <row r="180" spans="1:25" ht="14" x14ac:dyDescent="0.15">
      <c r="A180" s="125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</row>
    <row r="181" spans="1:25" ht="14" x14ac:dyDescent="0.15">
      <c r="A181" s="125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</row>
    <row r="182" spans="1:25" ht="14" x14ac:dyDescent="0.15">
      <c r="A182" s="125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</row>
    <row r="183" spans="1:25" ht="14" x14ac:dyDescent="0.15">
      <c r="A183" s="125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</row>
    <row r="184" spans="1:25" ht="14" x14ac:dyDescent="0.15">
      <c r="A184" s="125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</row>
    <row r="185" spans="1:25" ht="14" x14ac:dyDescent="0.15">
      <c r="A185" s="125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</row>
    <row r="186" spans="1:25" ht="14" x14ac:dyDescent="0.15">
      <c r="A186" s="125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</row>
    <row r="187" spans="1:25" ht="14" x14ac:dyDescent="0.15">
      <c r="A187" s="125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</row>
    <row r="188" spans="1:25" ht="14" x14ac:dyDescent="0.15">
      <c r="A188" s="125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</row>
    <row r="189" spans="1:25" ht="14" x14ac:dyDescent="0.15">
      <c r="A189" s="125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</row>
    <row r="190" spans="1:25" ht="14" x14ac:dyDescent="0.15">
      <c r="A190" s="125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</row>
    <row r="191" spans="1:25" ht="14" x14ac:dyDescent="0.15">
      <c r="A191" s="125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</row>
    <row r="192" spans="1:25" ht="14" x14ac:dyDescent="0.15">
      <c r="A192" s="125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</row>
    <row r="193" spans="1:25" ht="14" x14ac:dyDescent="0.15">
      <c r="A193" s="125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</row>
    <row r="194" spans="1:25" ht="14" x14ac:dyDescent="0.15">
      <c r="A194" s="125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</row>
    <row r="195" spans="1:25" ht="14" x14ac:dyDescent="0.15">
      <c r="A195" s="125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</row>
    <row r="196" spans="1:25" ht="14" x14ac:dyDescent="0.15">
      <c r="A196" s="125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</row>
    <row r="197" spans="1:25" ht="14" x14ac:dyDescent="0.15">
      <c r="A197" s="125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</row>
    <row r="198" spans="1:25" ht="14" x14ac:dyDescent="0.15">
      <c r="A198" s="125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</row>
    <row r="199" spans="1:25" ht="14" x14ac:dyDescent="0.15">
      <c r="A199" s="125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</row>
    <row r="200" spans="1:25" ht="14" x14ac:dyDescent="0.15">
      <c r="A200" s="125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</row>
    <row r="201" spans="1:25" ht="14" x14ac:dyDescent="0.15">
      <c r="A201" s="125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</row>
    <row r="202" spans="1:25" ht="14" x14ac:dyDescent="0.15">
      <c r="A202" s="125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</row>
    <row r="203" spans="1:25" ht="14" x14ac:dyDescent="0.15">
      <c r="A203" s="125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</row>
    <row r="204" spans="1:25" ht="14" x14ac:dyDescent="0.15">
      <c r="A204" s="125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</row>
    <row r="205" spans="1:25" ht="14" x14ac:dyDescent="0.15">
      <c r="A205" s="125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</row>
    <row r="206" spans="1:25" ht="14" x14ac:dyDescent="0.15">
      <c r="A206" s="125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</row>
    <row r="207" spans="1:25" ht="14" x14ac:dyDescent="0.15">
      <c r="A207" s="125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</row>
    <row r="208" spans="1:25" ht="14" x14ac:dyDescent="0.15">
      <c r="A208" s="125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</row>
    <row r="209" spans="1:25" ht="14" x14ac:dyDescent="0.15">
      <c r="A209" s="125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</row>
    <row r="210" spans="1:25" ht="14" x14ac:dyDescent="0.15">
      <c r="A210" s="125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</row>
    <row r="211" spans="1:25" ht="14" x14ac:dyDescent="0.15">
      <c r="A211" s="125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</row>
    <row r="212" spans="1:25" ht="14" x14ac:dyDescent="0.15">
      <c r="A212" s="125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</row>
    <row r="213" spans="1:25" ht="14" x14ac:dyDescent="0.15">
      <c r="A213" s="125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</row>
    <row r="214" spans="1:25" ht="14" x14ac:dyDescent="0.15">
      <c r="A214" s="125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</row>
    <row r="215" spans="1:25" ht="14" x14ac:dyDescent="0.15">
      <c r="A215" s="125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</row>
    <row r="216" spans="1:25" ht="14" x14ac:dyDescent="0.15">
      <c r="A216" s="125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</row>
    <row r="217" spans="1:25" ht="14" x14ac:dyDescent="0.15">
      <c r="A217" s="125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</row>
    <row r="218" spans="1:25" ht="14" x14ac:dyDescent="0.15">
      <c r="A218" s="125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</row>
    <row r="219" spans="1:25" ht="14" x14ac:dyDescent="0.15">
      <c r="A219" s="125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</row>
    <row r="220" spans="1:25" ht="14" x14ac:dyDescent="0.15">
      <c r="A220" s="125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</row>
    <row r="221" spans="1:25" ht="14" x14ac:dyDescent="0.15">
      <c r="A221" s="125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</row>
    <row r="222" spans="1:25" ht="14" x14ac:dyDescent="0.15">
      <c r="A222" s="125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</row>
    <row r="223" spans="1:25" ht="14" x14ac:dyDescent="0.15">
      <c r="A223" s="125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</row>
    <row r="224" spans="1:25" ht="14" x14ac:dyDescent="0.15">
      <c r="A224" s="125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</row>
    <row r="225" spans="1:25" ht="14" x14ac:dyDescent="0.15">
      <c r="A225" s="125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</row>
    <row r="226" spans="1:25" ht="14" x14ac:dyDescent="0.15">
      <c r="A226" s="125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</row>
    <row r="227" spans="1:25" ht="14" x14ac:dyDescent="0.15">
      <c r="A227" s="125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</row>
    <row r="228" spans="1:25" ht="14" x14ac:dyDescent="0.15">
      <c r="A228" s="125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</row>
    <row r="229" spans="1:25" ht="14" x14ac:dyDescent="0.15">
      <c r="A229" s="125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</row>
    <row r="230" spans="1:25" ht="14" x14ac:dyDescent="0.15">
      <c r="A230" s="125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</row>
    <row r="231" spans="1:25" ht="14" x14ac:dyDescent="0.15">
      <c r="A231" s="125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</row>
    <row r="232" spans="1:25" ht="14" x14ac:dyDescent="0.15">
      <c r="A232" s="125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</row>
    <row r="233" spans="1:25" ht="14" x14ac:dyDescent="0.15">
      <c r="A233" s="125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</row>
    <row r="234" spans="1:25" ht="14" x14ac:dyDescent="0.15">
      <c r="A234" s="125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</row>
    <row r="235" spans="1:25" ht="14" x14ac:dyDescent="0.15">
      <c r="A235" s="125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</row>
    <row r="236" spans="1:25" ht="14" x14ac:dyDescent="0.15">
      <c r="A236" s="125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</row>
    <row r="237" spans="1:25" ht="14" x14ac:dyDescent="0.15">
      <c r="A237" s="125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</row>
    <row r="238" spans="1:25" ht="14" x14ac:dyDescent="0.15">
      <c r="A238" s="125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</row>
    <row r="239" spans="1:25" ht="14" x14ac:dyDescent="0.15">
      <c r="A239" s="125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</row>
    <row r="240" spans="1:25" ht="14" x14ac:dyDescent="0.15">
      <c r="A240" s="125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</row>
    <row r="241" spans="1:25" ht="14" x14ac:dyDescent="0.15">
      <c r="A241" s="125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</row>
    <row r="242" spans="1:25" ht="14" x14ac:dyDescent="0.15">
      <c r="A242" s="125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</row>
    <row r="243" spans="1:25" ht="14" x14ac:dyDescent="0.15">
      <c r="A243" s="125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</row>
    <row r="244" spans="1:25" ht="14" x14ac:dyDescent="0.15">
      <c r="A244" s="125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</row>
    <row r="245" spans="1:25" ht="14" x14ac:dyDescent="0.15">
      <c r="A245" s="125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</row>
    <row r="246" spans="1:25" ht="14" x14ac:dyDescent="0.15">
      <c r="A246" s="125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</row>
    <row r="247" spans="1:25" ht="14" x14ac:dyDescent="0.15">
      <c r="A247" s="125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</row>
    <row r="248" spans="1:25" ht="14" x14ac:dyDescent="0.15">
      <c r="A248" s="125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</row>
    <row r="249" spans="1:25" ht="14" x14ac:dyDescent="0.15">
      <c r="A249" s="125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</row>
    <row r="250" spans="1:25" ht="14" x14ac:dyDescent="0.15">
      <c r="A250" s="125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</row>
    <row r="251" spans="1:25" ht="14" x14ac:dyDescent="0.15">
      <c r="A251" s="125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</row>
    <row r="252" spans="1:25" ht="14" x14ac:dyDescent="0.15">
      <c r="A252" s="125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</row>
    <row r="253" spans="1:25" ht="14" x14ac:dyDescent="0.15">
      <c r="A253" s="125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</row>
    <row r="254" spans="1:25" ht="14" x14ac:dyDescent="0.15">
      <c r="A254" s="125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</row>
    <row r="255" spans="1:25" ht="14" x14ac:dyDescent="0.15">
      <c r="A255" s="125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</row>
    <row r="256" spans="1:25" ht="14" x14ac:dyDescent="0.15">
      <c r="A256" s="125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</row>
    <row r="257" spans="1:25" ht="14" x14ac:dyDescent="0.15">
      <c r="A257" s="125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</row>
    <row r="258" spans="1:25" ht="14" x14ac:dyDescent="0.15">
      <c r="A258" s="125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</row>
    <row r="259" spans="1:25" ht="14" x14ac:dyDescent="0.15">
      <c r="A259" s="125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</row>
    <row r="260" spans="1:25" ht="14" x14ac:dyDescent="0.15">
      <c r="A260" s="125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</row>
    <row r="261" spans="1:25" ht="14" x14ac:dyDescent="0.15">
      <c r="A261" s="125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</row>
    <row r="262" spans="1:25" ht="14" x14ac:dyDescent="0.15">
      <c r="A262" s="125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</row>
    <row r="263" spans="1:25" ht="14" x14ac:dyDescent="0.15">
      <c r="A263" s="125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</row>
    <row r="264" spans="1:25" ht="14" x14ac:dyDescent="0.15">
      <c r="A264" s="125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</row>
    <row r="265" spans="1:25" ht="14" x14ac:dyDescent="0.15">
      <c r="A265" s="125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</row>
    <row r="266" spans="1:25" ht="14" x14ac:dyDescent="0.15">
      <c r="A266" s="125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</row>
    <row r="267" spans="1:25" ht="14" x14ac:dyDescent="0.15">
      <c r="A267" s="125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</row>
    <row r="268" spans="1:25" ht="14" x14ac:dyDescent="0.15">
      <c r="A268" s="125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</row>
    <row r="269" spans="1:25" ht="14" x14ac:dyDescent="0.15">
      <c r="A269" s="125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</row>
    <row r="270" spans="1:25" ht="14" x14ac:dyDescent="0.15">
      <c r="A270" s="125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</row>
    <row r="271" spans="1:25" ht="14" x14ac:dyDescent="0.15">
      <c r="A271" s="125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</row>
    <row r="272" spans="1:25" ht="14" x14ac:dyDescent="0.15">
      <c r="A272" s="125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</row>
    <row r="273" spans="1:25" ht="14" x14ac:dyDescent="0.15">
      <c r="A273" s="125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</row>
    <row r="274" spans="1:25" ht="14" x14ac:dyDescent="0.15">
      <c r="A274" s="125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</row>
    <row r="275" spans="1:25" ht="14" x14ac:dyDescent="0.15">
      <c r="A275" s="125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</row>
    <row r="276" spans="1:25" ht="14" x14ac:dyDescent="0.15">
      <c r="A276" s="125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</row>
    <row r="277" spans="1:25" ht="14" x14ac:dyDescent="0.15">
      <c r="A277" s="125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</row>
    <row r="278" spans="1:25" ht="14" x14ac:dyDescent="0.15">
      <c r="A278" s="125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</row>
    <row r="279" spans="1:25" ht="14" x14ac:dyDescent="0.15">
      <c r="A279" s="125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</row>
    <row r="280" spans="1:25" ht="14" x14ac:dyDescent="0.15">
      <c r="A280" s="125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</row>
    <row r="281" spans="1:25" ht="14" x14ac:dyDescent="0.15">
      <c r="A281" s="125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</row>
    <row r="282" spans="1:25" ht="14" x14ac:dyDescent="0.15">
      <c r="A282" s="125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</row>
    <row r="283" spans="1:25" ht="14" x14ac:dyDescent="0.15">
      <c r="A283" s="125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</row>
    <row r="284" spans="1:25" ht="14" x14ac:dyDescent="0.15">
      <c r="A284" s="125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</row>
    <row r="285" spans="1:25" ht="14" x14ac:dyDescent="0.15">
      <c r="A285" s="125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</row>
    <row r="286" spans="1:25" ht="14" x14ac:dyDescent="0.15">
      <c r="A286" s="125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</row>
    <row r="287" spans="1:25" ht="14" x14ac:dyDescent="0.15">
      <c r="A287" s="125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</row>
    <row r="288" spans="1:25" ht="14" x14ac:dyDescent="0.15">
      <c r="A288" s="125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</row>
    <row r="289" spans="1:25" ht="14" x14ac:dyDescent="0.15">
      <c r="A289" s="125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</row>
    <row r="290" spans="1:25" ht="14" x14ac:dyDescent="0.15">
      <c r="A290" s="125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</row>
    <row r="291" spans="1:25" ht="14" x14ac:dyDescent="0.15">
      <c r="A291" s="125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</row>
    <row r="292" spans="1:25" ht="14" x14ac:dyDescent="0.15">
      <c r="A292" s="125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</row>
    <row r="293" spans="1:25" ht="14" x14ac:dyDescent="0.15">
      <c r="A293" s="125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</row>
    <row r="294" spans="1:25" ht="14" x14ac:dyDescent="0.15">
      <c r="A294" s="125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</row>
    <row r="295" spans="1:25" ht="14" x14ac:dyDescent="0.15">
      <c r="A295" s="125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</row>
    <row r="296" spans="1:25" ht="14" x14ac:dyDescent="0.15">
      <c r="A296" s="125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</row>
    <row r="297" spans="1:25" ht="14" x14ac:dyDescent="0.15">
      <c r="A297" s="125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</row>
    <row r="298" spans="1:25" ht="14" x14ac:dyDescent="0.15">
      <c r="A298" s="125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</row>
    <row r="299" spans="1:25" ht="14" x14ac:dyDescent="0.15">
      <c r="A299" s="125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</row>
    <row r="300" spans="1:25" ht="14" x14ac:dyDescent="0.15">
      <c r="A300" s="125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</row>
    <row r="301" spans="1:25" ht="14" x14ac:dyDescent="0.15">
      <c r="A301" s="125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</row>
    <row r="302" spans="1:25" ht="14" x14ac:dyDescent="0.15">
      <c r="A302" s="125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</row>
    <row r="303" spans="1:25" ht="14" x14ac:dyDescent="0.15">
      <c r="A303" s="125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</row>
    <row r="304" spans="1:25" ht="14" x14ac:dyDescent="0.15">
      <c r="A304" s="125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</row>
    <row r="305" spans="1:25" ht="14" x14ac:dyDescent="0.15">
      <c r="A305" s="125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</row>
    <row r="306" spans="1:25" ht="14" x14ac:dyDescent="0.15">
      <c r="A306" s="125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</row>
    <row r="307" spans="1:25" ht="14" x14ac:dyDescent="0.15">
      <c r="A307" s="125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</row>
    <row r="308" spans="1:25" ht="14" x14ac:dyDescent="0.15">
      <c r="A308" s="125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</row>
    <row r="309" spans="1:25" ht="14" x14ac:dyDescent="0.15">
      <c r="A309" s="125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</row>
    <row r="310" spans="1:25" ht="14" x14ac:dyDescent="0.15">
      <c r="A310" s="125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</row>
    <row r="311" spans="1:25" ht="14" x14ac:dyDescent="0.15">
      <c r="A311" s="125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</row>
    <row r="312" spans="1:25" ht="14" x14ac:dyDescent="0.15">
      <c r="A312" s="125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</row>
    <row r="313" spans="1:25" ht="14" x14ac:dyDescent="0.15">
      <c r="A313" s="125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</row>
    <row r="314" spans="1:25" ht="14" x14ac:dyDescent="0.15">
      <c r="A314" s="125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</row>
    <row r="315" spans="1:25" ht="14" x14ac:dyDescent="0.15">
      <c r="A315" s="125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</row>
    <row r="316" spans="1:25" ht="14" x14ac:dyDescent="0.15">
      <c r="A316" s="125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</row>
    <row r="317" spans="1:25" ht="14" x14ac:dyDescent="0.15">
      <c r="A317" s="125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</row>
    <row r="318" spans="1:25" ht="14" x14ac:dyDescent="0.15">
      <c r="A318" s="125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</row>
    <row r="319" spans="1:25" ht="14" x14ac:dyDescent="0.15">
      <c r="A319" s="125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</row>
    <row r="320" spans="1:25" ht="14" x14ac:dyDescent="0.15">
      <c r="A320" s="125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</row>
    <row r="321" spans="1:25" ht="14" x14ac:dyDescent="0.15">
      <c r="A321" s="125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</row>
    <row r="322" spans="1:25" ht="14" x14ac:dyDescent="0.15">
      <c r="A322" s="125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</row>
    <row r="323" spans="1:25" ht="14" x14ac:dyDescent="0.15">
      <c r="A323" s="125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</row>
    <row r="324" spans="1:25" ht="14" x14ac:dyDescent="0.15">
      <c r="A324" s="125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</row>
    <row r="325" spans="1:25" ht="14" x14ac:dyDescent="0.15">
      <c r="A325" s="125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</row>
    <row r="326" spans="1:25" ht="14" x14ac:dyDescent="0.15">
      <c r="A326" s="125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</row>
    <row r="327" spans="1:25" ht="14" x14ac:dyDescent="0.15">
      <c r="A327" s="125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</row>
    <row r="328" spans="1:25" ht="14" x14ac:dyDescent="0.15">
      <c r="A328" s="125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</row>
    <row r="329" spans="1:25" ht="14" x14ac:dyDescent="0.15">
      <c r="A329" s="125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</row>
    <row r="330" spans="1:25" ht="14" x14ac:dyDescent="0.15">
      <c r="A330" s="125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</row>
    <row r="331" spans="1:25" ht="14" x14ac:dyDescent="0.15">
      <c r="A331" s="125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</row>
    <row r="332" spans="1:25" ht="14" x14ac:dyDescent="0.15">
      <c r="A332" s="125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</row>
    <row r="333" spans="1:25" ht="14" x14ac:dyDescent="0.15">
      <c r="A333" s="125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</row>
    <row r="334" spans="1:25" ht="14" x14ac:dyDescent="0.15">
      <c r="A334" s="125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</row>
    <row r="335" spans="1:25" ht="14" x14ac:dyDescent="0.15">
      <c r="A335" s="125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</row>
    <row r="336" spans="1:25" ht="14" x14ac:dyDescent="0.15">
      <c r="A336" s="125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</row>
    <row r="337" spans="1:25" ht="14" x14ac:dyDescent="0.15">
      <c r="A337" s="125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</row>
    <row r="338" spans="1:25" ht="14" x14ac:dyDescent="0.15">
      <c r="A338" s="125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</row>
    <row r="339" spans="1:25" ht="14" x14ac:dyDescent="0.15">
      <c r="A339" s="125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</row>
    <row r="340" spans="1:25" ht="14" x14ac:dyDescent="0.15">
      <c r="A340" s="125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</row>
    <row r="341" spans="1:25" ht="14" x14ac:dyDescent="0.15">
      <c r="A341" s="125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</row>
    <row r="342" spans="1:25" ht="14" x14ac:dyDescent="0.15">
      <c r="A342" s="125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</row>
    <row r="343" spans="1:25" ht="14" x14ac:dyDescent="0.15">
      <c r="A343" s="125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</row>
    <row r="344" spans="1:25" ht="14" x14ac:dyDescent="0.15">
      <c r="A344" s="125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</row>
    <row r="345" spans="1:25" ht="14" x14ac:dyDescent="0.15">
      <c r="A345" s="125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</row>
    <row r="346" spans="1:25" ht="14" x14ac:dyDescent="0.15">
      <c r="A346" s="125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</row>
    <row r="347" spans="1:25" ht="14" x14ac:dyDescent="0.15">
      <c r="A347" s="125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</row>
    <row r="348" spans="1:25" ht="14" x14ac:dyDescent="0.15">
      <c r="A348" s="125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</row>
    <row r="349" spans="1:25" ht="14" x14ac:dyDescent="0.15">
      <c r="A349" s="125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</row>
    <row r="350" spans="1:25" ht="14" x14ac:dyDescent="0.15">
      <c r="A350" s="125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</row>
    <row r="351" spans="1:25" ht="14" x14ac:dyDescent="0.15">
      <c r="A351" s="125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</row>
    <row r="352" spans="1:25" ht="14" x14ac:dyDescent="0.15">
      <c r="A352" s="125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</row>
    <row r="353" spans="1:25" ht="14" x14ac:dyDescent="0.15">
      <c r="A353" s="125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</row>
    <row r="354" spans="1:25" ht="14" x14ac:dyDescent="0.15">
      <c r="A354" s="125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</row>
    <row r="355" spans="1:25" ht="14" x14ac:dyDescent="0.15">
      <c r="A355" s="125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</row>
    <row r="356" spans="1:25" ht="14" x14ac:dyDescent="0.15">
      <c r="A356" s="125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</row>
    <row r="357" spans="1:25" ht="14" x14ac:dyDescent="0.15">
      <c r="A357" s="125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</row>
    <row r="358" spans="1:25" ht="14" x14ac:dyDescent="0.15">
      <c r="A358" s="125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</row>
    <row r="359" spans="1:25" ht="14" x14ac:dyDescent="0.15">
      <c r="A359" s="125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</row>
    <row r="360" spans="1:25" ht="14" x14ac:dyDescent="0.15">
      <c r="A360" s="125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</row>
    <row r="361" spans="1:25" ht="14" x14ac:dyDescent="0.15">
      <c r="A361" s="125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</row>
    <row r="362" spans="1:25" ht="14" x14ac:dyDescent="0.15">
      <c r="A362" s="125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</row>
    <row r="363" spans="1:25" ht="14" x14ac:dyDescent="0.15">
      <c r="A363" s="125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</row>
    <row r="364" spans="1:25" ht="14" x14ac:dyDescent="0.15">
      <c r="A364" s="125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</row>
    <row r="365" spans="1:25" ht="14" x14ac:dyDescent="0.15">
      <c r="A365" s="125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</row>
    <row r="366" spans="1:25" ht="14" x14ac:dyDescent="0.15">
      <c r="A366" s="125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</row>
    <row r="367" spans="1:25" ht="14" x14ac:dyDescent="0.15">
      <c r="A367" s="125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</row>
    <row r="368" spans="1:25" ht="14" x14ac:dyDescent="0.15">
      <c r="A368" s="125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</row>
    <row r="369" spans="1:25" ht="14" x14ac:dyDescent="0.15">
      <c r="A369" s="125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</row>
    <row r="370" spans="1:25" ht="14" x14ac:dyDescent="0.15">
      <c r="A370" s="125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</row>
    <row r="371" spans="1:25" ht="14" x14ac:dyDescent="0.15">
      <c r="A371" s="125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</row>
    <row r="372" spans="1:25" ht="14" x14ac:dyDescent="0.15">
      <c r="A372" s="125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</row>
    <row r="373" spans="1:25" ht="14" x14ac:dyDescent="0.15">
      <c r="A373" s="125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</row>
    <row r="374" spans="1:25" ht="14" x14ac:dyDescent="0.15">
      <c r="A374" s="125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</row>
    <row r="375" spans="1:25" ht="14" x14ac:dyDescent="0.15">
      <c r="A375" s="125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</row>
    <row r="376" spans="1:25" ht="14" x14ac:dyDescent="0.15">
      <c r="A376" s="125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</row>
    <row r="377" spans="1:25" ht="14" x14ac:dyDescent="0.15">
      <c r="A377" s="125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</row>
    <row r="378" spans="1:25" ht="14" x14ac:dyDescent="0.15">
      <c r="A378" s="125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</row>
    <row r="379" spans="1:25" ht="14" x14ac:dyDescent="0.15">
      <c r="A379" s="125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</row>
    <row r="380" spans="1:25" ht="14" x14ac:dyDescent="0.15">
      <c r="A380" s="125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</row>
    <row r="381" spans="1:25" ht="14" x14ac:dyDescent="0.15">
      <c r="A381" s="125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</row>
    <row r="382" spans="1:25" ht="14" x14ac:dyDescent="0.15">
      <c r="A382" s="125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</row>
    <row r="383" spans="1:25" ht="14" x14ac:dyDescent="0.15">
      <c r="A383" s="125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</row>
    <row r="384" spans="1:25" ht="14" x14ac:dyDescent="0.15">
      <c r="A384" s="125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</row>
    <row r="385" spans="1:25" ht="14" x14ac:dyDescent="0.15">
      <c r="A385" s="125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</row>
    <row r="386" spans="1:25" ht="14" x14ac:dyDescent="0.15">
      <c r="A386" s="125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</row>
    <row r="387" spans="1:25" ht="14" x14ac:dyDescent="0.15">
      <c r="A387" s="125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</row>
    <row r="388" spans="1:25" ht="14" x14ac:dyDescent="0.15">
      <c r="A388" s="125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</row>
    <row r="389" spans="1:25" ht="14" x14ac:dyDescent="0.15">
      <c r="A389" s="125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</row>
    <row r="390" spans="1:25" ht="14" x14ac:dyDescent="0.15">
      <c r="A390" s="125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</row>
    <row r="391" spans="1:25" ht="14" x14ac:dyDescent="0.15">
      <c r="A391" s="125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</row>
    <row r="392" spans="1:25" ht="14" x14ac:dyDescent="0.15">
      <c r="A392" s="125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</row>
    <row r="393" spans="1:25" ht="14" x14ac:dyDescent="0.15">
      <c r="A393" s="125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</row>
    <row r="394" spans="1:25" ht="14" x14ac:dyDescent="0.15">
      <c r="A394" s="125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</row>
    <row r="395" spans="1:25" ht="14" x14ac:dyDescent="0.15">
      <c r="A395" s="125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</row>
    <row r="396" spans="1:25" ht="14" x14ac:dyDescent="0.15">
      <c r="A396" s="125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</row>
    <row r="397" spans="1:25" ht="14" x14ac:dyDescent="0.15">
      <c r="A397" s="125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</row>
    <row r="398" spans="1:25" ht="14" x14ac:dyDescent="0.15">
      <c r="A398" s="125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</row>
    <row r="399" spans="1:25" ht="14" x14ac:dyDescent="0.15">
      <c r="A399" s="125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</row>
    <row r="400" spans="1:25" ht="14" x14ac:dyDescent="0.15">
      <c r="A400" s="125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</row>
    <row r="401" spans="1:25" ht="14" x14ac:dyDescent="0.15">
      <c r="A401" s="125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</row>
    <row r="402" spans="1:25" ht="14" x14ac:dyDescent="0.15">
      <c r="A402" s="125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</row>
    <row r="403" spans="1:25" ht="14" x14ac:dyDescent="0.15">
      <c r="A403" s="125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</row>
    <row r="404" spans="1:25" ht="14" x14ac:dyDescent="0.15">
      <c r="A404" s="125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</row>
    <row r="405" spans="1:25" ht="14" x14ac:dyDescent="0.15">
      <c r="A405" s="125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</row>
    <row r="406" spans="1:25" ht="14" x14ac:dyDescent="0.15">
      <c r="A406" s="125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</row>
    <row r="407" spans="1:25" ht="14" x14ac:dyDescent="0.15">
      <c r="A407" s="125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</row>
    <row r="408" spans="1:25" ht="14" x14ac:dyDescent="0.15">
      <c r="A408" s="125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</row>
    <row r="409" spans="1:25" ht="14" x14ac:dyDescent="0.15">
      <c r="A409" s="125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</row>
    <row r="410" spans="1:25" ht="14" x14ac:dyDescent="0.15">
      <c r="A410" s="125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</row>
    <row r="411" spans="1:25" ht="14" x14ac:dyDescent="0.15">
      <c r="A411" s="125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</row>
    <row r="412" spans="1:25" ht="14" x14ac:dyDescent="0.15">
      <c r="A412" s="125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</row>
    <row r="413" spans="1:25" ht="14" x14ac:dyDescent="0.15">
      <c r="A413" s="125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</row>
    <row r="414" spans="1:25" ht="14" x14ac:dyDescent="0.15">
      <c r="A414" s="125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</row>
    <row r="415" spans="1:25" ht="14" x14ac:dyDescent="0.15">
      <c r="A415" s="125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</row>
    <row r="416" spans="1:25" ht="14" x14ac:dyDescent="0.15">
      <c r="A416" s="125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</row>
    <row r="417" spans="1:25" ht="14" x14ac:dyDescent="0.15">
      <c r="A417" s="125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</row>
    <row r="418" spans="1:25" ht="14" x14ac:dyDescent="0.15">
      <c r="A418" s="125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</row>
    <row r="419" spans="1:25" ht="14" x14ac:dyDescent="0.15">
      <c r="A419" s="125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</row>
    <row r="420" spans="1:25" ht="14" x14ac:dyDescent="0.15">
      <c r="A420" s="125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</row>
    <row r="421" spans="1:25" ht="14" x14ac:dyDescent="0.15">
      <c r="A421" s="125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</row>
    <row r="422" spans="1:25" ht="14" x14ac:dyDescent="0.15">
      <c r="A422" s="125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</row>
    <row r="423" spans="1:25" ht="14" x14ac:dyDescent="0.15">
      <c r="A423" s="125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</row>
    <row r="424" spans="1:25" ht="14" x14ac:dyDescent="0.15">
      <c r="A424" s="125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</row>
    <row r="425" spans="1:25" ht="14" x14ac:dyDescent="0.15">
      <c r="A425" s="125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</row>
    <row r="426" spans="1:25" ht="14" x14ac:dyDescent="0.15">
      <c r="A426" s="125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</row>
    <row r="427" spans="1:25" ht="14" x14ac:dyDescent="0.15">
      <c r="A427" s="125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</row>
    <row r="428" spans="1:25" ht="14" x14ac:dyDescent="0.15">
      <c r="A428" s="125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</row>
    <row r="429" spans="1:25" ht="14" x14ac:dyDescent="0.15">
      <c r="A429" s="125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</row>
    <row r="430" spans="1:25" ht="14" x14ac:dyDescent="0.15">
      <c r="A430" s="125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</row>
    <row r="431" spans="1:25" ht="14" x14ac:dyDescent="0.15">
      <c r="A431" s="125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</row>
    <row r="432" spans="1:25" ht="14" x14ac:dyDescent="0.15">
      <c r="A432" s="125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</row>
    <row r="433" spans="1:25" ht="14" x14ac:dyDescent="0.15">
      <c r="A433" s="125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</row>
    <row r="434" spans="1:25" ht="14" x14ac:dyDescent="0.15">
      <c r="A434" s="125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</row>
    <row r="435" spans="1:25" ht="14" x14ac:dyDescent="0.15">
      <c r="A435" s="125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</row>
    <row r="436" spans="1:25" ht="14" x14ac:dyDescent="0.15">
      <c r="A436" s="125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</row>
    <row r="437" spans="1:25" ht="14" x14ac:dyDescent="0.15">
      <c r="A437" s="125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</row>
    <row r="438" spans="1:25" ht="14" x14ac:dyDescent="0.15">
      <c r="A438" s="125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</row>
    <row r="439" spans="1:25" ht="14" x14ac:dyDescent="0.15">
      <c r="A439" s="125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</row>
    <row r="440" spans="1:25" ht="14" x14ac:dyDescent="0.15">
      <c r="A440" s="125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</row>
    <row r="441" spans="1:25" ht="14" x14ac:dyDescent="0.15">
      <c r="A441" s="125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</row>
    <row r="442" spans="1:25" ht="14" x14ac:dyDescent="0.15">
      <c r="A442" s="125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</row>
    <row r="443" spans="1:25" ht="14" x14ac:dyDescent="0.15">
      <c r="A443" s="125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</row>
    <row r="444" spans="1:25" ht="14" x14ac:dyDescent="0.15">
      <c r="A444" s="125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</row>
    <row r="445" spans="1:25" ht="14" x14ac:dyDescent="0.15">
      <c r="A445" s="125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</row>
    <row r="446" spans="1:25" ht="14" x14ac:dyDescent="0.15">
      <c r="A446" s="125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</row>
    <row r="447" spans="1:25" ht="14" x14ac:dyDescent="0.15">
      <c r="A447" s="125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</row>
    <row r="448" spans="1:25" ht="14" x14ac:dyDescent="0.15">
      <c r="A448" s="125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</row>
    <row r="449" spans="1:25" ht="14" x14ac:dyDescent="0.15">
      <c r="A449" s="125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</row>
    <row r="450" spans="1:25" ht="14" x14ac:dyDescent="0.15">
      <c r="A450" s="125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</row>
    <row r="451" spans="1:25" ht="14" x14ac:dyDescent="0.15">
      <c r="A451" s="125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</row>
    <row r="452" spans="1:25" ht="14" x14ac:dyDescent="0.15">
      <c r="A452" s="125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</row>
    <row r="453" spans="1:25" ht="14" x14ac:dyDescent="0.15">
      <c r="A453" s="125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</row>
    <row r="454" spans="1:25" ht="14" x14ac:dyDescent="0.15">
      <c r="A454" s="125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</row>
    <row r="455" spans="1:25" ht="14" x14ac:dyDescent="0.15">
      <c r="A455" s="125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</row>
    <row r="456" spans="1:25" ht="14" x14ac:dyDescent="0.15">
      <c r="A456" s="125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</row>
    <row r="457" spans="1:25" ht="14" x14ac:dyDescent="0.15">
      <c r="A457" s="125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</row>
    <row r="458" spans="1:25" ht="14" x14ac:dyDescent="0.15">
      <c r="A458" s="125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</row>
    <row r="459" spans="1:25" ht="14" x14ac:dyDescent="0.15">
      <c r="A459" s="125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</row>
    <row r="460" spans="1:25" ht="14" x14ac:dyDescent="0.15">
      <c r="A460" s="125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</row>
    <row r="461" spans="1:25" ht="14" x14ac:dyDescent="0.15">
      <c r="A461" s="125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</row>
    <row r="462" spans="1:25" ht="14" x14ac:dyDescent="0.15">
      <c r="A462" s="125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</row>
    <row r="463" spans="1:25" ht="14" x14ac:dyDescent="0.15">
      <c r="A463" s="125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</row>
    <row r="464" spans="1:25" ht="14" x14ac:dyDescent="0.15">
      <c r="A464" s="125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</row>
    <row r="465" spans="1:25" ht="14" x14ac:dyDescent="0.15">
      <c r="A465" s="125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</row>
    <row r="466" spans="1:25" ht="14" x14ac:dyDescent="0.15">
      <c r="A466" s="125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</row>
    <row r="467" spans="1:25" ht="14" x14ac:dyDescent="0.15">
      <c r="A467" s="125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</row>
    <row r="468" spans="1:25" ht="14" x14ac:dyDescent="0.15">
      <c r="A468" s="125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</row>
    <row r="469" spans="1:25" ht="14" x14ac:dyDescent="0.15">
      <c r="A469" s="125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</row>
    <row r="470" spans="1:25" ht="14" x14ac:dyDescent="0.15">
      <c r="A470" s="125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</row>
    <row r="471" spans="1:25" ht="14" x14ac:dyDescent="0.15">
      <c r="A471" s="125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</row>
    <row r="472" spans="1:25" ht="14" x14ac:dyDescent="0.15">
      <c r="A472" s="125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</row>
    <row r="473" spans="1:25" ht="14" x14ac:dyDescent="0.15">
      <c r="A473" s="125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</row>
    <row r="474" spans="1:25" ht="14" x14ac:dyDescent="0.15">
      <c r="A474" s="125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</row>
    <row r="475" spans="1:25" ht="14" x14ac:dyDescent="0.15">
      <c r="A475" s="125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</row>
    <row r="476" spans="1:25" ht="14" x14ac:dyDescent="0.15">
      <c r="A476" s="125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</row>
    <row r="477" spans="1:25" ht="14" x14ac:dyDescent="0.15">
      <c r="A477" s="125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</row>
    <row r="478" spans="1:25" ht="14" x14ac:dyDescent="0.15">
      <c r="A478" s="125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</row>
    <row r="479" spans="1:25" ht="14" x14ac:dyDescent="0.15">
      <c r="A479" s="125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</row>
    <row r="480" spans="1:25" ht="14" x14ac:dyDescent="0.15">
      <c r="A480" s="125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</row>
    <row r="481" spans="1:25" ht="14" x14ac:dyDescent="0.15">
      <c r="A481" s="125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</row>
    <row r="482" spans="1:25" ht="14" x14ac:dyDescent="0.15">
      <c r="A482" s="125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</row>
    <row r="483" spans="1:25" ht="14" x14ac:dyDescent="0.15">
      <c r="A483" s="125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</row>
    <row r="484" spans="1:25" ht="14" x14ac:dyDescent="0.15">
      <c r="A484" s="125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</row>
    <row r="485" spans="1:25" ht="14" x14ac:dyDescent="0.15">
      <c r="A485" s="125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</row>
    <row r="486" spans="1:25" ht="14" x14ac:dyDescent="0.15">
      <c r="A486" s="125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</row>
    <row r="487" spans="1:25" ht="14" x14ac:dyDescent="0.15">
      <c r="A487" s="125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</row>
    <row r="488" spans="1:25" ht="14" x14ac:dyDescent="0.15">
      <c r="A488" s="125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</row>
    <row r="489" spans="1:25" ht="14" x14ac:dyDescent="0.15">
      <c r="A489" s="125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</row>
    <row r="490" spans="1:25" ht="14" x14ac:dyDescent="0.15">
      <c r="A490" s="125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</row>
    <row r="491" spans="1:25" ht="14" x14ac:dyDescent="0.15">
      <c r="A491" s="125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</row>
    <row r="492" spans="1:25" ht="14" x14ac:dyDescent="0.15">
      <c r="A492" s="125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</row>
    <row r="493" spans="1:25" ht="14" x14ac:dyDescent="0.15">
      <c r="A493" s="125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</row>
    <row r="494" spans="1:25" ht="14" x14ac:dyDescent="0.15">
      <c r="A494" s="125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</row>
    <row r="495" spans="1:25" ht="14" x14ac:dyDescent="0.15">
      <c r="A495" s="125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</row>
    <row r="496" spans="1:25" ht="14" x14ac:dyDescent="0.15">
      <c r="A496" s="125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</row>
    <row r="497" spans="1:25" ht="14" x14ac:dyDescent="0.15">
      <c r="A497" s="125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</row>
    <row r="498" spans="1:25" ht="14" x14ac:dyDescent="0.15">
      <c r="A498" s="125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</row>
    <row r="499" spans="1:25" ht="14" x14ac:dyDescent="0.15">
      <c r="A499" s="125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</row>
    <row r="500" spans="1:25" ht="14" x14ac:dyDescent="0.15">
      <c r="A500" s="125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</row>
    <row r="501" spans="1:25" ht="14" x14ac:dyDescent="0.15">
      <c r="A501" s="125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</row>
    <row r="502" spans="1:25" ht="14" x14ac:dyDescent="0.15">
      <c r="A502" s="125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</row>
    <row r="503" spans="1:25" ht="14" x14ac:dyDescent="0.15">
      <c r="A503" s="125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</row>
    <row r="504" spans="1:25" ht="14" x14ac:dyDescent="0.15">
      <c r="A504" s="125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</row>
    <row r="505" spans="1:25" ht="14" x14ac:dyDescent="0.15">
      <c r="A505" s="125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</row>
    <row r="506" spans="1:25" ht="14" x14ac:dyDescent="0.15">
      <c r="A506" s="125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</row>
    <row r="507" spans="1:25" ht="14" x14ac:dyDescent="0.15">
      <c r="A507" s="125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</row>
    <row r="508" spans="1:25" ht="14" x14ac:dyDescent="0.15">
      <c r="A508" s="125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</row>
    <row r="509" spans="1:25" ht="14" x14ac:dyDescent="0.15">
      <c r="A509" s="125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</row>
    <row r="510" spans="1:25" ht="14" x14ac:dyDescent="0.15">
      <c r="A510" s="125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</row>
    <row r="511" spans="1:25" ht="14" x14ac:dyDescent="0.15">
      <c r="A511" s="125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</row>
    <row r="512" spans="1:25" ht="14" x14ac:dyDescent="0.15">
      <c r="A512" s="125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</row>
    <row r="513" spans="1:25" ht="14" x14ac:dyDescent="0.15">
      <c r="A513" s="125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</row>
    <row r="514" spans="1:25" ht="14" x14ac:dyDescent="0.15">
      <c r="A514" s="125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</row>
    <row r="515" spans="1:25" ht="14" x14ac:dyDescent="0.15">
      <c r="A515" s="125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</row>
    <row r="516" spans="1:25" ht="14" x14ac:dyDescent="0.15">
      <c r="A516" s="125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</row>
    <row r="517" spans="1:25" ht="14" x14ac:dyDescent="0.15">
      <c r="A517" s="125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</row>
    <row r="518" spans="1:25" ht="14" x14ac:dyDescent="0.15">
      <c r="A518" s="125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</row>
    <row r="519" spans="1:25" ht="14" x14ac:dyDescent="0.15">
      <c r="A519" s="125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</row>
    <row r="520" spans="1:25" ht="14" x14ac:dyDescent="0.15">
      <c r="A520" s="125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</row>
    <row r="521" spans="1:25" ht="14" x14ac:dyDescent="0.15">
      <c r="A521" s="125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</row>
    <row r="522" spans="1:25" ht="14" x14ac:dyDescent="0.15">
      <c r="A522" s="125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</row>
    <row r="523" spans="1:25" ht="14" x14ac:dyDescent="0.15">
      <c r="A523" s="125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</row>
    <row r="524" spans="1:25" ht="14" x14ac:dyDescent="0.15">
      <c r="A524" s="125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</row>
    <row r="525" spans="1:25" ht="14" x14ac:dyDescent="0.15">
      <c r="A525" s="125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</row>
    <row r="526" spans="1:25" ht="14" x14ac:dyDescent="0.15">
      <c r="A526" s="125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</row>
    <row r="527" spans="1:25" ht="14" x14ac:dyDescent="0.15">
      <c r="A527" s="125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</row>
    <row r="528" spans="1:25" ht="14" x14ac:dyDescent="0.15">
      <c r="A528" s="125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</row>
    <row r="529" spans="1:25" ht="14" x14ac:dyDescent="0.15">
      <c r="A529" s="125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</row>
    <row r="530" spans="1:25" ht="14" x14ac:dyDescent="0.15">
      <c r="A530" s="125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</row>
    <row r="531" spans="1:25" ht="14" x14ac:dyDescent="0.15">
      <c r="A531" s="125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</row>
    <row r="532" spans="1:25" ht="14" x14ac:dyDescent="0.15">
      <c r="A532" s="125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</row>
    <row r="533" spans="1:25" ht="14" x14ac:dyDescent="0.15">
      <c r="A533" s="125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</row>
    <row r="534" spans="1:25" ht="14" x14ac:dyDescent="0.15">
      <c r="A534" s="125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</row>
    <row r="535" spans="1:25" ht="14" x14ac:dyDescent="0.15">
      <c r="A535" s="125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</row>
    <row r="536" spans="1:25" ht="14" x14ac:dyDescent="0.15">
      <c r="A536" s="125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</row>
    <row r="537" spans="1:25" ht="14" x14ac:dyDescent="0.15">
      <c r="A537" s="125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</row>
    <row r="538" spans="1:25" ht="14" x14ac:dyDescent="0.15">
      <c r="A538" s="125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</row>
    <row r="539" spans="1:25" ht="14" x14ac:dyDescent="0.15">
      <c r="A539" s="125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</row>
    <row r="540" spans="1:25" ht="14" x14ac:dyDescent="0.15">
      <c r="A540" s="125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</row>
    <row r="541" spans="1:25" ht="14" x14ac:dyDescent="0.15">
      <c r="A541" s="125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</row>
    <row r="542" spans="1:25" ht="14" x14ac:dyDescent="0.15">
      <c r="A542" s="125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</row>
    <row r="543" spans="1:25" ht="14" x14ac:dyDescent="0.15">
      <c r="A543" s="125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</row>
    <row r="544" spans="1:25" ht="14" x14ac:dyDescent="0.15">
      <c r="A544" s="125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</row>
    <row r="545" spans="1:25" ht="14" x14ac:dyDescent="0.15">
      <c r="A545" s="125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</row>
    <row r="546" spans="1:25" ht="14" x14ac:dyDescent="0.15">
      <c r="A546" s="125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</row>
    <row r="547" spans="1:25" ht="14" x14ac:dyDescent="0.15">
      <c r="A547" s="125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</row>
    <row r="548" spans="1:25" ht="14" x14ac:dyDescent="0.15">
      <c r="A548" s="125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</row>
    <row r="549" spans="1:25" ht="14" x14ac:dyDescent="0.15">
      <c r="A549" s="125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</row>
    <row r="550" spans="1:25" ht="14" x14ac:dyDescent="0.15">
      <c r="A550" s="125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</row>
    <row r="551" spans="1:25" ht="14" x14ac:dyDescent="0.15">
      <c r="A551" s="125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</row>
    <row r="552" spans="1:25" ht="14" x14ac:dyDescent="0.15">
      <c r="A552" s="125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</row>
    <row r="553" spans="1:25" ht="14" x14ac:dyDescent="0.15">
      <c r="A553" s="125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</row>
    <row r="554" spans="1:25" ht="14" x14ac:dyDescent="0.15">
      <c r="A554" s="125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</row>
    <row r="555" spans="1:25" ht="14" x14ac:dyDescent="0.15">
      <c r="A555" s="125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</row>
    <row r="556" spans="1:25" ht="14" x14ac:dyDescent="0.15">
      <c r="A556" s="125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</row>
    <row r="557" spans="1:25" ht="14" x14ac:dyDescent="0.15">
      <c r="A557" s="125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</row>
    <row r="558" spans="1:25" ht="14" x14ac:dyDescent="0.15">
      <c r="A558" s="125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</row>
    <row r="559" spans="1:25" ht="14" x14ac:dyDescent="0.15">
      <c r="A559" s="125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</row>
    <row r="560" spans="1:25" ht="14" x14ac:dyDescent="0.15">
      <c r="A560" s="125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</row>
    <row r="561" spans="1:25" ht="14" x14ac:dyDescent="0.15">
      <c r="A561" s="125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</row>
    <row r="562" spans="1:25" ht="14" x14ac:dyDescent="0.15">
      <c r="A562" s="125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</row>
    <row r="563" spans="1:25" ht="14" x14ac:dyDescent="0.15">
      <c r="A563" s="125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</row>
    <row r="564" spans="1:25" ht="14" x14ac:dyDescent="0.15">
      <c r="A564" s="125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</row>
    <row r="565" spans="1:25" ht="14" x14ac:dyDescent="0.15">
      <c r="A565" s="125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</row>
    <row r="566" spans="1:25" ht="14" x14ac:dyDescent="0.15">
      <c r="A566" s="125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</row>
    <row r="567" spans="1:25" ht="14" x14ac:dyDescent="0.15">
      <c r="A567" s="125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</row>
    <row r="568" spans="1:25" ht="14" x14ac:dyDescent="0.15">
      <c r="A568" s="125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</row>
    <row r="569" spans="1:25" ht="14" x14ac:dyDescent="0.15">
      <c r="A569" s="125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</row>
    <row r="570" spans="1:25" ht="14" x14ac:dyDescent="0.15">
      <c r="A570" s="125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</row>
    <row r="571" spans="1:25" ht="14" x14ac:dyDescent="0.15">
      <c r="A571" s="125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</row>
    <row r="572" spans="1:25" ht="14" x14ac:dyDescent="0.15">
      <c r="A572" s="125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</row>
    <row r="573" spans="1:25" ht="14" x14ac:dyDescent="0.15">
      <c r="A573" s="125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</row>
    <row r="574" spans="1:25" ht="14" x14ac:dyDescent="0.15">
      <c r="A574" s="125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</row>
    <row r="575" spans="1:25" ht="14" x14ac:dyDescent="0.15">
      <c r="A575" s="125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</row>
    <row r="576" spans="1:25" ht="14" x14ac:dyDescent="0.15">
      <c r="A576" s="125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</row>
    <row r="577" spans="1:25" ht="14" x14ac:dyDescent="0.15">
      <c r="A577" s="125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</row>
    <row r="578" spans="1:25" ht="14" x14ac:dyDescent="0.15">
      <c r="A578" s="125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</row>
    <row r="579" spans="1:25" ht="14" x14ac:dyDescent="0.15">
      <c r="A579" s="125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</row>
    <row r="580" spans="1:25" ht="14" x14ac:dyDescent="0.15">
      <c r="A580" s="125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</row>
    <row r="581" spans="1:25" ht="14" x14ac:dyDescent="0.15">
      <c r="A581" s="125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</row>
    <row r="582" spans="1:25" ht="14" x14ac:dyDescent="0.15">
      <c r="A582" s="125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</row>
    <row r="583" spans="1:25" ht="14" x14ac:dyDescent="0.15">
      <c r="A583" s="125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</row>
    <row r="584" spans="1:25" ht="14" x14ac:dyDescent="0.15">
      <c r="A584" s="125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</row>
    <row r="585" spans="1:25" ht="14" x14ac:dyDescent="0.15">
      <c r="A585" s="125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</row>
    <row r="586" spans="1:25" ht="14" x14ac:dyDescent="0.15">
      <c r="A586" s="125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</row>
    <row r="587" spans="1:25" ht="14" x14ac:dyDescent="0.15">
      <c r="A587" s="125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</row>
    <row r="588" spans="1:25" ht="14" x14ac:dyDescent="0.15">
      <c r="A588" s="125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</row>
    <row r="589" spans="1:25" ht="14" x14ac:dyDescent="0.15">
      <c r="A589" s="125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</row>
    <row r="590" spans="1:25" ht="14" x14ac:dyDescent="0.15">
      <c r="A590" s="125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</row>
    <row r="591" spans="1:25" ht="14" x14ac:dyDescent="0.15">
      <c r="A591" s="125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</row>
    <row r="592" spans="1:25" ht="14" x14ac:dyDescent="0.15">
      <c r="A592" s="125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</row>
    <row r="593" spans="1:25" ht="14" x14ac:dyDescent="0.15">
      <c r="A593" s="125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</row>
    <row r="594" spans="1:25" ht="14" x14ac:dyDescent="0.15">
      <c r="A594" s="125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</row>
    <row r="595" spans="1:25" ht="14" x14ac:dyDescent="0.15">
      <c r="A595" s="125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</row>
    <row r="596" spans="1:25" ht="14" x14ac:dyDescent="0.15">
      <c r="A596" s="125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</row>
    <row r="597" spans="1:25" ht="14" x14ac:dyDescent="0.15">
      <c r="A597" s="125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</row>
    <row r="598" spans="1:25" ht="14" x14ac:dyDescent="0.15">
      <c r="A598" s="125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</row>
    <row r="599" spans="1:25" ht="14" x14ac:dyDescent="0.15">
      <c r="A599" s="125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</row>
    <row r="600" spans="1:25" ht="14" x14ac:dyDescent="0.15">
      <c r="A600" s="125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</row>
    <row r="601" spans="1:25" ht="14" x14ac:dyDescent="0.15">
      <c r="A601" s="125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</row>
    <row r="602" spans="1:25" ht="14" x14ac:dyDescent="0.15">
      <c r="A602" s="125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</row>
    <row r="603" spans="1:25" ht="14" x14ac:dyDescent="0.15">
      <c r="A603" s="125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</row>
    <row r="604" spans="1:25" ht="14" x14ac:dyDescent="0.15">
      <c r="A604" s="125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</row>
    <row r="605" spans="1:25" ht="14" x14ac:dyDescent="0.15">
      <c r="A605" s="125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</row>
    <row r="606" spans="1:25" ht="14" x14ac:dyDescent="0.15">
      <c r="A606" s="125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</row>
    <row r="607" spans="1:25" ht="14" x14ac:dyDescent="0.15">
      <c r="A607" s="125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</row>
    <row r="608" spans="1:25" ht="14" x14ac:dyDescent="0.15">
      <c r="A608" s="125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</row>
    <row r="609" spans="1:25" ht="14" x14ac:dyDescent="0.15">
      <c r="A609" s="125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</row>
    <row r="610" spans="1:25" ht="14" x14ac:dyDescent="0.15">
      <c r="A610" s="125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</row>
    <row r="611" spans="1:25" ht="14" x14ac:dyDescent="0.15">
      <c r="A611" s="125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</row>
    <row r="612" spans="1:25" ht="14" x14ac:dyDescent="0.15">
      <c r="A612" s="125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</row>
    <row r="613" spans="1:25" ht="14" x14ac:dyDescent="0.15">
      <c r="A613" s="125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</row>
    <row r="614" spans="1:25" ht="14" x14ac:dyDescent="0.15">
      <c r="A614" s="125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</row>
    <row r="615" spans="1:25" ht="14" x14ac:dyDescent="0.15">
      <c r="A615" s="125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</row>
    <row r="616" spans="1:25" ht="14" x14ac:dyDescent="0.15">
      <c r="A616" s="125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</row>
    <row r="617" spans="1:25" ht="14" x14ac:dyDescent="0.15">
      <c r="A617" s="125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</row>
    <row r="618" spans="1:25" ht="14" x14ac:dyDescent="0.15">
      <c r="A618" s="125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</row>
    <row r="619" spans="1:25" ht="14" x14ac:dyDescent="0.15">
      <c r="A619" s="125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</row>
    <row r="620" spans="1:25" ht="14" x14ac:dyDescent="0.15">
      <c r="A620" s="125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</row>
    <row r="621" spans="1:25" ht="14" x14ac:dyDescent="0.15">
      <c r="A621" s="125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</row>
    <row r="622" spans="1:25" ht="14" x14ac:dyDescent="0.15">
      <c r="A622" s="125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</row>
    <row r="623" spans="1:25" ht="14" x14ac:dyDescent="0.15">
      <c r="A623" s="125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</row>
    <row r="624" spans="1:25" ht="14" x14ac:dyDescent="0.15">
      <c r="A624" s="125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</row>
    <row r="625" spans="1:25" ht="14" x14ac:dyDescent="0.15">
      <c r="A625" s="125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</row>
    <row r="626" spans="1:25" ht="14" x14ac:dyDescent="0.15">
      <c r="A626" s="125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</row>
    <row r="627" spans="1:25" ht="14" x14ac:dyDescent="0.15">
      <c r="A627" s="125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</row>
    <row r="628" spans="1:25" ht="14" x14ac:dyDescent="0.15">
      <c r="A628" s="125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</row>
    <row r="629" spans="1:25" ht="14" x14ac:dyDescent="0.15">
      <c r="A629" s="125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</row>
    <row r="630" spans="1:25" ht="14" x14ac:dyDescent="0.15">
      <c r="A630" s="125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</row>
    <row r="631" spans="1:25" ht="14" x14ac:dyDescent="0.15">
      <c r="A631" s="125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</row>
    <row r="632" spans="1:25" ht="14" x14ac:dyDescent="0.15">
      <c r="A632" s="125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</row>
    <row r="633" spans="1:25" ht="14" x14ac:dyDescent="0.15">
      <c r="A633" s="125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</row>
    <row r="634" spans="1:25" ht="14" x14ac:dyDescent="0.15">
      <c r="A634" s="125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</row>
    <row r="635" spans="1:25" ht="14" x14ac:dyDescent="0.15">
      <c r="A635" s="125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</row>
    <row r="636" spans="1:25" ht="14" x14ac:dyDescent="0.15">
      <c r="A636" s="125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</row>
    <row r="637" spans="1:25" ht="14" x14ac:dyDescent="0.15">
      <c r="A637" s="125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</row>
    <row r="638" spans="1:25" ht="14" x14ac:dyDescent="0.15">
      <c r="A638" s="125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</row>
    <row r="639" spans="1:25" ht="14" x14ac:dyDescent="0.15">
      <c r="A639" s="125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</row>
    <row r="640" spans="1:25" ht="14" x14ac:dyDescent="0.15">
      <c r="A640" s="125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</row>
    <row r="641" spans="1:25" ht="14" x14ac:dyDescent="0.15">
      <c r="A641" s="125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</row>
    <row r="642" spans="1:25" ht="14" x14ac:dyDescent="0.15">
      <c r="A642" s="125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</row>
    <row r="643" spans="1:25" ht="14" x14ac:dyDescent="0.15">
      <c r="A643" s="125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</row>
    <row r="644" spans="1:25" ht="14" x14ac:dyDescent="0.15">
      <c r="A644" s="125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</row>
    <row r="645" spans="1:25" ht="14" x14ac:dyDescent="0.15">
      <c r="A645" s="125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</row>
    <row r="646" spans="1:25" ht="14" x14ac:dyDescent="0.15">
      <c r="A646" s="125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</row>
    <row r="647" spans="1:25" ht="14" x14ac:dyDescent="0.15">
      <c r="A647" s="125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</row>
    <row r="648" spans="1:25" ht="14" x14ac:dyDescent="0.15">
      <c r="A648" s="125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</row>
    <row r="649" spans="1:25" ht="14" x14ac:dyDescent="0.15">
      <c r="A649" s="125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</row>
    <row r="650" spans="1:25" ht="14" x14ac:dyDescent="0.15">
      <c r="A650" s="125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</row>
    <row r="651" spans="1:25" ht="14" x14ac:dyDescent="0.15">
      <c r="A651" s="125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</row>
    <row r="652" spans="1:25" ht="14" x14ac:dyDescent="0.15">
      <c r="A652" s="125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</row>
    <row r="653" spans="1:25" ht="14" x14ac:dyDescent="0.15">
      <c r="A653" s="125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</row>
    <row r="654" spans="1:25" ht="14" x14ac:dyDescent="0.15">
      <c r="A654" s="125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</row>
    <row r="655" spans="1:25" ht="14" x14ac:dyDescent="0.15">
      <c r="A655" s="125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</row>
    <row r="656" spans="1:25" ht="14" x14ac:dyDescent="0.15">
      <c r="A656" s="125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</row>
    <row r="657" spans="1:25" ht="14" x14ac:dyDescent="0.15">
      <c r="A657" s="125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</row>
    <row r="658" spans="1:25" ht="14" x14ac:dyDescent="0.15">
      <c r="A658" s="125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</row>
    <row r="659" spans="1:25" ht="14" x14ac:dyDescent="0.15">
      <c r="A659" s="125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</row>
    <row r="660" spans="1:25" ht="14" x14ac:dyDescent="0.15">
      <c r="A660" s="125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</row>
    <row r="661" spans="1:25" ht="14" x14ac:dyDescent="0.15">
      <c r="A661" s="125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</row>
    <row r="662" spans="1:25" ht="14" x14ac:dyDescent="0.15">
      <c r="A662" s="125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</row>
    <row r="663" spans="1:25" ht="14" x14ac:dyDescent="0.15">
      <c r="A663" s="125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</row>
    <row r="664" spans="1:25" ht="14" x14ac:dyDescent="0.15">
      <c r="A664" s="125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</row>
    <row r="665" spans="1:25" ht="14" x14ac:dyDescent="0.15">
      <c r="A665" s="125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</row>
    <row r="666" spans="1:25" ht="14" x14ac:dyDescent="0.15">
      <c r="A666" s="125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</row>
    <row r="667" spans="1:25" ht="14" x14ac:dyDescent="0.15">
      <c r="A667" s="125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</row>
    <row r="668" spans="1:25" ht="14" x14ac:dyDescent="0.15">
      <c r="A668" s="125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</row>
    <row r="669" spans="1:25" ht="14" x14ac:dyDescent="0.15">
      <c r="A669" s="125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</row>
    <row r="670" spans="1:25" ht="14" x14ac:dyDescent="0.15">
      <c r="A670" s="125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</row>
    <row r="671" spans="1:25" ht="14" x14ac:dyDescent="0.15">
      <c r="A671" s="125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</row>
    <row r="672" spans="1:25" ht="14" x14ac:dyDescent="0.15">
      <c r="A672" s="125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</row>
    <row r="673" spans="1:25" ht="14" x14ac:dyDescent="0.15">
      <c r="A673" s="125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</row>
    <row r="674" spans="1:25" ht="14" x14ac:dyDescent="0.15">
      <c r="A674" s="125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</row>
    <row r="675" spans="1:25" ht="14" x14ac:dyDescent="0.15">
      <c r="A675" s="125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</row>
    <row r="676" spans="1:25" ht="14" x14ac:dyDescent="0.15">
      <c r="A676" s="125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</row>
    <row r="677" spans="1:25" ht="14" x14ac:dyDescent="0.15">
      <c r="A677" s="125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</row>
    <row r="678" spans="1:25" ht="14" x14ac:dyDescent="0.15">
      <c r="A678" s="125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</row>
    <row r="679" spans="1:25" ht="14" x14ac:dyDescent="0.15">
      <c r="A679" s="125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</row>
    <row r="680" spans="1:25" ht="14" x14ac:dyDescent="0.15">
      <c r="A680" s="125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</row>
    <row r="681" spans="1:25" ht="14" x14ac:dyDescent="0.15">
      <c r="A681" s="125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</row>
    <row r="682" spans="1:25" ht="14" x14ac:dyDescent="0.15">
      <c r="A682" s="125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</row>
    <row r="683" spans="1:25" ht="14" x14ac:dyDescent="0.15">
      <c r="A683" s="125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</row>
    <row r="684" spans="1:25" ht="14" x14ac:dyDescent="0.15">
      <c r="A684" s="125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</row>
    <row r="685" spans="1:25" ht="14" x14ac:dyDescent="0.15">
      <c r="A685" s="125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</row>
    <row r="686" spans="1:25" ht="14" x14ac:dyDescent="0.15">
      <c r="A686" s="125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</row>
    <row r="687" spans="1:25" ht="14" x14ac:dyDescent="0.15">
      <c r="A687" s="125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</row>
    <row r="688" spans="1:25" ht="14" x14ac:dyDescent="0.15">
      <c r="A688" s="125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</row>
    <row r="689" spans="1:25" ht="14" x14ac:dyDescent="0.15">
      <c r="A689" s="125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</row>
    <row r="690" spans="1:25" ht="14" x14ac:dyDescent="0.15">
      <c r="A690" s="125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</row>
    <row r="691" spans="1:25" ht="14" x14ac:dyDescent="0.15">
      <c r="A691" s="125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</row>
    <row r="692" spans="1:25" ht="14" x14ac:dyDescent="0.15">
      <c r="A692" s="125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</row>
    <row r="693" spans="1:25" ht="14" x14ac:dyDescent="0.15">
      <c r="A693" s="125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</row>
    <row r="694" spans="1:25" ht="14" x14ac:dyDescent="0.15">
      <c r="A694" s="125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</row>
    <row r="695" spans="1:25" ht="14" x14ac:dyDescent="0.15">
      <c r="A695" s="125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</row>
    <row r="696" spans="1:25" ht="14" x14ac:dyDescent="0.15">
      <c r="A696" s="125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</row>
    <row r="697" spans="1:25" ht="14" x14ac:dyDescent="0.15">
      <c r="A697" s="125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</row>
    <row r="698" spans="1:25" ht="14" x14ac:dyDescent="0.15">
      <c r="A698" s="125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</row>
    <row r="699" spans="1:25" ht="14" x14ac:dyDescent="0.15">
      <c r="A699" s="125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</row>
    <row r="700" spans="1:25" ht="14" x14ac:dyDescent="0.15">
      <c r="A700" s="125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</row>
    <row r="701" spans="1:25" ht="14" x14ac:dyDescent="0.15">
      <c r="A701" s="125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</row>
    <row r="702" spans="1:25" ht="14" x14ac:dyDescent="0.15">
      <c r="A702" s="125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</row>
    <row r="703" spans="1:25" ht="14" x14ac:dyDescent="0.15">
      <c r="A703" s="125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</row>
    <row r="704" spans="1:25" ht="14" x14ac:dyDescent="0.15">
      <c r="A704" s="125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</row>
    <row r="705" spans="1:25" ht="14" x14ac:dyDescent="0.15">
      <c r="A705" s="125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</row>
    <row r="706" spans="1:25" ht="14" x14ac:dyDescent="0.15">
      <c r="A706" s="125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</row>
    <row r="707" spans="1:25" ht="14" x14ac:dyDescent="0.15">
      <c r="A707" s="125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</row>
    <row r="708" spans="1:25" ht="14" x14ac:dyDescent="0.15">
      <c r="A708" s="125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</row>
    <row r="709" spans="1:25" ht="14" x14ac:dyDescent="0.15">
      <c r="A709" s="125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</row>
    <row r="710" spans="1:25" ht="14" x14ac:dyDescent="0.15">
      <c r="A710" s="125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</row>
    <row r="711" spans="1:25" ht="14" x14ac:dyDescent="0.15">
      <c r="A711" s="125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</row>
    <row r="712" spans="1:25" ht="14" x14ac:dyDescent="0.15">
      <c r="A712" s="125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</row>
    <row r="713" spans="1:25" ht="14" x14ac:dyDescent="0.15">
      <c r="A713" s="125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</row>
    <row r="714" spans="1:25" ht="14" x14ac:dyDescent="0.15">
      <c r="A714" s="125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</row>
    <row r="715" spans="1:25" ht="14" x14ac:dyDescent="0.15">
      <c r="A715" s="125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</row>
    <row r="716" spans="1:25" ht="14" x14ac:dyDescent="0.15">
      <c r="A716" s="125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</row>
    <row r="717" spans="1:25" ht="14" x14ac:dyDescent="0.15">
      <c r="A717" s="125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</row>
    <row r="718" spans="1:25" ht="14" x14ac:dyDescent="0.15">
      <c r="A718" s="125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</row>
    <row r="719" spans="1:25" ht="14" x14ac:dyDescent="0.15">
      <c r="A719" s="125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</row>
    <row r="720" spans="1:25" ht="14" x14ac:dyDescent="0.15">
      <c r="A720" s="125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</row>
    <row r="721" spans="1:25" ht="14" x14ac:dyDescent="0.15">
      <c r="A721" s="125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</row>
    <row r="722" spans="1:25" ht="14" x14ac:dyDescent="0.15">
      <c r="A722" s="125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</row>
    <row r="723" spans="1:25" ht="14" x14ac:dyDescent="0.15">
      <c r="A723" s="125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</row>
    <row r="724" spans="1:25" ht="14" x14ac:dyDescent="0.15">
      <c r="A724" s="125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</row>
    <row r="725" spans="1:25" ht="14" x14ac:dyDescent="0.15">
      <c r="A725" s="125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</row>
    <row r="726" spans="1:25" ht="14" x14ac:dyDescent="0.15">
      <c r="A726" s="125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</row>
    <row r="727" spans="1:25" ht="14" x14ac:dyDescent="0.15">
      <c r="A727" s="125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</row>
    <row r="728" spans="1:25" ht="14" x14ac:dyDescent="0.15">
      <c r="A728" s="125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</row>
    <row r="729" spans="1:25" ht="14" x14ac:dyDescent="0.15">
      <c r="A729" s="125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</row>
    <row r="730" spans="1:25" ht="14" x14ac:dyDescent="0.15">
      <c r="A730" s="125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</row>
    <row r="731" spans="1:25" ht="14" x14ac:dyDescent="0.15">
      <c r="A731" s="125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</row>
    <row r="732" spans="1:25" ht="14" x14ac:dyDescent="0.15">
      <c r="A732" s="125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</row>
    <row r="733" spans="1:25" ht="14" x14ac:dyDescent="0.15">
      <c r="A733" s="125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</row>
    <row r="734" spans="1:25" ht="14" x14ac:dyDescent="0.15">
      <c r="A734" s="125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</row>
    <row r="735" spans="1:25" ht="14" x14ac:dyDescent="0.15">
      <c r="A735" s="125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</row>
    <row r="736" spans="1:25" ht="14" x14ac:dyDescent="0.15">
      <c r="A736" s="125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</row>
    <row r="737" spans="1:25" ht="14" x14ac:dyDescent="0.15">
      <c r="A737" s="125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</row>
    <row r="738" spans="1:25" ht="14" x14ac:dyDescent="0.15">
      <c r="A738" s="125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</row>
    <row r="739" spans="1:25" ht="14" x14ac:dyDescent="0.15">
      <c r="A739" s="125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</row>
    <row r="740" spans="1:25" ht="14" x14ac:dyDescent="0.15">
      <c r="A740" s="125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</row>
    <row r="741" spans="1:25" ht="14" x14ac:dyDescent="0.15">
      <c r="A741" s="125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</row>
    <row r="742" spans="1:25" ht="14" x14ac:dyDescent="0.15">
      <c r="A742" s="125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</row>
    <row r="743" spans="1:25" ht="14" x14ac:dyDescent="0.15">
      <c r="A743" s="125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</row>
    <row r="744" spans="1:25" ht="14" x14ac:dyDescent="0.15">
      <c r="A744" s="125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</row>
    <row r="745" spans="1:25" ht="14" x14ac:dyDescent="0.15">
      <c r="A745" s="125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</row>
    <row r="746" spans="1:25" ht="14" x14ac:dyDescent="0.15">
      <c r="A746" s="125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</row>
    <row r="747" spans="1:25" ht="14" x14ac:dyDescent="0.15">
      <c r="A747" s="125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</row>
    <row r="748" spans="1:25" ht="14" x14ac:dyDescent="0.15">
      <c r="A748" s="125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</row>
    <row r="749" spans="1:25" ht="14" x14ac:dyDescent="0.15">
      <c r="A749" s="125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</row>
    <row r="750" spans="1:25" ht="14" x14ac:dyDescent="0.15">
      <c r="A750" s="125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</row>
    <row r="751" spans="1:25" ht="14" x14ac:dyDescent="0.15">
      <c r="A751" s="125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</row>
    <row r="752" spans="1:25" ht="14" x14ac:dyDescent="0.15">
      <c r="A752" s="125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</row>
    <row r="753" spans="1:25" ht="14" x14ac:dyDescent="0.15">
      <c r="A753" s="125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</row>
    <row r="754" spans="1:25" ht="14" x14ac:dyDescent="0.15">
      <c r="A754" s="125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</row>
    <row r="755" spans="1:25" ht="14" x14ac:dyDescent="0.15">
      <c r="A755" s="125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</row>
    <row r="756" spans="1:25" ht="14" x14ac:dyDescent="0.15">
      <c r="A756" s="125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</row>
    <row r="757" spans="1:25" ht="14" x14ac:dyDescent="0.15">
      <c r="A757" s="125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</row>
    <row r="758" spans="1:25" ht="14" x14ac:dyDescent="0.15">
      <c r="A758" s="125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</row>
    <row r="759" spans="1:25" ht="14" x14ac:dyDescent="0.15">
      <c r="A759" s="125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</row>
    <row r="760" spans="1:25" ht="14" x14ac:dyDescent="0.15">
      <c r="A760" s="125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</row>
    <row r="761" spans="1:25" ht="14" x14ac:dyDescent="0.15">
      <c r="A761" s="125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</row>
    <row r="762" spans="1:25" ht="14" x14ac:dyDescent="0.15">
      <c r="A762" s="125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</row>
    <row r="763" spans="1:25" ht="14" x14ac:dyDescent="0.15">
      <c r="A763" s="125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</row>
    <row r="764" spans="1:25" ht="14" x14ac:dyDescent="0.15">
      <c r="A764" s="125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</row>
    <row r="765" spans="1:25" ht="14" x14ac:dyDescent="0.15">
      <c r="A765" s="125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</row>
    <row r="766" spans="1:25" ht="14" x14ac:dyDescent="0.15">
      <c r="A766" s="125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</row>
    <row r="767" spans="1:25" ht="14" x14ac:dyDescent="0.15">
      <c r="A767" s="125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</row>
    <row r="768" spans="1:25" ht="14" x14ac:dyDescent="0.15">
      <c r="A768" s="125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</row>
    <row r="769" spans="1:25" ht="14" x14ac:dyDescent="0.15">
      <c r="A769" s="125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</row>
    <row r="770" spans="1:25" ht="14" x14ac:dyDescent="0.15">
      <c r="A770" s="125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</row>
    <row r="771" spans="1:25" ht="14" x14ac:dyDescent="0.15">
      <c r="A771" s="125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</row>
    <row r="772" spans="1:25" ht="14" x14ac:dyDescent="0.15">
      <c r="A772" s="125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</row>
    <row r="773" spans="1:25" ht="14" x14ac:dyDescent="0.15">
      <c r="A773" s="125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</row>
    <row r="774" spans="1:25" ht="14" x14ac:dyDescent="0.15">
      <c r="A774" s="125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</row>
    <row r="775" spans="1:25" ht="14" x14ac:dyDescent="0.15">
      <c r="A775" s="125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</row>
    <row r="776" spans="1:25" ht="14" x14ac:dyDescent="0.15">
      <c r="A776" s="125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</row>
    <row r="777" spans="1:25" ht="14" x14ac:dyDescent="0.15">
      <c r="A777" s="125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</row>
    <row r="778" spans="1:25" ht="14" x14ac:dyDescent="0.15">
      <c r="A778" s="125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</row>
    <row r="779" spans="1:25" ht="14" x14ac:dyDescent="0.15">
      <c r="A779" s="125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</row>
    <row r="780" spans="1:25" ht="14" x14ac:dyDescent="0.15">
      <c r="A780" s="125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</row>
    <row r="781" spans="1:25" ht="14" x14ac:dyDescent="0.15">
      <c r="A781" s="125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</row>
    <row r="782" spans="1:25" ht="14" x14ac:dyDescent="0.15">
      <c r="A782" s="125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</row>
    <row r="783" spans="1:25" ht="14" x14ac:dyDescent="0.15">
      <c r="A783" s="125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</row>
    <row r="784" spans="1:25" ht="14" x14ac:dyDescent="0.15">
      <c r="A784" s="125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</row>
    <row r="785" spans="1:25" ht="14" x14ac:dyDescent="0.15">
      <c r="A785" s="125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</row>
    <row r="786" spans="1:25" ht="14" x14ac:dyDescent="0.15">
      <c r="A786" s="125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</row>
    <row r="787" spans="1:25" ht="14" x14ac:dyDescent="0.15">
      <c r="A787" s="125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</row>
    <row r="788" spans="1:25" ht="14" x14ac:dyDescent="0.15">
      <c r="A788" s="125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</row>
    <row r="789" spans="1:25" ht="14" x14ac:dyDescent="0.15">
      <c r="A789" s="125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</row>
    <row r="790" spans="1:25" ht="14" x14ac:dyDescent="0.15">
      <c r="A790" s="125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</row>
    <row r="791" spans="1:25" ht="14" x14ac:dyDescent="0.15">
      <c r="A791" s="125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</row>
    <row r="792" spans="1:25" ht="14" x14ac:dyDescent="0.15">
      <c r="A792" s="125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</row>
    <row r="793" spans="1:25" ht="14" x14ac:dyDescent="0.15">
      <c r="A793" s="125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</row>
    <row r="794" spans="1:25" ht="14" x14ac:dyDescent="0.15">
      <c r="A794" s="125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</row>
    <row r="795" spans="1:25" ht="14" x14ac:dyDescent="0.15">
      <c r="A795" s="125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</row>
    <row r="796" spans="1:25" ht="14" x14ac:dyDescent="0.15">
      <c r="A796" s="125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</row>
    <row r="797" spans="1:25" ht="14" x14ac:dyDescent="0.15">
      <c r="A797" s="125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</row>
    <row r="798" spans="1:25" ht="14" x14ac:dyDescent="0.15">
      <c r="A798" s="125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</row>
    <row r="799" spans="1:25" ht="14" x14ac:dyDescent="0.15">
      <c r="A799" s="125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</row>
    <row r="800" spans="1:25" ht="14" x14ac:dyDescent="0.15">
      <c r="A800" s="125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</row>
    <row r="801" spans="1:25" ht="14" x14ac:dyDescent="0.15">
      <c r="A801" s="125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</row>
    <row r="802" spans="1:25" ht="14" x14ac:dyDescent="0.15">
      <c r="A802" s="125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</row>
    <row r="803" spans="1:25" ht="14" x14ac:dyDescent="0.15">
      <c r="A803" s="125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</row>
    <row r="804" spans="1:25" ht="14" x14ac:dyDescent="0.15">
      <c r="A804" s="125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</row>
    <row r="805" spans="1:25" ht="14" x14ac:dyDescent="0.15">
      <c r="A805" s="125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</row>
    <row r="806" spans="1:25" ht="14" x14ac:dyDescent="0.15">
      <c r="A806" s="125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</row>
    <row r="807" spans="1:25" ht="14" x14ac:dyDescent="0.15">
      <c r="A807" s="125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</row>
    <row r="808" spans="1:25" ht="14" x14ac:dyDescent="0.15">
      <c r="A808" s="125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</row>
    <row r="809" spans="1:25" ht="14" x14ac:dyDescent="0.15">
      <c r="A809" s="125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</row>
    <row r="810" spans="1:25" ht="14" x14ac:dyDescent="0.15">
      <c r="A810" s="125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</row>
    <row r="811" spans="1:25" ht="14" x14ac:dyDescent="0.15">
      <c r="A811" s="125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</row>
    <row r="812" spans="1:25" ht="14" x14ac:dyDescent="0.15">
      <c r="A812" s="125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</row>
    <row r="813" spans="1:25" ht="14" x14ac:dyDescent="0.15">
      <c r="A813" s="125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</row>
    <row r="814" spans="1:25" ht="14" x14ac:dyDescent="0.15">
      <c r="A814" s="125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</row>
    <row r="815" spans="1:25" ht="14" x14ac:dyDescent="0.15">
      <c r="A815" s="125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</row>
    <row r="816" spans="1:25" ht="14" x14ac:dyDescent="0.15">
      <c r="A816" s="125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</row>
    <row r="817" spans="1:25" ht="14" x14ac:dyDescent="0.15">
      <c r="A817" s="125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</row>
    <row r="818" spans="1:25" ht="14" x14ac:dyDescent="0.15">
      <c r="A818" s="125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</row>
    <row r="819" spans="1:25" ht="14" x14ac:dyDescent="0.15">
      <c r="A819" s="125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</row>
    <row r="820" spans="1:25" ht="14" x14ac:dyDescent="0.15">
      <c r="A820" s="125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</row>
    <row r="821" spans="1:25" ht="14" x14ac:dyDescent="0.15">
      <c r="A821" s="125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</row>
    <row r="822" spans="1:25" ht="14" x14ac:dyDescent="0.15">
      <c r="A822" s="125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</row>
    <row r="823" spans="1:25" ht="14" x14ac:dyDescent="0.15">
      <c r="A823" s="125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</row>
    <row r="824" spans="1:25" ht="14" x14ac:dyDescent="0.15">
      <c r="A824" s="125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</row>
    <row r="825" spans="1:25" ht="14" x14ac:dyDescent="0.15">
      <c r="A825" s="125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</row>
    <row r="826" spans="1:25" ht="14" x14ac:dyDescent="0.15">
      <c r="A826" s="125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</row>
    <row r="827" spans="1:25" ht="14" x14ac:dyDescent="0.15">
      <c r="A827" s="125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</row>
    <row r="828" spans="1:25" ht="14" x14ac:dyDescent="0.15">
      <c r="A828" s="125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</row>
    <row r="829" spans="1:25" ht="14" x14ac:dyDescent="0.15">
      <c r="A829" s="125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</row>
    <row r="830" spans="1:25" ht="14" x14ac:dyDescent="0.15">
      <c r="A830" s="125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</row>
    <row r="831" spans="1:25" ht="14" x14ac:dyDescent="0.15">
      <c r="A831" s="125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</row>
    <row r="832" spans="1:25" ht="14" x14ac:dyDescent="0.15">
      <c r="A832" s="125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</row>
    <row r="833" spans="1:25" ht="14" x14ac:dyDescent="0.15">
      <c r="A833" s="125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</row>
    <row r="834" spans="1:25" ht="14" x14ac:dyDescent="0.15">
      <c r="A834" s="125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</row>
    <row r="835" spans="1:25" ht="14" x14ac:dyDescent="0.15">
      <c r="A835" s="125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</row>
    <row r="836" spans="1:25" ht="14" x14ac:dyDescent="0.15">
      <c r="A836" s="125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</row>
    <row r="837" spans="1:25" ht="14" x14ac:dyDescent="0.15">
      <c r="A837" s="125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</row>
    <row r="838" spans="1:25" ht="14" x14ac:dyDescent="0.15">
      <c r="A838" s="125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</row>
    <row r="839" spans="1:25" ht="14" x14ac:dyDescent="0.15">
      <c r="A839" s="125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</row>
    <row r="840" spans="1:25" ht="14" x14ac:dyDescent="0.15">
      <c r="A840" s="125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</row>
    <row r="841" spans="1:25" ht="14" x14ac:dyDescent="0.15">
      <c r="A841" s="125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</row>
    <row r="842" spans="1:25" ht="14" x14ac:dyDescent="0.15">
      <c r="A842" s="125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</row>
    <row r="843" spans="1:25" ht="14" x14ac:dyDescent="0.15">
      <c r="A843" s="125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</row>
    <row r="844" spans="1:25" ht="14" x14ac:dyDescent="0.15">
      <c r="A844" s="125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</row>
    <row r="845" spans="1:25" ht="14" x14ac:dyDescent="0.15">
      <c r="A845" s="125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</row>
    <row r="846" spans="1:25" ht="14" x14ac:dyDescent="0.15">
      <c r="A846" s="125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</row>
    <row r="847" spans="1:25" ht="14" x14ac:dyDescent="0.15">
      <c r="A847" s="125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</row>
    <row r="848" spans="1:25" ht="14" x14ac:dyDescent="0.15">
      <c r="A848" s="125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</row>
    <row r="849" spans="1:25" ht="14" x14ac:dyDescent="0.15">
      <c r="A849" s="125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</row>
    <row r="850" spans="1:25" ht="14" x14ac:dyDescent="0.15">
      <c r="A850" s="125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</row>
    <row r="851" spans="1:25" ht="14" x14ac:dyDescent="0.15">
      <c r="A851" s="125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</row>
    <row r="852" spans="1:25" ht="14" x14ac:dyDescent="0.15">
      <c r="A852" s="125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</row>
    <row r="853" spans="1:25" ht="14" x14ac:dyDescent="0.15">
      <c r="A853" s="125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</row>
    <row r="854" spans="1:25" ht="14" x14ac:dyDescent="0.15">
      <c r="A854" s="125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</row>
    <row r="855" spans="1:25" ht="14" x14ac:dyDescent="0.15">
      <c r="A855" s="125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</row>
    <row r="856" spans="1:25" ht="14" x14ac:dyDescent="0.15">
      <c r="A856" s="125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</row>
    <row r="857" spans="1:25" ht="14" x14ac:dyDescent="0.15">
      <c r="A857" s="125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</row>
    <row r="858" spans="1:25" ht="14" x14ac:dyDescent="0.15">
      <c r="A858" s="125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</row>
    <row r="859" spans="1:25" ht="14" x14ac:dyDescent="0.15">
      <c r="A859" s="125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</row>
    <row r="860" spans="1:25" ht="14" x14ac:dyDescent="0.15">
      <c r="A860" s="125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</row>
    <row r="861" spans="1:25" ht="14" x14ac:dyDescent="0.15">
      <c r="A861" s="125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</row>
    <row r="862" spans="1:25" ht="14" x14ac:dyDescent="0.15">
      <c r="A862" s="125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</row>
    <row r="863" spans="1:25" ht="14" x14ac:dyDescent="0.15">
      <c r="A863" s="125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</row>
    <row r="864" spans="1:25" ht="14" x14ac:dyDescent="0.15">
      <c r="A864" s="125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</row>
    <row r="865" spans="1:25" ht="14" x14ac:dyDescent="0.15">
      <c r="A865" s="125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</row>
    <row r="866" spans="1:25" ht="14" x14ac:dyDescent="0.15">
      <c r="A866" s="125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</row>
    <row r="867" spans="1:25" ht="14" x14ac:dyDescent="0.15">
      <c r="A867" s="125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</row>
    <row r="868" spans="1:25" ht="14" x14ac:dyDescent="0.15">
      <c r="A868" s="125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</row>
    <row r="869" spans="1:25" ht="14" x14ac:dyDescent="0.15">
      <c r="A869" s="125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</row>
    <row r="870" spans="1:25" ht="14" x14ac:dyDescent="0.15">
      <c r="A870" s="125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</row>
    <row r="871" spans="1:25" ht="14" x14ac:dyDescent="0.15">
      <c r="A871" s="125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</row>
    <row r="872" spans="1:25" ht="14" x14ac:dyDescent="0.15">
      <c r="A872" s="125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</row>
    <row r="873" spans="1:25" ht="14" x14ac:dyDescent="0.15">
      <c r="A873" s="125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</row>
    <row r="874" spans="1:25" ht="14" x14ac:dyDescent="0.15">
      <c r="A874" s="125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</row>
    <row r="875" spans="1:25" ht="14" x14ac:dyDescent="0.15">
      <c r="A875" s="125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</row>
    <row r="876" spans="1:25" ht="14" x14ac:dyDescent="0.15">
      <c r="A876" s="125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</row>
    <row r="877" spans="1:25" ht="14" x14ac:dyDescent="0.15">
      <c r="A877" s="125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</row>
    <row r="878" spans="1:25" ht="14" x14ac:dyDescent="0.15">
      <c r="A878" s="125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</row>
    <row r="879" spans="1:25" ht="14" x14ac:dyDescent="0.15">
      <c r="A879" s="125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</row>
    <row r="880" spans="1:25" ht="14" x14ac:dyDescent="0.15">
      <c r="A880" s="125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</row>
    <row r="881" spans="1:25" ht="14" x14ac:dyDescent="0.15">
      <c r="A881" s="125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</row>
    <row r="882" spans="1:25" ht="14" x14ac:dyDescent="0.15">
      <c r="A882" s="125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</row>
    <row r="883" spans="1:25" ht="14" x14ac:dyDescent="0.15">
      <c r="A883" s="125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</row>
    <row r="884" spans="1:25" ht="14" x14ac:dyDescent="0.15">
      <c r="A884" s="125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</row>
    <row r="885" spans="1:25" ht="14" x14ac:dyDescent="0.15">
      <c r="A885" s="125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</row>
    <row r="886" spans="1:25" ht="14" x14ac:dyDescent="0.15">
      <c r="A886" s="125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</row>
    <row r="887" spans="1:25" ht="14" x14ac:dyDescent="0.15">
      <c r="A887" s="125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</row>
    <row r="888" spans="1:25" ht="14" x14ac:dyDescent="0.15">
      <c r="A888" s="125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</row>
    <row r="889" spans="1:25" ht="14" x14ac:dyDescent="0.15">
      <c r="A889" s="125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</row>
    <row r="890" spans="1:25" ht="14" x14ac:dyDescent="0.15">
      <c r="A890" s="125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</row>
    <row r="891" spans="1:25" ht="14" x14ac:dyDescent="0.15">
      <c r="A891" s="125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</row>
    <row r="892" spans="1:25" ht="14" x14ac:dyDescent="0.15">
      <c r="A892" s="125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</row>
    <row r="893" spans="1:25" ht="14" x14ac:dyDescent="0.15">
      <c r="A893" s="125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</row>
    <row r="894" spans="1:25" ht="14" x14ac:dyDescent="0.15">
      <c r="A894" s="125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</row>
    <row r="895" spans="1:25" ht="14" x14ac:dyDescent="0.15">
      <c r="A895" s="125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</row>
    <row r="896" spans="1:25" ht="14" x14ac:dyDescent="0.15">
      <c r="A896" s="125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</row>
    <row r="897" spans="1:25" ht="14" x14ac:dyDescent="0.15">
      <c r="A897" s="125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</row>
    <row r="898" spans="1:25" ht="14" x14ac:dyDescent="0.15">
      <c r="A898" s="125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</row>
    <row r="899" spans="1:25" ht="14" x14ac:dyDescent="0.15">
      <c r="A899" s="125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</row>
    <row r="900" spans="1:25" ht="14" x14ac:dyDescent="0.15">
      <c r="A900" s="125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</row>
    <row r="901" spans="1:25" ht="14" x14ac:dyDescent="0.15">
      <c r="A901" s="125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</row>
    <row r="902" spans="1:25" ht="14" x14ac:dyDescent="0.15">
      <c r="A902" s="125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</row>
    <row r="903" spans="1:25" ht="14" x14ac:dyDescent="0.15">
      <c r="A903" s="125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</row>
    <row r="904" spans="1:25" ht="14" x14ac:dyDescent="0.15">
      <c r="A904" s="125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</row>
    <row r="905" spans="1:25" ht="14" x14ac:dyDescent="0.15">
      <c r="A905" s="125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</row>
    <row r="906" spans="1:25" ht="14" x14ac:dyDescent="0.15">
      <c r="A906" s="125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</row>
    <row r="907" spans="1:25" ht="14" x14ac:dyDescent="0.15">
      <c r="A907" s="125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</row>
    <row r="908" spans="1:25" ht="14" x14ac:dyDescent="0.15">
      <c r="A908" s="125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</row>
    <row r="909" spans="1:25" ht="14" x14ac:dyDescent="0.15">
      <c r="A909" s="125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</row>
    <row r="910" spans="1:25" ht="14" x14ac:dyDescent="0.15">
      <c r="A910" s="125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</row>
    <row r="911" spans="1:25" ht="14" x14ac:dyDescent="0.15">
      <c r="A911" s="125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</row>
    <row r="912" spans="1:25" ht="14" x14ac:dyDescent="0.15">
      <c r="A912" s="125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</row>
    <row r="913" spans="1:25" ht="14" x14ac:dyDescent="0.15">
      <c r="A913" s="125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</row>
    <row r="914" spans="1:25" ht="14" x14ac:dyDescent="0.15">
      <c r="A914" s="125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</row>
    <row r="915" spans="1:25" ht="14" x14ac:dyDescent="0.15">
      <c r="A915" s="125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</row>
    <row r="916" spans="1:25" ht="14" x14ac:dyDescent="0.15">
      <c r="A916" s="125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</row>
    <row r="917" spans="1:25" ht="14" x14ac:dyDescent="0.15">
      <c r="A917" s="125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</row>
    <row r="918" spans="1:25" ht="14" x14ac:dyDescent="0.15">
      <c r="A918" s="125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</row>
    <row r="919" spans="1:25" ht="14" x14ac:dyDescent="0.15">
      <c r="A919" s="125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</row>
    <row r="920" spans="1:25" ht="14" x14ac:dyDescent="0.15">
      <c r="A920" s="125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</row>
    <row r="921" spans="1:25" ht="14" x14ac:dyDescent="0.15">
      <c r="A921" s="125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</row>
    <row r="922" spans="1:25" ht="14" x14ac:dyDescent="0.15">
      <c r="A922" s="125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</row>
    <row r="923" spans="1:25" ht="14" x14ac:dyDescent="0.15">
      <c r="A923" s="125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</row>
    <row r="924" spans="1:25" ht="14" x14ac:dyDescent="0.15">
      <c r="A924" s="125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</row>
    <row r="925" spans="1:25" ht="14" x14ac:dyDescent="0.15">
      <c r="A925" s="125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</row>
    <row r="926" spans="1:25" ht="14" x14ac:dyDescent="0.15">
      <c r="A926" s="125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</row>
    <row r="927" spans="1:25" ht="14" x14ac:dyDescent="0.15">
      <c r="A927" s="125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</row>
    <row r="928" spans="1:25" ht="14" x14ac:dyDescent="0.15">
      <c r="A928" s="125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</row>
    <row r="929" spans="1:25" ht="14" x14ac:dyDescent="0.15">
      <c r="A929" s="125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</row>
    <row r="930" spans="1:25" ht="14" x14ac:dyDescent="0.15">
      <c r="A930" s="125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</row>
    <row r="931" spans="1:25" ht="14" x14ac:dyDescent="0.15">
      <c r="A931" s="125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</row>
    <row r="932" spans="1:25" ht="14" x14ac:dyDescent="0.15">
      <c r="A932" s="125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</row>
    <row r="933" spans="1:25" ht="14" x14ac:dyDescent="0.15">
      <c r="A933" s="125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</row>
    <row r="934" spans="1:25" ht="14" x14ac:dyDescent="0.15">
      <c r="A934" s="125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</row>
    <row r="935" spans="1:25" ht="14" x14ac:dyDescent="0.15">
      <c r="A935" s="125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</row>
    <row r="936" spans="1:25" ht="14" x14ac:dyDescent="0.15">
      <c r="A936" s="125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</row>
    <row r="937" spans="1:25" ht="14" x14ac:dyDescent="0.15">
      <c r="A937" s="125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</row>
    <row r="938" spans="1:25" ht="14" x14ac:dyDescent="0.15">
      <c r="A938" s="125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</row>
    <row r="939" spans="1:25" ht="14" x14ac:dyDescent="0.15">
      <c r="A939" s="125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</row>
    <row r="940" spans="1:25" ht="14" x14ac:dyDescent="0.15">
      <c r="A940" s="125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</row>
    <row r="941" spans="1:25" ht="14" x14ac:dyDescent="0.15">
      <c r="A941" s="125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</row>
    <row r="942" spans="1:25" ht="14" x14ac:dyDescent="0.15">
      <c r="A942" s="125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</row>
    <row r="943" spans="1:25" ht="14" x14ac:dyDescent="0.15">
      <c r="A943" s="125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</row>
    <row r="944" spans="1:25" ht="14" x14ac:dyDescent="0.15">
      <c r="A944" s="125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</row>
    <row r="945" spans="1:25" ht="14" x14ac:dyDescent="0.15">
      <c r="A945" s="125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</row>
    <row r="946" spans="1:25" ht="14" x14ac:dyDescent="0.15">
      <c r="A946" s="125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</row>
    <row r="947" spans="1:25" ht="14" x14ac:dyDescent="0.15">
      <c r="A947" s="125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</row>
    <row r="948" spans="1:25" ht="14" x14ac:dyDescent="0.15">
      <c r="A948" s="125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</row>
    <row r="949" spans="1:25" ht="14" x14ac:dyDescent="0.15">
      <c r="A949" s="125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</row>
    <row r="950" spans="1:25" ht="14" x14ac:dyDescent="0.15">
      <c r="A950" s="125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</row>
    <row r="951" spans="1:25" ht="14" x14ac:dyDescent="0.15">
      <c r="A951" s="125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</row>
    <row r="952" spans="1:25" ht="14" x14ac:dyDescent="0.15">
      <c r="A952" s="125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</row>
    <row r="953" spans="1:25" ht="14" x14ac:dyDescent="0.15">
      <c r="A953" s="125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</row>
    <row r="954" spans="1:25" ht="14" x14ac:dyDescent="0.15">
      <c r="A954" s="125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</row>
    <row r="955" spans="1:25" ht="14" x14ac:dyDescent="0.15">
      <c r="A955" s="125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</row>
    <row r="956" spans="1:25" ht="14" x14ac:dyDescent="0.15">
      <c r="A956" s="125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</row>
    <row r="957" spans="1:25" ht="14" x14ac:dyDescent="0.15">
      <c r="A957" s="125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</row>
    <row r="958" spans="1:25" ht="14" x14ac:dyDescent="0.15">
      <c r="A958" s="125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</row>
    <row r="959" spans="1:25" ht="14" x14ac:dyDescent="0.15">
      <c r="A959" s="125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</row>
    <row r="960" spans="1:25" ht="14" x14ac:dyDescent="0.15">
      <c r="A960" s="125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</row>
    <row r="961" spans="1:25" ht="14" x14ac:dyDescent="0.15">
      <c r="A961" s="125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</row>
    <row r="962" spans="1:25" ht="14" x14ac:dyDescent="0.15">
      <c r="A962" s="125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</row>
    <row r="963" spans="1:25" ht="14" x14ac:dyDescent="0.15">
      <c r="A963" s="125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</row>
    <row r="964" spans="1:25" ht="14" x14ac:dyDescent="0.15">
      <c r="A964" s="125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</row>
    <row r="965" spans="1:25" ht="14" x14ac:dyDescent="0.15">
      <c r="A965" s="125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</row>
    <row r="966" spans="1:25" ht="14" x14ac:dyDescent="0.15">
      <c r="A966" s="125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</row>
    <row r="967" spans="1:25" ht="14" x14ac:dyDescent="0.15">
      <c r="A967" s="125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</row>
    <row r="968" spans="1:25" ht="14" x14ac:dyDescent="0.15">
      <c r="A968" s="125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</row>
    <row r="969" spans="1:25" ht="14" x14ac:dyDescent="0.15">
      <c r="A969" s="125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</row>
    <row r="970" spans="1:25" ht="14" x14ac:dyDescent="0.15">
      <c r="A970" s="125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</row>
    <row r="971" spans="1:25" ht="14" x14ac:dyDescent="0.15">
      <c r="A971" s="125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</row>
    <row r="972" spans="1:25" ht="14" x14ac:dyDescent="0.15">
      <c r="A972" s="125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</row>
    <row r="973" spans="1:25" ht="14" x14ac:dyDescent="0.15">
      <c r="A973" s="125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</row>
    <row r="974" spans="1:25" ht="14" x14ac:dyDescent="0.15">
      <c r="A974" s="125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</row>
    <row r="975" spans="1:25" ht="14" x14ac:dyDescent="0.15">
      <c r="A975" s="125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</row>
    <row r="976" spans="1:25" ht="14" x14ac:dyDescent="0.15">
      <c r="A976" s="125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</row>
    <row r="977" spans="1:25" ht="14" x14ac:dyDescent="0.15">
      <c r="A977" s="125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</row>
    <row r="978" spans="1:25" ht="14" x14ac:dyDescent="0.15">
      <c r="A978" s="125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</row>
    <row r="979" spans="1:25" ht="14" x14ac:dyDescent="0.15">
      <c r="A979" s="125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</row>
    <row r="980" spans="1:25" ht="14" x14ac:dyDescent="0.15">
      <c r="A980" s="125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</row>
    <row r="981" spans="1:25" ht="14" x14ac:dyDescent="0.15">
      <c r="A981" s="125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</row>
    <row r="982" spans="1:25" ht="14" x14ac:dyDescent="0.15">
      <c r="A982" s="125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</row>
    <row r="983" spans="1:25" ht="14" x14ac:dyDescent="0.15">
      <c r="A983" s="125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</row>
    <row r="984" spans="1:25" ht="14" x14ac:dyDescent="0.15">
      <c r="A984" s="125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</row>
    <row r="985" spans="1:25" ht="14" x14ac:dyDescent="0.15">
      <c r="A985" s="125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</row>
    <row r="986" spans="1:25" ht="14" x14ac:dyDescent="0.15">
      <c r="A986" s="125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</row>
    <row r="987" spans="1:25" ht="14" x14ac:dyDescent="0.15">
      <c r="A987" s="125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</row>
    <row r="988" spans="1:25" ht="14" x14ac:dyDescent="0.15">
      <c r="A988" s="125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</row>
    <row r="989" spans="1:25" ht="14" x14ac:dyDescent="0.15">
      <c r="A989" s="125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</row>
    <row r="990" spans="1:25" ht="14" x14ac:dyDescent="0.15">
      <c r="A990" s="125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</row>
    <row r="991" spans="1:25" ht="14" x14ac:dyDescent="0.15">
      <c r="A991" s="125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</row>
    <row r="992" spans="1:25" ht="14" x14ac:dyDescent="0.15">
      <c r="A992" s="125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</row>
    <row r="993" spans="1:25" ht="14" x14ac:dyDescent="0.15">
      <c r="A993" s="125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</row>
    <row r="994" spans="1:25" ht="14" x14ac:dyDescent="0.15">
      <c r="A994" s="125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</row>
    <row r="995" spans="1:25" ht="14" x14ac:dyDescent="0.15">
      <c r="A995" s="125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</row>
    <row r="996" spans="1:25" ht="14" x14ac:dyDescent="0.15">
      <c r="A996" s="125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</row>
    <row r="997" spans="1:25" ht="14" x14ac:dyDescent="0.15">
      <c r="A997" s="125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</row>
    <row r="998" spans="1:25" ht="14" x14ac:dyDescent="0.15">
      <c r="A998" s="125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</row>
    <row r="999" spans="1:25" ht="14" x14ac:dyDescent="0.15">
      <c r="A999" s="125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</row>
    <row r="1000" spans="1:25" ht="14" x14ac:dyDescent="0.15">
      <c r="A1000" s="125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</row>
    <row r="1001" spans="1:25" ht="14" x14ac:dyDescent="0.15">
      <c r="A1001" s="125"/>
      <c r="B1001" s="113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M1001" s="113"/>
      <c r="N1001" s="113"/>
      <c r="O1001" s="113"/>
      <c r="P1001" s="113"/>
      <c r="Q1001" s="113"/>
      <c r="R1001" s="113"/>
      <c r="S1001" s="113"/>
      <c r="T1001" s="113"/>
      <c r="U1001" s="113"/>
      <c r="V1001" s="113"/>
      <c r="W1001" s="113"/>
      <c r="X1001" s="113"/>
      <c r="Y1001" s="113"/>
    </row>
    <row r="1002" spans="1:25" ht="14" x14ac:dyDescent="0.15">
      <c r="A1002" s="125"/>
      <c r="B1002" s="113"/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M1002" s="113"/>
      <c r="N1002" s="113"/>
      <c r="O1002" s="113"/>
      <c r="P1002" s="113"/>
      <c r="Q1002" s="113"/>
      <c r="R1002" s="113"/>
      <c r="S1002" s="113"/>
      <c r="T1002" s="113"/>
      <c r="U1002" s="113"/>
      <c r="V1002" s="113"/>
      <c r="W1002" s="113"/>
      <c r="X1002" s="113"/>
      <c r="Y1002" s="113"/>
    </row>
    <row r="1003" spans="1:25" ht="14" x14ac:dyDescent="0.15">
      <c r="A1003" s="125"/>
      <c r="B1003" s="113"/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M1003" s="113"/>
      <c r="N1003" s="113"/>
      <c r="O1003" s="113"/>
      <c r="P1003" s="113"/>
      <c r="Q1003" s="113"/>
      <c r="R1003" s="113"/>
      <c r="S1003" s="113"/>
      <c r="T1003" s="113"/>
      <c r="U1003" s="113"/>
      <c r="V1003" s="113"/>
      <c r="W1003" s="113"/>
      <c r="X1003" s="113"/>
      <c r="Y1003" s="113"/>
    </row>
    <row r="1004" spans="1:25" ht="14" x14ac:dyDescent="0.15">
      <c r="A1004" s="125"/>
      <c r="B1004" s="113"/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M1004" s="113"/>
      <c r="N1004" s="113"/>
      <c r="O1004" s="113"/>
      <c r="P1004" s="113"/>
      <c r="Q1004" s="113"/>
      <c r="R1004" s="113"/>
      <c r="S1004" s="113"/>
      <c r="T1004" s="113"/>
      <c r="U1004" s="113"/>
      <c r="V1004" s="113"/>
      <c r="W1004" s="113"/>
      <c r="X1004" s="113"/>
      <c r="Y1004" s="113"/>
    </row>
    <row r="1005" spans="1:25" ht="14" x14ac:dyDescent="0.15">
      <c r="A1005" s="125"/>
    </row>
    <row r="1006" spans="1:25" ht="14" x14ac:dyDescent="0.15">
      <c r="A1006" s="125"/>
    </row>
    <row r="1007" spans="1:25" ht="14" x14ac:dyDescent="0.15">
      <c r="A1007" s="125"/>
    </row>
    <row r="1008" spans="1:25" ht="14" x14ac:dyDescent="0.15">
      <c r="A1008" s="125"/>
    </row>
    <row r="1009" spans="1:1" ht="14" x14ac:dyDescent="0.15">
      <c r="A1009" s="125"/>
    </row>
    <row r="1010" spans="1:1" ht="14" x14ac:dyDescent="0.15">
      <c r="A1010" s="125"/>
    </row>
    <row r="1011" spans="1:1" ht="14" x14ac:dyDescent="0.15">
      <c r="A1011" s="125"/>
    </row>
  </sheetData>
  <mergeCells count="43">
    <mergeCell ref="S10:S11"/>
    <mergeCell ref="D48:I48"/>
    <mergeCell ref="D1:S1"/>
    <mergeCell ref="D2:S2"/>
    <mergeCell ref="D3:S3"/>
    <mergeCell ref="J48:J49"/>
    <mergeCell ref="K48:X49"/>
    <mergeCell ref="J42:S42"/>
    <mergeCell ref="D4:I4"/>
    <mergeCell ref="J16:S16"/>
    <mergeCell ref="J20:S20"/>
    <mergeCell ref="J35:S35"/>
    <mergeCell ref="J36:S36"/>
    <mergeCell ref="J4:S4"/>
    <mergeCell ref="J10:J11"/>
    <mergeCell ref="K10:K11"/>
    <mergeCell ref="K51:X51"/>
    <mergeCell ref="K53:X53"/>
    <mergeCell ref="K54:X54"/>
    <mergeCell ref="K55:X55"/>
    <mergeCell ref="K52:X52"/>
    <mergeCell ref="K56:X56"/>
    <mergeCell ref="K57:X57"/>
    <mergeCell ref="K58:X58"/>
    <mergeCell ref="K59:X59"/>
    <mergeCell ref="K60:X60"/>
    <mergeCell ref="K61:X61"/>
    <mergeCell ref="K62:X62"/>
    <mergeCell ref="K63:X63"/>
    <mergeCell ref="K64:X64"/>
    <mergeCell ref="K65:X65"/>
    <mergeCell ref="K66:X66"/>
    <mergeCell ref="K67:X67"/>
    <mergeCell ref="K68:X68"/>
    <mergeCell ref="K69:X69"/>
    <mergeCell ref="K70:X70"/>
    <mergeCell ref="Q10:Q11"/>
    <mergeCell ref="R10:R11"/>
    <mergeCell ref="L10:L11"/>
    <mergeCell ref="M10:M11"/>
    <mergeCell ref="N10:N11"/>
    <mergeCell ref="O10:O11"/>
    <mergeCell ref="P10:P11"/>
  </mergeCells>
  <conditionalFormatting sqref="B7:C7">
    <cfRule type="colorScale" priority="1">
      <colorScale>
        <cfvo type="min"/>
        <cfvo type="max"/>
        <color rgb="FFFFFFFF"/>
        <color rgb="FF57BB8A"/>
      </colorScale>
    </cfRule>
  </conditionalFormatting>
  <conditionalFormatting sqref="B8:C8">
    <cfRule type="colorScale" priority="2">
      <colorScale>
        <cfvo type="min"/>
        <cfvo type="max"/>
        <color rgb="FFFFFFFF"/>
        <color rgb="FF57BB8A"/>
      </colorScale>
    </cfRule>
  </conditionalFormatting>
  <conditionalFormatting sqref="B9:C9">
    <cfRule type="colorScale" priority="3">
      <colorScale>
        <cfvo type="min"/>
        <cfvo type="max"/>
        <color rgb="FFFFFFFF"/>
        <color rgb="FF57BB8A"/>
      </colorScale>
    </cfRule>
  </conditionalFormatting>
  <conditionalFormatting sqref="B10:C10">
    <cfRule type="colorScale" priority="4">
      <colorScale>
        <cfvo type="min"/>
        <cfvo type="max"/>
        <color rgb="FFFFFFFF"/>
        <color rgb="FF57BB8A"/>
      </colorScale>
    </cfRule>
  </conditionalFormatting>
  <conditionalFormatting sqref="B11:C11">
    <cfRule type="colorScale" priority="5">
      <colorScale>
        <cfvo type="min"/>
        <cfvo type="max"/>
        <color rgb="FFFFFFFF"/>
        <color rgb="FF57BB8A"/>
      </colorScale>
    </cfRule>
  </conditionalFormatting>
  <conditionalFormatting sqref="B12:C12">
    <cfRule type="colorScale" priority="6">
      <colorScale>
        <cfvo type="min"/>
        <cfvo type="max"/>
        <color rgb="FFFFFFFF"/>
        <color rgb="FF57BB8A"/>
      </colorScale>
    </cfRule>
  </conditionalFormatting>
  <conditionalFormatting sqref="B14:C16">
    <cfRule type="colorScale" priority="39">
      <colorScale>
        <cfvo type="min"/>
        <cfvo type="max"/>
        <color rgb="FFFFFFFF"/>
        <color rgb="FF57BB8A"/>
      </colorScale>
    </cfRule>
  </conditionalFormatting>
  <conditionalFormatting sqref="B17:C17">
    <cfRule type="colorScale" priority="8">
      <colorScale>
        <cfvo type="min"/>
        <cfvo type="max"/>
        <color rgb="FFFFFFFF"/>
        <color rgb="FF57BB8A"/>
      </colorScale>
    </cfRule>
  </conditionalFormatting>
  <conditionalFormatting sqref="B18:C18">
    <cfRule type="colorScale" priority="9">
      <colorScale>
        <cfvo type="min"/>
        <cfvo type="max"/>
        <color rgb="FFFFFFFF"/>
        <color rgb="FF57BB8A"/>
      </colorScale>
    </cfRule>
    <cfRule type="colorScale" priority="10">
      <colorScale>
        <cfvo type="min"/>
        <cfvo type="max"/>
        <color rgb="FFFFFFFF"/>
        <color rgb="FF57BB8A"/>
      </colorScale>
    </cfRule>
    <cfRule type="colorScale" priority="11">
      <colorScale>
        <cfvo type="min"/>
        <cfvo type="max"/>
        <color rgb="FFFFFFFF"/>
        <color rgb="FF57BB8A"/>
      </colorScale>
    </cfRule>
  </conditionalFormatting>
  <conditionalFormatting sqref="B19:C19">
    <cfRule type="colorScale" priority="12">
      <colorScale>
        <cfvo type="min"/>
        <cfvo type="max"/>
        <color rgb="FFFFFFFF"/>
        <color rgb="FF57BB8A"/>
      </colorScale>
    </cfRule>
    <cfRule type="colorScale" priority="13">
      <colorScale>
        <cfvo type="min"/>
        <cfvo type="max"/>
        <color rgb="FFFFFFFF"/>
        <color rgb="FF57BB8A"/>
      </colorScale>
    </cfRule>
    <cfRule type="colorScale" priority="14">
      <colorScale>
        <cfvo type="min"/>
        <cfvo type="max"/>
        <color rgb="FFFFFFFF"/>
        <color rgb="FF57BB8A"/>
      </colorScale>
    </cfRule>
  </conditionalFormatting>
  <conditionalFormatting sqref="B20:C20">
    <cfRule type="colorScale" priority="15">
      <colorScale>
        <cfvo type="min"/>
        <cfvo type="max"/>
        <color rgb="FFFFFFFF"/>
        <color rgb="FF57BB8A"/>
      </colorScale>
    </cfRule>
    <cfRule type="colorScale" priority="16">
      <colorScale>
        <cfvo type="min"/>
        <cfvo type="max"/>
        <color rgb="FFFFFFFF"/>
        <color rgb="FF57BB8A"/>
      </colorScale>
    </cfRule>
    <cfRule type="colorScale" priority="17">
      <colorScale>
        <cfvo type="min"/>
        <cfvo type="max"/>
        <color rgb="FFFFFFFF"/>
        <color rgb="FF57BB8A"/>
      </colorScale>
    </cfRule>
  </conditionalFormatting>
  <conditionalFormatting sqref="B21:C22">
    <cfRule type="colorScale" priority="18">
      <colorScale>
        <cfvo type="min"/>
        <cfvo type="max"/>
        <color rgb="FFFFFFFF"/>
        <color rgb="FF57BB8A"/>
      </colorScale>
    </cfRule>
    <cfRule type="colorScale" priority="19">
      <colorScale>
        <cfvo type="min"/>
        <cfvo type="max"/>
        <color rgb="FFFFFFFF"/>
        <color rgb="FF57BB8A"/>
      </colorScale>
    </cfRule>
  </conditionalFormatting>
  <conditionalFormatting sqref="B25:C25">
    <cfRule type="colorScale" priority="20">
      <colorScale>
        <cfvo type="min"/>
        <cfvo type="max"/>
        <color rgb="FFFFFFFF"/>
        <color rgb="FF57BB8A"/>
      </colorScale>
    </cfRule>
    <cfRule type="colorScale" priority="22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FFFFFF"/>
        <color rgb="FF57BB8A"/>
      </colorScale>
    </cfRule>
  </conditionalFormatting>
  <conditionalFormatting sqref="B26:C26">
    <cfRule type="colorScale" priority="23">
      <colorScale>
        <cfvo type="min"/>
        <cfvo type="max"/>
        <color rgb="FFFFFFFF"/>
        <color rgb="FF57BB8A"/>
      </colorScale>
    </cfRule>
  </conditionalFormatting>
  <conditionalFormatting sqref="B27:C27">
    <cfRule type="colorScale" priority="24">
      <colorScale>
        <cfvo type="min"/>
        <cfvo type="max"/>
        <color rgb="FFFFFFFF"/>
        <color rgb="FF57BB8A"/>
      </colorScale>
    </cfRule>
  </conditionalFormatting>
  <conditionalFormatting sqref="B28:C28">
    <cfRule type="colorScale" priority="25">
      <colorScale>
        <cfvo type="min"/>
        <cfvo type="max"/>
        <color rgb="FFFFFFFF"/>
        <color rgb="FF57BB8A"/>
      </colorScale>
    </cfRule>
  </conditionalFormatting>
  <conditionalFormatting sqref="B29:C29">
    <cfRule type="colorScale" priority="26">
      <colorScale>
        <cfvo type="min"/>
        <cfvo type="max"/>
        <color rgb="FFFFFFFF"/>
        <color rgb="FF57BB8A"/>
      </colorScale>
    </cfRule>
  </conditionalFormatting>
  <conditionalFormatting sqref="B30:C30">
    <cfRule type="colorScale" priority="27">
      <colorScale>
        <cfvo type="min"/>
        <cfvo type="max"/>
        <color rgb="FFFFFFFF"/>
        <color rgb="FF57BB8A"/>
      </colorScale>
    </cfRule>
  </conditionalFormatting>
  <conditionalFormatting sqref="B31:C31">
    <cfRule type="colorScale" priority="28">
      <colorScale>
        <cfvo type="min"/>
        <cfvo type="max"/>
        <color rgb="FFFFFFFF"/>
        <color rgb="FF57BB8A"/>
      </colorScale>
    </cfRule>
  </conditionalFormatting>
  <conditionalFormatting sqref="B33:C33">
    <cfRule type="colorScale" priority="29">
      <colorScale>
        <cfvo type="min"/>
        <cfvo type="max"/>
        <color rgb="FFFFFFFF"/>
        <color rgb="FF57BB8A"/>
      </colorScale>
    </cfRule>
  </conditionalFormatting>
  <conditionalFormatting sqref="B34:C34">
    <cfRule type="colorScale" priority="30">
      <colorScale>
        <cfvo type="min"/>
        <cfvo type="max"/>
        <color rgb="FFFFFFFF"/>
        <color rgb="FF57BB8A"/>
      </colorScale>
    </cfRule>
  </conditionalFormatting>
  <conditionalFormatting sqref="B35:C35">
    <cfRule type="colorScale" priority="38">
      <colorScale>
        <cfvo type="min"/>
        <cfvo type="max"/>
        <color rgb="FFFFFFFF"/>
        <color rgb="FF57BB8A"/>
      </colorScale>
    </cfRule>
  </conditionalFormatting>
  <conditionalFormatting sqref="B36:C36">
    <cfRule type="colorScale" priority="32">
      <colorScale>
        <cfvo type="min"/>
        <cfvo type="max"/>
        <color rgb="FFFFFFFF"/>
        <color rgb="FF57BB8A"/>
      </colorScale>
    </cfRule>
  </conditionalFormatting>
  <conditionalFormatting sqref="B37:C37">
    <cfRule type="colorScale" priority="33">
      <colorScale>
        <cfvo type="min"/>
        <cfvo type="max"/>
        <color rgb="FFFFFFFF"/>
        <color rgb="FF57BB8A"/>
      </colorScale>
    </cfRule>
  </conditionalFormatting>
  <conditionalFormatting sqref="B39:C39">
    <cfRule type="colorScale" priority="34">
      <colorScale>
        <cfvo type="min"/>
        <cfvo type="max"/>
        <color rgb="FFFFFFFF"/>
        <color rgb="FF57BB8A"/>
      </colorScale>
    </cfRule>
  </conditionalFormatting>
  <conditionalFormatting sqref="B40:C40">
    <cfRule type="colorScale" priority="35">
      <colorScale>
        <cfvo type="min"/>
        <cfvo type="max"/>
        <color rgb="FFFFFFFF"/>
        <color rgb="FF57BB8A"/>
      </colorScale>
    </cfRule>
  </conditionalFormatting>
  <conditionalFormatting sqref="B41:C41">
    <cfRule type="colorScale" priority="36">
      <colorScale>
        <cfvo type="min"/>
        <cfvo type="max"/>
        <color rgb="FFFFFFFF"/>
        <color rgb="FF57BB8A"/>
      </colorScale>
    </cfRule>
  </conditionalFormatting>
  <conditionalFormatting sqref="B42:C42">
    <cfRule type="colorScale" priority="37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991"/>
  <sheetViews>
    <sheetView workbookViewId="0">
      <selection activeCell="J25" sqref="J25"/>
    </sheetView>
  </sheetViews>
  <sheetFormatPr baseColWidth="10" defaultColWidth="22.5" defaultRowHeight="15.75" customHeight="1" x14ac:dyDescent="0.15"/>
  <cols>
    <col min="1" max="1" width="22.5" style="114"/>
    <col min="2" max="3" width="0" style="114" hidden="1" customWidth="1"/>
    <col min="4" max="16384" width="22.5" style="114"/>
  </cols>
  <sheetData>
    <row r="1" spans="1:25" ht="15.75" customHeight="1" x14ac:dyDescent="0.15">
      <c r="A1" s="111"/>
      <c r="B1" s="112"/>
      <c r="C1" s="112"/>
      <c r="D1" s="526" t="s">
        <v>0</v>
      </c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113"/>
      <c r="U1" s="113"/>
      <c r="V1" s="113"/>
      <c r="W1" s="113"/>
      <c r="X1" s="113"/>
      <c r="Y1" s="113"/>
    </row>
    <row r="2" spans="1:25" ht="15.75" customHeight="1" x14ac:dyDescent="0.15">
      <c r="A2" s="111"/>
      <c r="B2" s="112"/>
      <c r="C2" s="112"/>
      <c r="D2" s="526" t="s">
        <v>91</v>
      </c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113"/>
      <c r="U2" s="113"/>
      <c r="V2" s="113"/>
      <c r="W2" s="113"/>
      <c r="X2" s="113"/>
      <c r="Y2" s="113"/>
    </row>
    <row r="3" spans="1:25" ht="15.75" customHeight="1" x14ac:dyDescent="0.15">
      <c r="A3" s="111"/>
      <c r="B3" s="112"/>
      <c r="C3" s="112"/>
      <c r="D3" s="526" t="s">
        <v>92</v>
      </c>
      <c r="E3" s="526"/>
      <c r="F3" s="526"/>
      <c r="G3" s="526"/>
      <c r="H3" s="526"/>
      <c r="I3" s="526"/>
      <c r="J3" s="526"/>
      <c r="K3" s="526"/>
      <c r="L3" s="526"/>
      <c r="M3" s="526"/>
      <c r="N3" s="526"/>
      <c r="O3" s="526"/>
      <c r="P3" s="526"/>
      <c r="Q3" s="526"/>
      <c r="R3" s="526"/>
      <c r="S3" s="526"/>
      <c r="T3" s="113"/>
      <c r="U3" s="113"/>
      <c r="V3" s="113"/>
      <c r="W3" s="113"/>
      <c r="X3" s="113"/>
      <c r="Y3" s="113"/>
    </row>
    <row r="4" spans="1:25" ht="15.75" customHeight="1" x14ac:dyDescent="0.15">
      <c r="A4" s="212"/>
      <c r="B4" s="213" t="s">
        <v>3</v>
      </c>
      <c r="C4" s="213"/>
      <c r="D4" s="534" t="s">
        <v>4</v>
      </c>
      <c r="E4" s="534"/>
      <c r="F4" s="534"/>
      <c r="G4" s="534"/>
      <c r="H4" s="534"/>
      <c r="I4" s="535"/>
      <c r="J4" s="536" t="s">
        <v>5</v>
      </c>
      <c r="K4" s="537"/>
      <c r="L4" s="537"/>
      <c r="M4" s="537"/>
      <c r="N4" s="537"/>
      <c r="O4" s="537"/>
      <c r="P4" s="537"/>
      <c r="Q4" s="537"/>
      <c r="R4" s="537"/>
      <c r="S4" s="537"/>
      <c r="T4" s="113"/>
      <c r="U4" s="113"/>
      <c r="V4" s="113"/>
      <c r="W4" s="113"/>
      <c r="X4" s="113"/>
    </row>
    <row r="5" spans="1:25" ht="15.75" customHeight="1" x14ac:dyDescent="0.15">
      <c r="A5" s="112" t="s">
        <v>54</v>
      </c>
      <c r="B5" s="214">
        <v>2018</v>
      </c>
      <c r="C5" s="214">
        <v>2019</v>
      </c>
      <c r="D5" s="169">
        <v>2020</v>
      </c>
      <c r="E5" s="171">
        <v>2021</v>
      </c>
      <c r="F5" s="171">
        <v>2022</v>
      </c>
      <c r="G5" s="171">
        <v>2023</v>
      </c>
      <c r="H5" s="171">
        <v>2024</v>
      </c>
      <c r="I5" s="171">
        <v>2025</v>
      </c>
      <c r="J5" s="169">
        <v>2026</v>
      </c>
      <c r="K5" s="171">
        <v>2027</v>
      </c>
      <c r="L5" s="171">
        <v>2028</v>
      </c>
      <c r="M5" s="171">
        <v>2029</v>
      </c>
      <c r="N5" s="171">
        <v>2030</v>
      </c>
      <c r="O5" s="171">
        <v>2031</v>
      </c>
      <c r="P5" s="171">
        <v>2032</v>
      </c>
      <c r="Q5" s="171">
        <v>2033</v>
      </c>
      <c r="R5" s="171">
        <v>2034</v>
      </c>
      <c r="S5" s="172">
        <v>2035</v>
      </c>
      <c r="T5" s="113"/>
      <c r="U5" s="113"/>
      <c r="V5" s="113"/>
      <c r="W5" s="113"/>
      <c r="X5" s="113"/>
    </row>
    <row r="6" spans="1:25" ht="15.75" customHeight="1" x14ac:dyDescent="0.15">
      <c r="A6" s="215" t="s">
        <v>93</v>
      </c>
      <c r="B6" s="216">
        <v>1903339</v>
      </c>
      <c r="C6" s="216">
        <v>2020437</v>
      </c>
      <c r="D6" s="217">
        <v>2132689</v>
      </c>
      <c r="E6" s="216">
        <v>2545641</v>
      </c>
      <c r="F6" s="216">
        <v>3150339</v>
      </c>
      <c r="G6" s="216">
        <v>3627286</v>
      </c>
      <c r="H6" s="216">
        <v>4287763</v>
      </c>
      <c r="I6" s="216">
        <v>4985612</v>
      </c>
      <c r="J6" s="217">
        <f>Proforma!C3</f>
        <v>5910350.3635945283</v>
      </c>
      <c r="K6" s="216">
        <f>Proforma!D3</f>
        <v>7006610.5064818468</v>
      </c>
      <c r="L6" s="216">
        <f>Proforma!E3</f>
        <v>8306206.5308231423</v>
      </c>
      <c r="M6" s="216">
        <f>Proforma!F3</f>
        <v>9846853.4634347409</v>
      </c>
      <c r="N6" s="216">
        <f>Proforma!G3</f>
        <v>11673261.767637266</v>
      </c>
      <c r="O6" s="216">
        <f>Proforma!H3</f>
        <v>13838434.866710251</v>
      </c>
      <c r="P6" s="216">
        <f>Proforma!I3</f>
        <v>16405207.333831862</v>
      </c>
      <c r="Q6" s="216">
        <f>Proforma!J3</f>
        <v>19448068.387663696</v>
      </c>
      <c r="R6" s="216">
        <f>Proforma!K3</f>
        <v>23055323.612475134</v>
      </c>
      <c r="S6" s="218">
        <f>Proforma!L3</f>
        <v>27331657.637173116</v>
      </c>
      <c r="T6" s="219"/>
      <c r="U6" s="219"/>
      <c r="V6" s="219"/>
      <c r="W6" s="219"/>
      <c r="X6" s="219"/>
    </row>
    <row r="7" spans="1:25" ht="15.75" customHeight="1" x14ac:dyDescent="0.15">
      <c r="A7" s="161" t="s">
        <v>94</v>
      </c>
      <c r="B7" s="128">
        <v>971697</v>
      </c>
      <c r="C7" s="128">
        <v>980187</v>
      </c>
      <c r="D7" s="220">
        <v>1029016</v>
      </c>
      <c r="E7" s="128">
        <v>1171551</v>
      </c>
      <c r="F7" s="128">
        <v>1542788</v>
      </c>
      <c r="G7" s="128">
        <v>1801916</v>
      </c>
      <c r="H7" s="128">
        <v>1902275</v>
      </c>
      <c r="I7" s="128">
        <v>2099949</v>
      </c>
      <c r="J7" s="220">
        <f>Proforma!C4</f>
        <v>2752309.9438142846</v>
      </c>
      <c r="K7" s="128">
        <f>Proforma!D4</f>
        <v>3262812.2840581243</v>
      </c>
      <c r="L7" s="128">
        <f>Proforma!E4</f>
        <v>3868003.3202390457</v>
      </c>
      <c r="M7" s="128">
        <f>Proforma!F4</f>
        <v>4585446.0455726776</v>
      </c>
      <c r="N7" s="128">
        <f>Proforma!G4</f>
        <v>5435961.0620909864</v>
      </c>
      <c r="O7" s="128">
        <f>Proforma!H4</f>
        <v>6444230.8065319089</v>
      </c>
      <c r="P7" s="128">
        <f>Proforma!I4</f>
        <v>7639515.8489013845</v>
      </c>
      <c r="Q7" s="128">
        <f>Proforma!J4</f>
        <v>9056504.0511055551</v>
      </c>
      <c r="R7" s="128">
        <f>Proforma!K4</f>
        <v>10736317.228726791</v>
      </c>
      <c r="S7" s="137">
        <f>Proforma!L4</f>
        <v>12727704.529849414</v>
      </c>
      <c r="T7" s="113"/>
      <c r="U7" s="113"/>
      <c r="V7" s="113"/>
      <c r="W7" s="113"/>
      <c r="X7" s="113"/>
    </row>
    <row r="8" spans="1:25" ht="15.75" customHeight="1" x14ac:dyDescent="0.15">
      <c r="A8" s="161" t="s">
        <v>95</v>
      </c>
      <c r="B8" s="128">
        <f t="shared" ref="B8:I8" si="0">B6-B7</f>
        <v>931642</v>
      </c>
      <c r="C8" s="128">
        <f t="shared" si="0"/>
        <v>1040250</v>
      </c>
      <c r="D8" s="220">
        <f t="shared" si="0"/>
        <v>1103673</v>
      </c>
      <c r="E8" s="128">
        <f t="shared" si="0"/>
        <v>1374090</v>
      </c>
      <c r="F8" s="128">
        <f t="shared" si="0"/>
        <v>1607551</v>
      </c>
      <c r="G8" s="128">
        <f t="shared" si="0"/>
        <v>1825370</v>
      </c>
      <c r="H8" s="128">
        <f t="shared" si="0"/>
        <v>2385488</v>
      </c>
      <c r="I8" s="128">
        <f t="shared" si="0"/>
        <v>2885663</v>
      </c>
      <c r="J8" s="220">
        <f>Proforma!C5</f>
        <v>3158040.4197802437</v>
      </c>
      <c r="K8" s="128">
        <f>Proforma!D5</f>
        <v>3743798.2224237225</v>
      </c>
      <c r="L8" s="128">
        <f>Proforma!E5</f>
        <v>4438203.2105840966</v>
      </c>
      <c r="M8" s="128">
        <f>Proforma!F5</f>
        <v>5261407.4178620633</v>
      </c>
      <c r="N8" s="128">
        <f>Proforma!G5</f>
        <v>6237300.7055462794</v>
      </c>
      <c r="O8" s="128">
        <f>Proforma!H5</f>
        <v>7394204.0601783423</v>
      </c>
      <c r="P8" s="128">
        <f>Proforma!I5</f>
        <v>8765691.484930478</v>
      </c>
      <c r="Q8" s="128">
        <f>Proforma!J5</f>
        <v>10391564.336558141</v>
      </c>
      <c r="R8" s="128">
        <f>Proforma!K5</f>
        <v>12319006.383748343</v>
      </c>
      <c r="S8" s="137">
        <f>Proforma!L5</f>
        <v>14603953.107323702</v>
      </c>
      <c r="T8" s="219"/>
      <c r="U8" s="219"/>
      <c r="V8" s="219"/>
      <c r="W8" s="219"/>
      <c r="X8" s="219"/>
    </row>
    <row r="9" spans="1:25" ht="15.75" customHeight="1" x14ac:dyDescent="0.15">
      <c r="A9" s="161" t="s">
        <v>96</v>
      </c>
      <c r="B9" s="128">
        <v>709058</v>
      </c>
      <c r="C9" s="128">
        <v>712930</v>
      </c>
      <c r="D9" s="220">
        <v>765538</v>
      </c>
      <c r="E9" s="128">
        <v>869885</v>
      </c>
      <c r="F9" s="128">
        <v>1042844</v>
      </c>
      <c r="G9" s="128">
        <v>1172619</v>
      </c>
      <c r="H9" s="128">
        <v>1457974</v>
      </c>
      <c r="I9" s="128">
        <v>1706571</v>
      </c>
      <c r="J9" s="220">
        <f>Proforma!C6</f>
        <v>2006863.0573790015</v>
      </c>
      <c r="K9" s="128">
        <f>Proforma!D6</f>
        <v>2379098.8550381395</v>
      </c>
      <c r="L9" s="128">
        <f>Proforma!E6</f>
        <v>2820377.4748018887</v>
      </c>
      <c r="M9" s="128">
        <f>Proforma!F6</f>
        <v>3343505.0769432443</v>
      </c>
      <c r="N9" s="128">
        <f>Proforma!G6</f>
        <v>3963663.1264510066</v>
      </c>
      <c r="O9" s="128">
        <f>Proforma!H6</f>
        <v>4698848.9679072369</v>
      </c>
      <c r="P9" s="128">
        <f>Proforma!I6</f>
        <v>5570398.1188159669</v>
      </c>
      <c r="Q9" s="128">
        <f>Proforma!J6</f>
        <v>6603603.4386370685</v>
      </c>
      <c r="R9" s="128">
        <f>Proforma!K6</f>
        <v>7828449.1421680376</v>
      </c>
      <c r="S9" s="137">
        <f>Proforma!L6</f>
        <v>9280480.9587657712</v>
      </c>
      <c r="T9" s="113"/>
      <c r="U9" s="113"/>
      <c r="V9" s="113"/>
      <c r="W9" s="113"/>
      <c r="X9" s="113"/>
    </row>
    <row r="10" spans="1:25" ht="15.75" customHeight="1" x14ac:dyDescent="0.15">
      <c r="A10" s="161" t="s">
        <v>97</v>
      </c>
      <c r="B10" s="128">
        <f t="shared" ref="B10:I10" si="1">B8-B9</f>
        <v>222584</v>
      </c>
      <c r="C10" s="128">
        <f t="shared" si="1"/>
        <v>327320</v>
      </c>
      <c r="D10" s="220">
        <f>D8-D9</f>
        <v>338135</v>
      </c>
      <c r="E10" s="128">
        <f t="shared" si="1"/>
        <v>504205</v>
      </c>
      <c r="F10" s="128">
        <f t="shared" si="1"/>
        <v>564707</v>
      </c>
      <c r="G10" s="128">
        <f t="shared" si="1"/>
        <v>652751</v>
      </c>
      <c r="H10" s="128">
        <f t="shared" si="1"/>
        <v>927514</v>
      </c>
      <c r="I10" s="128">
        <f t="shared" si="1"/>
        <v>1179092</v>
      </c>
      <c r="J10" s="220">
        <f>Proforma!B7</f>
        <v>1179092</v>
      </c>
      <c r="K10" s="128">
        <f>Proforma!C7</f>
        <v>1151177.3624012421</v>
      </c>
      <c r="L10" s="128">
        <f>Proforma!D7</f>
        <v>1364699.367385583</v>
      </c>
      <c r="M10" s="128">
        <f>Proforma!E7</f>
        <v>1617825.7357822079</v>
      </c>
      <c r="N10" s="128">
        <f>Proforma!F7</f>
        <v>1917902.340918819</v>
      </c>
      <c r="O10" s="128">
        <f>Proforma!G7</f>
        <v>2273637.5790952728</v>
      </c>
      <c r="P10" s="128">
        <f>Proforma!H7</f>
        <v>2695355.0922711054</v>
      </c>
      <c r="Q10" s="128">
        <f>Proforma!I7</f>
        <v>3195293.3661145112</v>
      </c>
      <c r="R10" s="128">
        <f>Proforma!J7</f>
        <v>3787960.8979210723</v>
      </c>
      <c r="S10" s="137">
        <f>Proforma!K7</f>
        <v>4490557.2415803056</v>
      </c>
      <c r="T10" s="219"/>
      <c r="U10" s="219"/>
      <c r="V10" s="219"/>
      <c r="W10" s="219"/>
      <c r="X10" s="219"/>
    </row>
    <row r="11" spans="1:25" ht="15" x14ac:dyDescent="0.15">
      <c r="A11" s="161" t="s">
        <v>98</v>
      </c>
      <c r="B11" s="128">
        <v>-3057</v>
      </c>
      <c r="C11" s="128">
        <v>-6028</v>
      </c>
      <c r="D11" s="220">
        <v>-7261</v>
      </c>
      <c r="E11" s="128">
        <v>-2637</v>
      </c>
      <c r="F11" s="128">
        <v>-1901</v>
      </c>
      <c r="G11" s="128">
        <v>-15563</v>
      </c>
      <c r="H11" s="128">
        <v>-52208</v>
      </c>
      <c r="I11" s="128">
        <v>-68389</v>
      </c>
      <c r="J11" s="544" t="s">
        <v>99</v>
      </c>
      <c r="K11" s="545"/>
      <c r="L11" s="545"/>
      <c r="M11" s="545"/>
      <c r="N11" s="545"/>
      <c r="O11" s="545"/>
      <c r="P11" s="545"/>
      <c r="Q11" s="545"/>
      <c r="R11" s="545"/>
      <c r="S11" s="546"/>
      <c r="T11" s="219"/>
      <c r="U11" s="113"/>
      <c r="V11" s="113"/>
      <c r="W11" s="113"/>
      <c r="X11" s="113"/>
    </row>
    <row r="12" spans="1:25" ht="15.75" customHeight="1" x14ac:dyDescent="0.15">
      <c r="A12" s="161" t="s">
        <v>100</v>
      </c>
      <c r="B12" s="128">
        <v>4585</v>
      </c>
      <c r="C12" s="128">
        <v>4661</v>
      </c>
      <c r="D12" s="220">
        <v>5046</v>
      </c>
      <c r="E12" s="128">
        <v>6028</v>
      </c>
      <c r="F12" s="128">
        <v>2083</v>
      </c>
      <c r="G12" s="128">
        <v>3442</v>
      </c>
      <c r="H12" s="128">
        <v>2564</v>
      </c>
      <c r="I12" s="128">
        <v>3517</v>
      </c>
      <c r="J12" s="220">
        <f>Proforma!B9</f>
        <v>3517</v>
      </c>
      <c r="K12" s="128">
        <f>Proforma!C9</f>
        <v>7533.2584890224616</v>
      </c>
      <c r="L12" s="128">
        <f>Proforma!D9</f>
        <v>8930.5379258645626</v>
      </c>
      <c r="M12" s="128">
        <f>Proforma!E9</f>
        <v>10586.986728455473</v>
      </c>
      <c r="N12" s="128">
        <f>Proforma!F9</f>
        <v>12550.675997229077</v>
      </c>
      <c r="O12" s="128">
        <f>Proforma!G9</f>
        <v>14878.593128302</v>
      </c>
      <c r="P12" s="128">
        <f>Proforma!H9</f>
        <v>17638.295620604811</v>
      </c>
      <c r="Q12" s="128">
        <f>Proforma!I9</f>
        <v>20909.871633498438</v>
      </c>
      <c r="R12" s="128">
        <f>Proforma!J9</f>
        <v>24788.264191389626</v>
      </c>
      <c r="S12" s="137">
        <f>Proforma!K9</f>
        <v>29386.026485104921</v>
      </c>
      <c r="T12" s="219"/>
      <c r="U12" s="113"/>
      <c r="V12" s="113"/>
      <c r="W12" s="113"/>
      <c r="X12" s="113"/>
    </row>
    <row r="13" spans="1:25" ht="15.75" customHeight="1" x14ac:dyDescent="0.15">
      <c r="A13" s="161" t="s">
        <v>101</v>
      </c>
      <c r="B13" s="128">
        <v>360</v>
      </c>
      <c r="C13" s="128">
        <v>-247</v>
      </c>
      <c r="D13" s="220">
        <v>-516</v>
      </c>
      <c r="E13" s="128">
        <v>-700</v>
      </c>
      <c r="F13" s="128">
        <v>-113</v>
      </c>
      <c r="G13" s="128">
        <v>-1210</v>
      </c>
      <c r="H13" s="128">
        <v>-1783</v>
      </c>
      <c r="I13" s="128">
        <v>665</v>
      </c>
      <c r="J13" s="541" t="s">
        <v>102</v>
      </c>
      <c r="K13" s="542"/>
      <c r="L13" s="542"/>
      <c r="M13" s="542"/>
      <c r="N13" s="542"/>
      <c r="O13" s="542"/>
      <c r="P13" s="542"/>
      <c r="Q13" s="542"/>
      <c r="R13" s="542"/>
      <c r="S13" s="543"/>
      <c r="T13" s="219"/>
      <c r="U13" s="113"/>
      <c r="V13" s="113"/>
      <c r="W13" s="113"/>
      <c r="X13" s="113"/>
    </row>
    <row r="14" spans="1:25" ht="15.75" customHeight="1" x14ac:dyDescent="0.15">
      <c r="A14" s="161" t="s">
        <v>103</v>
      </c>
      <c r="B14" s="128">
        <v>1888</v>
      </c>
      <c r="C14" s="128">
        <f t="shared" ref="C14:H14" si="2">SUM(C11:C13)</f>
        <v>-1614</v>
      </c>
      <c r="D14" s="220">
        <f t="shared" si="2"/>
        <v>-2731</v>
      </c>
      <c r="E14" s="128">
        <f t="shared" si="2"/>
        <v>2691</v>
      </c>
      <c r="F14" s="128">
        <f t="shared" si="2"/>
        <v>69</v>
      </c>
      <c r="G14" s="128">
        <f t="shared" si="2"/>
        <v>-13331</v>
      </c>
      <c r="H14" s="128">
        <f t="shared" si="2"/>
        <v>-51427</v>
      </c>
      <c r="I14" s="128">
        <f>SUM(I11:I13)</f>
        <v>-64207</v>
      </c>
      <c r="J14" s="541"/>
      <c r="K14" s="542"/>
      <c r="L14" s="542"/>
      <c r="M14" s="542"/>
      <c r="N14" s="542"/>
      <c r="O14" s="542"/>
      <c r="P14" s="542"/>
      <c r="Q14" s="542"/>
      <c r="R14" s="542"/>
      <c r="S14" s="543"/>
      <c r="T14" s="219"/>
      <c r="U14" s="113"/>
      <c r="V14" s="113"/>
      <c r="W14" s="113"/>
      <c r="X14" s="113"/>
    </row>
    <row r="15" spans="1:25" ht="15.75" customHeight="1" x14ac:dyDescent="0.15">
      <c r="A15" s="161" t="s">
        <v>104</v>
      </c>
      <c r="B15" s="128">
        <f t="shared" ref="B15:I15" si="3">B10-B14</f>
        <v>220696</v>
      </c>
      <c r="C15" s="128">
        <f t="shared" si="3"/>
        <v>328934</v>
      </c>
      <c r="D15" s="220">
        <f t="shared" si="3"/>
        <v>340866</v>
      </c>
      <c r="E15" s="128">
        <f t="shared" si="3"/>
        <v>501514</v>
      </c>
      <c r="F15" s="128">
        <f t="shared" si="3"/>
        <v>564638</v>
      </c>
      <c r="G15" s="128">
        <f t="shared" si="3"/>
        <v>666082</v>
      </c>
      <c r="H15" s="128">
        <f t="shared" si="3"/>
        <v>978941</v>
      </c>
      <c r="I15" s="128">
        <f t="shared" si="3"/>
        <v>1243299</v>
      </c>
      <c r="J15" s="220">
        <f>Proforma!C11</f>
        <v>1143644.1039122196</v>
      </c>
      <c r="K15" s="128">
        <f>Proforma!D11</f>
        <v>1355768.8294597184</v>
      </c>
      <c r="L15" s="128">
        <f>Proforma!E11</f>
        <v>1607238.7490537525</v>
      </c>
      <c r="M15" s="128">
        <f>Proforma!F11</f>
        <v>1905351.6649215899</v>
      </c>
      <c r="N15" s="128">
        <f>Proforma!G11</f>
        <v>2258758.9859669707</v>
      </c>
      <c r="O15" s="128">
        <f>Proforma!H11</f>
        <v>2677716.7966505005</v>
      </c>
      <c r="P15" s="128">
        <f>Proforma!I11</f>
        <v>3174383.4944810127</v>
      </c>
      <c r="Q15" s="128">
        <f>Proforma!J11</f>
        <v>3763172.6337296828</v>
      </c>
      <c r="R15" s="128">
        <f>Proforma!K11</f>
        <v>4461171.2150952006</v>
      </c>
      <c r="S15" s="137">
        <f>Proforma!L11</f>
        <v>5288635.5603274712</v>
      </c>
      <c r="T15" s="219"/>
      <c r="U15" s="219"/>
      <c r="V15" s="219"/>
      <c r="W15" s="219"/>
      <c r="X15" s="219"/>
    </row>
    <row r="16" spans="1:25" ht="15.75" customHeight="1" x14ac:dyDescent="0.15">
      <c r="A16" s="161" t="s">
        <v>105</v>
      </c>
      <c r="B16" s="128">
        <v>106302</v>
      </c>
      <c r="C16" s="128">
        <v>64626</v>
      </c>
      <c r="D16" s="220">
        <v>64724</v>
      </c>
      <c r="E16" s="128">
        <v>118939</v>
      </c>
      <c r="F16" s="128">
        <v>112689</v>
      </c>
      <c r="G16" s="128">
        <v>149260</v>
      </c>
      <c r="H16" s="128">
        <v>219378</v>
      </c>
      <c r="I16" s="128">
        <v>277208</v>
      </c>
      <c r="J16" s="220">
        <f>Proforma!C12</f>
        <v>247363.32290870472</v>
      </c>
      <c r="K16" s="128">
        <f>Proforma!D12</f>
        <v>293244.62182243896</v>
      </c>
      <c r="L16" s="128">
        <f>Proforma!E12</f>
        <v>347636.04893649818</v>
      </c>
      <c r="M16" s="128">
        <f>Proforma!F12</f>
        <v>412116.07486310537</v>
      </c>
      <c r="N16" s="128">
        <f>Proforma!G12</f>
        <v>488555.94717565371</v>
      </c>
      <c r="O16" s="128">
        <f>Proforma!H12</f>
        <v>579173.99509345985</v>
      </c>
      <c r="P16" s="128">
        <f>Proforma!I12</f>
        <v>686600.0066762371</v>
      </c>
      <c r="Q16" s="128">
        <f>Proforma!J12</f>
        <v>813951.54679162777</v>
      </c>
      <c r="R16" s="128">
        <f>Proforma!K12</f>
        <v>964924.43064727599</v>
      </c>
      <c r="S16" s="137">
        <f>Proforma!L12</f>
        <v>1143899.9784815528</v>
      </c>
      <c r="T16" s="219"/>
      <c r="U16" s="113"/>
      <c r="V16" s="113"/>
      <c r="W16" s="113"/>
      <c r="X16" s="113"/>
    </row>
    <row r="17" spans="1:24" ht="15.75" customHeight="1" x14ac:dyDescent="0.15">
      <c r="A17" s="221" t="s">
        <v>106</v>
      </c>
      <c r="B17" s="222">
        <f t="shared" ref="B17:G17" si="4">B15-B16</f>
        <v>114394</v>
      </c>
      <c r="C17" s="222">
        <f t="shared" si="4"/>
        <v>264308</v>
      </c>
      <c r="D17" s="222">
        <f t="shared" si="4"/>
        <v>276142</v>
      </c>
      <c r="E17" s="222">
        <f t="shared" si="4"/>
        <v>382575</v>
      </c>
      <c r="F17" s="222">
        <f t="shared" si="4"/>
        <v>451949</v>
      </c>
      <c r="G17" s="222">
        <f t="shared" si="4"/>
        <v>516822</v>
      </c>
      <c r="H17" s="222">
        <v>759563</v>
      </c>
      <c r="I17" s="222">
        <v>966091</v>
      </c>
      <c r="J17" s="223">
        <f>Proforma!C13</f>
        <v>896280.78100351489</v>
      </c>
      <c r="K17" s="224">
        <f>Proforma!D13</f>
        <v>1062524.2076372795</v>
      </c>
      <c r="L17" s="224">
        <f>Proforma!E13</f>
        <v>1259602.7001172544</v>
      </c>
      <c r="M17" s="224">
        <f>Proforma!F13</f>
        <v>1493235.5900584846</v>
      </c>
      <c r="N17" s="224">
        <f>Proforma!G13</f>
        <v>1770203.038791317</v>
      </c>
      <c r="O17" s="224">
        <f>Proforma!H13</f>
        <v>2098542.8015570408</v>
      </c>
      <c r="P17" s="224">
        <f>Proforma!I13</f>
        <v>2487783.4878047756</v>
      </c>
      <c r="Q17" s="224">
        <f>Proforma!J13</f>
        <v>2949221.0869380552</v>
      </c>
      <c r="R17" s="224">
        <f>Proforma!K13</f>
        <v>3496246.7844479247</v>
      </c>
      <c r="S17" s="225">
        <f>Proforma!L13</f>
        <v>4144735.5818459187</v>
      </c>
      <c r="T17" s="219"/>
      <c r="U17" s="219"/>
      <c r="V17" s="219"/>
      <c r="W17" s="219"/>
      <c r="X17" s="219"/>
    </row>
    <row r="18" spans="1:24" ht="15.75" customHeight="1" x14ac:dyDescent="0.15">
      <c r="A18" s="467" t="s">
        <v>107</v>
      </c>
      <c r="B18" s="128"/>
      <c r="C18" s="128"/>
      <c r="D18" s="220"/>
      <c r="E18" s="128"/>
      <c r="F18" s="128"/>
      <c r="G18" s="128"/>
      <c r="H18" s="128"/>
      <c r="I18" s="137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13"/>
      <c r="U18" s="113"/>
      <c r="V18" s="113"/>
      <c r="W18" s="113"/>
      <c r="X18" s="113"/>
    </row>
    <row r="19" spans="1:24" ht="15.75" customHeight="1" x14ac:dyDescent="0.15">
      <c r="A19" s="161" t="s">
        <v>108</v>
      </c>
      <c r="B19" s="128">
        <v>-613</v>
      </c>
      <c r="C19" s="128">
        <v>-243</v>
      </c>
      <c r="D19" s="220">
        <v>0</v>
      </c>
      <c r="E19" s="128">
        <v>0</v>
      </c>
      <c r="F19" s="128">
        <v>0</v>
      </c>
      <c r="G19" s="128">
        <v>0</v>
      </c>
      <c r="H19" s="128">
        <v>0</v>
      </c>
      <c r="I19" s="137">
        <v>1584</v>
      </c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13"/>
      <c r="U19" s="113"/>
      <c r="V19" s="113"/>
      <c r="W19" s="113"/>
      <c r="X19" s="113"/>
    </row>
    <row r="20" spans="1:24" ht="15.75" customHeight="1" x14ac:dyDescent="0.15">
      <c r="A20" s="161" t="s">
        <v>109</v>
      </c>
      <c r="B20" s="128">
        <v>14081</v>
      </c>
      <c r="C20" s="128">
        <v>-9428</v>
      </c>
      <c r="D20" s="220">
        <v>-2905</v>
      </c>
      <c r="E20" s="128">
        <v>8816</v>
      </c>
      <c r="F20" s="128">
        <v>-8212</v>
      </c>
      <c r="G20" s="128">
        <v>-14080</v>
      </c>
      <c r="H20" s="128">
        <v>-11698</v>
      </c>
      <c r="I20" s="137">
        <v>-505</v>
      </c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13"/>
      <c r="U20" s="113"/>
      <c r="V20" s="113"/>
      <c r="W20" s="113"/>
      <c r="X20" s="113"/>
    </row>
    <row r="21" spans="1:24" ht="15.75" customHeight="1" x14ac:dyDescent="0.15">
      <c r="A21" s="227" t="s">
        <v>110</v>
      </c>
      <c r="B21" s="146">
        <f t="shared" ref="B21:I21" si="5">B20+B19</f>
        <v>13468</v>
      </c>
      <c r="C21" s="146">
        <f t="shared" si="5"/>
        <v>-9671</v>
      </c>
      <c r="D21" s="146">
        <f t="shared" si="5"/>
        <v>-2905</v>
      </c>
      <c r="E21" s="146">
        <f t="shared" si="5"/>
        <v>8816</v>
      </c>
      <c r="F21" s="146">
        <f t="shared" si="5"/>
        <v>-8212</v>
      </c>
      <c r="G21" s="146">
        <f t="shared" si="5"/>
        <v>-14080</v>
      </c>
      <c r="H21" s="146">
        <f t="shared" si="5"/>
        <v>-11698</v>
      </c>
      <c r="I21" s="148">
        <f t="shared" si="5"/>
        <v>1079</v>
      </c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19"/>
      <c r="U21" s="219"/>
      <c r="V21" s="219"/>
      <c r="W21" s="219"/>
      <c r="X21" s="219"/>
    </row>
    <row r="22" spans="1:24" ht="15.75" customHeight="1" x14ac:dyDescent="0.15">
      <c r="A22" s="221" t="s">
        <v>111</v>
      </c>
      <c r="B22" s="222">
        <f t="shared" ref="B22:I22" si="6">B17+B21</f>
        <v>127862</v>
      </c>
      <c r="C22" s="222">
        <f t="shared" si="6"/>
        <v>254637</v>
      </c>
      <c r="D22" s="222">
        <f t="shared" si="6"/>
        <v>273237</v>
      </c>
      <c r="E22" s="222">
        <f t="shared" si="6"/>
        <v>391391</v>
      </c>
      <c r="F22" s="222">
        <f t="shared" si="6"/>
        <v>443737</v>
      </c>
      <c r="G22" s="222">
        <f t="shared" si="6"/>
        <v>502742</v>
      </c>
      <c r="H22" s="222">
        <f t="shared" si="6"/>
        <v>747865</v>
      </c>
      <c r="I22" s="229">
        <f t="shared" si="6"/>
        <v>967170</v>
      </c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19"/>
      <c r="U22" s="219"/>
      <c r="V22" s="219"/>
      <c r="W22" s="219"/>
      <c r="X22" s="219"/>
    </row>
    <row r="23" spans="1:24" ht="15.75" customHeight="1" x14ac:dyDescent="0.15">
      <c r="A23" s="161" t="s">
        <v>112</v>
      </c>
      <c r="B23" s="128"/>
      <c r="C23" s="128"/>
      <c r="D23" s="220"/>
      <c r="E23" s="128"/>
      <c r="F23" s="128"/>
      <c r="G23" s="128"/>
      <c r="H23" s="128"/>
      <c r="I23" s="137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13"/>
      <c r="U23" s="113"/>
      <c r="V23" s="113"/>
      <c r="W23" s="113"/>
      <c r="X23" s="113"/>
    </row>
    <row r="24" spans="1:24" ht="15.75" customHeight="1" x14ac:dyDescent="0.15">
      <c r="A24" s="161" t="s">
        <v>113</v>
      </c>
      <c r="B24" s="230">
        <v>3.6</v>
      </c>
      <c r="C24" s="230">
        <v>8.92</v>
      </c>
      <c r="D24" s="220">
        <v>9.73</v>
      </c>
      <c r="E24" s="128">
        <v>13.64</v>
      </c>
      <c r="F24" s="128">
        <v>16.43</v>
      </c>
      <c r="G24" s="128">
        <v>19.5</v>
      </c>
      <c r="H24" s="128">
        <v>4.8899999999999997</v>
      </c>
      <c r="I24" s="137">
        <v>6.36</v>
      </c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13"/>
      <c r="U24" s="113"/>
      <c r="V24" s="113"/>
      <c r="W24" s="113"/>
      <c r="X24" s="113"/>
    </row>
    <row r="25" spans="1:24" ht="15.75" customHeight="1" x14ac:dyDescent="0.15">
      <c r="A25" s="161" t="s">
        <v>114</v>
      </c>
      <c r="B25" s="230">
        <v>3.58</v>
      </c>
      <c r="C25" s="230">
        <v>8.84</v>
      </c>
      <c r="D25" s="220">
        <v>9.6199999999999992</v>
      </c>
      <c r="E25" s="128">
        <v>13.47</v>
      </c>
      <c r="F25" s="128">
        <v>16.260000000000002</v>
      </c>
      <c r="G25" s="128">
        <v>19.37</v>
      </c>
      <c r="H25" s="128">
        <v>4.8600000000000003</v>
      </c>
      <c r="I25" s="137">
        <v>6.33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13"/>
      <c r="U25" s="113"/>
      <c r="V25" s="113"/>
      <c r="W25" s="113"/>
      <c r="X25" s="113"/>
    </row>
    <row r="26" spans="1:24" ht="15.75" customHeight="1" x14ac:dyDescent="0.15">
      <c r="A26" s="226" t="s">
        <v>115</v>
      </c>
      <c r="B26" s="231"/>
      <c r="C26" s="231"/>
      <c r="D26" s="232"/>
      <c r="E26" s="231"/>
      <c r="F26" s="231"/>
      <c r="G26" s="231"/>
      <c r="H26" s="231"/>
      <c r="I26" s="233"/>
      <c r="J26" s="228"/>
      <c r="K26" s="228"/>
      <c r="L26" s="228"/>
      <c r="M26" s="228"/>
      <c r="N26" s="228"/>
      <c r="O26" s="228"/>
      <c r="P26" s="228"/>
      <c r="Q26" s="228"/>
      <c r="R26" s="228"/>
      <c r="S26" s="228"/>
      <c r="T26" s="219"/>
      <c r="U26" s="219"/>
      <c r="V26" s="219"/>
      <c r="W26" s="219"/>
      <c r="X26" s="219"/>
    </row>
    <row r="27" spans="1:24" ht="15.75" customHeight="1" x14ac:dyDescent="0.15">
      <c r="A27" s="161" t="s">
        <v>113</v>
      </c>
      <c r="B27" s="128">
        <v>31758</v>
      </c>
      <c r="C27" s="128">
        <v>29641</v>
      </c>
      <c r="D27" s="220">
        <v>28385</v>
      </c>
      <c r="E27" s="128">
        <v>28055</v>
      </c>
      <c r="F27" s="128">
        <v>27508</v>
      </c>
      <c r="G27" s="128">
        <v>26504</v>
      </c>
      <c r="H27" s="128">
        <v>155225</v>
      </c>
      <c r="I27" s="137">
        <v>151992</v>
      </c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13"/>
      <c r="U27" s="113"/>
      <c r="V27" s="113"/>
      <c r="W27" s="113"/>
      <c r="X27" s="113"/>
    </row>
    <row r="28" spans="1:24" ht="15.75" customHeight="1" x14ac:dyDescent="0.15">
      <c r="A28" s="234" t="s">
        <v>114</v>
      </c>
      <c r="B28" s="235">
        <v>31996</v>
      </c>
      <c r="C28" s="235">
        <v>29903</v>
      </c>
      <c r="D28" s="236">
        <v>28694</v>
      </c>
      <c r="E28" s="235">
        <v>28406</v>
      </c>
      <c r="F28" s="235">
        <v>27789</v>
      </c>
      <c r="G28" s="235">
        <v>26686</v>
      </c>
      <c r="H28" s="235">
        <v>156285</v>
      </c>
      <c r="I28" s="237">
        <v>152670</v>
      </c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13"/>
      <c r="U28" s="113"/>
      <c r="V28" s="113"/>
      <c r="W28" s="113"/>
      <c r="X28" s="113"/>
    </row>
    <row r="29" spans="1:24" ht="15.75" customHeight="1" x14ac:dyDescent="0.15">
      <c r="A29" s="125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13"/>
      <c r="U29" s="113"/>
      <c r="V29" s="113"/>
      <c r="W29" s="113"/>
      <c r="X29" s="113"/>
    </row>
    <row r="30" spans="1:24" ht="15.75" customHeight="1" x14ac:dyDescent="0.15">
      <c r="A30" s="125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13"/>
      <c r="U30" s="113"/>
      <c r="V30" s="113"/>
      <c r="W30" s="113"/>
      <c r="X30" s="113"/>
    </row>
    <row r="31" spans="1:24" ht="15.75" customHeight="1" x14ac:dyDescent="0.15">
      <c r="A31" s="169" t="s">
        <v>116</v>
      </c>
      <c r="B31" s="238"/>
      <c r="C31" s="238"/>
      <c r="D31" s="547" t="s">
        <v>4</v>
      </c>
      <c r="E31" s="548"/>
      <c r="F31" s="548"/>
      <c r="G31" s="548"/>
      <c r="H31" s="548"/>
      <c r="I31" s="549"/>
      <c r="J31" s="239" t="s">
        <v>117</v>
      </c>
      <c r="K31" s="538" t="s">
        <v>5</v>
      </c>
      <c r="L31" s="538"/>
      <c r="M31" s="538"/>
      <c r="N31" s="538"/>
      <c r="O31" s="538"/>
      <c r="P31" s="550" t="s">
        <v>118</v>
      </c>
      <c r="Q31" s="168"/>
      <c r="R31" s="168"/>
      <c r="S31" s="168"/>
      <c r="T31" s="113"/>
      <c r="U31" s="113"/>
      <c r="V31" s="113"/>
      <c r="W31" s="113"/>
      <c r="X31" s="113"/>
    </row>
    <row r="32" spans="1:24" ht="15.75" customHeight="1" x14ac:dyDescent="0.15">
      <c r="A32" s="173" t="s">
        <v>54</v>
      </c>
      <c r="B32" s="240"/>
      <c r="C32" s="240"/>
      <c r="D32" s="241">
        <v>2020</v>
      </c>
      <c r="E32" s="242">
        <v>2021</v>
      </c>
      <c r="F32" s="242">
        <v>2022</v>
      </c>
      <c r="G32" s="242">
        <v>2023</v>
      </c>
      <c r="H32" s="242">
        <v>2024</v>
      </c>
      <c r="I32" s="243">
        <v>2025</v>
      </c>
      <c r="J32" s="244"/>
      <c r="K32" s="245">
        <f>N5+1</f>
        <v>2031</v>
      </c>
      <c r="L32" s="246">
        <f>O5+1</f>
        <v>2032</v>
      </c>
      <c r="M32" s="246">
        <f>P5+1</f>
        <v>2033</v>
      </c>
      <c r="N32" s="246">
        <f>Q5+1</f>
        <v>2034</v>
      </c>
      <c r="O32" s="246">
        <f>R5+1</f>
        <v>2035</v>
      </c>
      <c r="P32" s="551"/>
      <c r="Q32" s="168"/>
      <c r="R32" s="168"/>
      <c r="S32" s="168"/>
      <c r="T32" s="113"/>
      <c r="U32" s="113"/>
      <c r="V32" s="113"/>
      <c r="W32" s="113"/>
      <c r="X32" s="113"/>
    </row>
    <row r="33" spans="1:24" ht="15.75" customHeight="1" x14ac:dyDescent="0.15">
      <c r="A33" s="247" t="s">
        <v>119</v>
      </c>
      <c r="B33" s="168"/>
      <c r="C33" s="168"/>
      <c r="D33" s="248"/>
      <c r="E33" s="249">
        <f t="shared" ref="E33:I33" si="7">E6/D6-1</f>
        <v>0.19362973223006263</v>
      </c>
      <c r="F33" s="249">
        <f t="shared" si="7"/>
        <v>0.23754252858121006</v>
      </c>
      <c r="G33" s="249">
        <f t="shared" si="7"/>
        <v>0.15139545299728052</v>
      </c>
      <c r="H33" s="249">
        <f t="shared" si="7"/>
        <v>0.18208572469885187</v>
      </c>
      <c r="I33" s="249">
        <f t="shared" si="7"/>
        <v>0.16275363167227286</v>
      </c>
      <c r="J33" s="250">
        <f t="shared" ref="J33:J43" si="8">AVERAGE(D33:I33)</f>
        <v>0.1854814140359356</v>
      </c>
      <c r="K33" s="251">
        <f>10%</f>
        <v>0.1</v>
      </c>
      <c r="L33" s="252">
        <v>0.08</v>
      </c>
      <c r="M33" s="252">
        <v>7.0000000000000007E-2</v>
      </c>
      <c r="N33" s="252">
        <v>0.05</v>
      </c>
      <c r="O33" s="252">
        <v>0.05</v>
      </c>
      <c r="P33" s="253" t="s">
        <v>120</v>
      </c>
      <c r="Q33" s="168"/>
      <c r="R33" s="168"/>
      <c r="S33" s="168"/>
      <c r="T33" s="113"/>
      <c r="U33" s="113"/>
      <c r="V33" s="113"/>
      <c r="W33" s="113"/>
      <c r="X33" s="113"/>
    </row>
    <row r="34" spans="1:24" ht="15.75" customHeight="1" x14ac:dyDescent="0.15">
      <c r="A34" s="247" t="s">
        <v>121</v>
      </c>
      <c r="B34" s="168"/>
      <c r="C34" s="168"/>
      <c r="D34" s="254"/>
      <c r="E34" s="249">
        <f>E7/D7-1</f>
        <v>0.13851582482682478</v>
      </c>
      <c r="F34" s="249">
        <f t="shared" ref="F34:I34" si="9">F7/E7-1</f>
        <v>0.31687651668599992</v>
      </c>
      <c r="G34" s="249">
        <f t="shared" si="9"/>
        <v>0.16796086046819125</v>
      </c>
      <c r="H34" s="249">
        <f t="shared" si="9"/>
        <v>5.5695715005583013E-2</v>
      </c>
      <c r="I34" s="249">
        <f t="shared" si="9"/>
        <v>0.10391452339961371</v>
      </c>
      <c r="J34" s="255">
        <f t="shared" si="8"/>
        <v>0.15659268807724253</v>
      </c>
      <c r="K34" s="168"/>
      <c r="L34" s="168"/>
      <c r="M34" s="168"/>
      <c r="N34" s="168"/>
      <c r="O34" s="168"/>
      <c r="P34" s="168"/>
      <c r="Q34" s="168"/>
      <c r="R34" s="168"/>
      <c r="S34" s="168"/>
      <c r="T34" s="113"/>
      <c r="U34" s="113"/>
      <c r="V34" s="113"/>
      <c r="W34" s="113"/>
      <c r="X34" s="113"/>
    </row>
    <row r="35" spans="1:24" ht="15.75" customHeight="1" x14ac:dyDescent="0.15">
      <c r="A35" s="247" t="s">
        <v>122</v>
      </c>
      <c r="B35" s="168"/>
      <c r="C35" s="168"/>
      <c r="D35" s="254"/>
      <c r="E35" s="249">
        <f t="shared" ref="E35:I35" si="10">E9/D9-1</f>
        <v>0.13630544793334876</v>
      </c>
      <c r="F35" s="249">
        <f t="shared" si="10"/>
        <v>0.19882973036665774</v>
      </c>
      <c r="G35" s="249">
        <f t="shared" si="10"/>
        <v>0.12444334914905775</v>
      </c>
      <c r="H35" s="249">
        <f t="shared" si="10"/>
        <v>0.24334843627810909</v>
      </c>
      <c r="I35" s="249">
        <f t="shared" si="10"/>
        <v>0.1705085275869116</v>
      </c>
      <c r="J35" s="255">
        <f t="shared" si="8"/>
        <v>0.17468709826281698</v>
      </c>
      <c r="K35" s="168"/>
      <c r="L35" s="168"/>
      <c r="M35" s="168"/>
      <c r="N35" s="168"/>
      <c r="O35" s="168"/>
      <c r="P35" s="168"/>
      <c r="Q35" s="168"/>
      <c r="R35" s="168"/>
      <c r="S35" s="168"/>
      <c r="T35" s="113"/>
      <c r="U35" s="113"/>
      <c r="V35" s="113"/>
      <c r="W35" s="113"/>
      <c r="X35" s="113"/>
    </row>
    <row r="36" spans="1:24" ht="15.75" customHeight="1" x14ac:dyDescent="0.15">
      <c r="A36" s="247" t="s">
        <v>123</v>
      </c>
      <c r="B36" s="168"/>
      <c r="C36" s="168"/>
      <c r="D36" s="249">
        <f>D7/D6</f>
        <v>0.48249697916573864</v>
      </c>
      <c r="E36" s="249">
        <f>E7/E6</f>
        <v>0.46021846756867918</v>
      </c>
      <c r="F36" s="249">
        <f>F7/F6</f>
        <v>0.48972126491783902</v>
      </c>
      <c r="G36" s="249">
        <f t="shared" ref="G36:H36" si="11">G7/G6</f>
        <v>0.49676700431121229</v>
      </c>
      <c r="H36" s="249">
        <f t="shared" si="11"/>
        <v>0.44365208618106922</v>
      </c>
      <c r="I36" s="249">
        <f>I7/I6</f>
        <v>0.4212018504448401</v>
      </c>
      <c r="J36" s="255">
        <f t="shared" si="8"/>
        <v>0.46567627543156309</v>
      </c>
      <c r="K36" s="168"/>
      <c r="L36" s="168"/>
      <c r="M36" s="168"/>
      <c r="N36" s="168"/>
      <c r="O36" s="168"/>
      <c r="P36" s="168"/>
      <c r="Q36" s="168"/>
      <c r="R36" s="168"/>
      <c r="S36" s="168"/>
      <c r="T36" s="113"/>
      <c r="U36" s="113"/>
      <c r="V36" s="113"/>
      <c r="W36" s="113"/>
      <c r="X36" s="113"/>
    </row>
    <row r="37" spans="1:24" ht="15.75" customHeight="1" x14ac:dyDescent="0.15">
      <c r="A37" s="247" t="s">
        <v>124</v>
      </c>
      <c r="B37" s="168"/>
      <c r="C37" s="168"/>
      <c r="D37" s="249">
        <f>D9/D6</f>
        <v>0.35895435293190897</v>
      </c>
      <c r="E37" s="249">
        <f t="shared" ref="E37:I37" si="12">E9/E6</f>
        <v>0.34171550505354054</v>
      </c>
      <c r="F37" s="249">
        <f t="shared" si="12"/>
        <v>0.3310259626027548</v>
      </c>
      <c r="G37" s="249">
        <f t="shared" si="12"/>
        <v>0.32327723813341436</v>
      </c>
      <c r="H37" s="249">
        <f t="shared" si="12"/>
        <v>0.34003138699596969</v>
      </c>
      <c r="I37" s="249">
        <f t="shared" si="12"/>
        <v>0.34229920017843346</v>
      </c>
      <c r="J37" s="255">
        <f t="shared" si="8"/>
        <v>0.33955060764933692</v>
      </c>
      <c r="K37" s="168"/>
      <c r="L37" s="168"/>
      <c r="M37" s="168"/>
      <c r="N37" s="168"/>
      <c r="O37" s="168"/>
      <c r="P37" s="168"/>
      <c r="Q37" s="168"/>
      <c r="R37" s="168"/>
      <c r="S37" s="168"/>
      <c r="T37" s="113"/>
      <c r="U37" s="113"/>
      <c r="V37" s="113"/>
      <c r="W37" s="113"/>
      <c r="X37" s="113"/>
    </row>
    <row r="38" spans="1:24" ht="15.75" customHeight="1" x14ac:dyDescent="0.15">
      <c r="A38" s="247" t="s">
        <v>125</v>
      </c>
      <c r="B38" s="168"/>
      <c r="C38" s="168"/>
      <c r="D38" s="249">
        <f>D16/D15</f>
        <v>0.18988106763361556</v>
      </c>
      <c r="E38" s="249">
        <f t="shared" ref="E38:I38" si="13">E16/E15</f>
        <v>0.23715987988371212</v>
      </c>
      <c r="F38" s="249">
        <f t="shared" si="13"/>
        <v>0.19957742837003531</v>
      </c>
      <c r="G38" s="249">
        <f t="shared" si="13"/>
        <v>0.22408652388144404</v>
      </c>
      <c r="H38" s="249">
        <f t="shared" si="13"/>
        <v>0.22409726428865478</v>
      </c>
      <c r="I38" s="249">
        <f t="shared" si="13"/>
        <v>0.22296165282848293</v>
      </c>
      <c r="J38" s="255">
        <f t="shared" si="8"/>
        <v>0.21629396948099081</v>
      </c>
      <c r="K38" s="168"/>
      <c r="L38" s="168"/>
      <c r="M38" s="168"/>
      <c r="N38" s="168"/>
      <c r="O38" s="168"/>
      <c r="P38" s="168"/>
      <c r="Q38" s="168"/>
      <c r="R38" s="168"/>
      <c r="S38" s="168"/>
      <c r="T38" s="113"/>
      <c r="U38" s="113"/>
      <c r="V38" s="113"/>
      <c r="W38" s="113"/>
      <c r="X38" s="113"/>
    </row>
    <row r="39" spans="1:24" ht="15.75" customHeight="1" x14ac:dyDescent="0.15">
      <c r="A39" s="247" t="s">
        <v>126</v>
      </c>
      <c r="B39" s="168"/>
      <c r="C39" s="168"/>
      <c r="D39" s="249">
        <f>D17/D6</f>
        <v>0.1294806697085229</v>
      </c>
      <c r="E39" s="249">
        <f>E17/E6</f>
        <v>0.15028631295614739</v>
      </c>
      <c r="F39" s="249">
        <f t="shared" ref="F39:I39" si="14">F17/F6</f>
        <v>0.14346043394060132</v>
      </c>
      <c r="G39" s="249">
        <f t="shared" si="14"/>
        <v>0.1424817342773633</v>
      </c>
      <c r="H39" s="249">
        <f t="shared" si="14"/>
        <v>0.17714668464651614</v>
      </c>
      <c r="I39" s="249">
        <f t="shared" si="14"/>
        <v>0.19377580926875176</v>
      </c>
      <c r="J39" s="255">
        <f t="shared" si="8"/>
        <v>0.15610527413298381</v>
      </c>
      <c r="K39" s="168"/>
      <c r="L39" s="168"/>
      <c r="M39" s="168"/>
      <c r="N39" s="168"/>
      <c r="O39" s="168"/>
      <c r="P39" s="168"/>
      <c r="Q39" s="168"/>
      <c r="R39" s="168"/>
      <c r="S39" s="168"/>
      <c r="T39" s="113"/>
      <c r="U39" s="113"/>
      <c r="V39" s="113"/>
      <c r="W39" s="113"/>
      <c r="X39" s="113"/>
    </row>
    <row r="40" spans="1:24" ht="15.75" customHeight="1" x14ac:dyDescent="0.15">
      <c r="A40" s="247" t="s">
        <v>127</v>
      </c>
      <c r="B40" s="168"/>
      <c r="C40" s="168"/>
      <c r="D40" s="249">
        <f t="shared" ref="D40:I40" si="15">D12/D6</f>
        <v>2.3660271141268136E-3</v>
      </c>
      <c r="E40" s="249">
        <f t="shared" si="15"/>
        <v>2.3679694033840594E-3</v>
      </c>
      <c r="F40" s="249">
        <f t="shared" si="15"/>
        <v>6.6119868369721483E-4</v>
      </c>
      <c r="G40" s="249">
        <f t="shared" si="15"/>
        <v>9.4891883353008283E-4</v>
      </c>
      <c r="H40" s="249">
        <f t="shared" si="15"/>
        <v>5.9798081190588195E-4</v>
      </c>
      <c r="I40" s="249">
        <f t="shared" si="15"/>
        <v>7.0542994521033723E-4</v>
      </c>
      <c r="J40" s="255">
        <f t="shared" si="8"/>
        <v>1.2745874653090651E-3</v>
      </c>
      <c r="K40" s="168"/>
      <c r="L40" s="168"/>
      <c r="M40" s="168"/>
      <c r="N40" s="168"/>
      <c r="O40" s="168"/>
      <c r="P40" s="168"/>
      <c r="Q40" s="168"/>
      <c r="R40" s="168"/>
      <c r="S40" s="168"/>
      <c r="T40" s="113"/>
      <c r="U40" s="113"/>
      <c r="V40" s="113"/>
      <c r="W40" s="113"/>
      <c r="X40" s="113"/>
    </row>
    <row r="41" spans="1:24" ht="15.75" customHeight="1" x14ac:dyDescent="0.15">
      <c r="A41" s="247" t="s">
        <v>128</v>
      </c>
      <c r="B41" s="168"/>
      <c r="C41" s="168"/>
      <c r="D41" s="249">
        <f>D10/D6</f>
        <v>0.15854866790235239</v>
      </c>
      <c r="E41" s="249">
        <f t="shared" ref="E41:I41" si="16">E10/E6</f>
        <v>0.19806602737778028</v>
      </c>
      <c r="F41" s="249">
        <f t="shared" si="16"/>
        <v>0.17925277247940619</v>
      </c>
      <c r="G41" s="249">
        <f t="shared" si="16"/>
        <v>0.17995575755537335</v>
      </c>
      <c r="H41" s="249">
        <f t="shared" si="16"/>
        <v>0.21631652682296107</v>
      </c>
      <c r="I41" s="249">
        <f t="shared" si="16"/>
        <v>0.23649894937672647</v>
      </c>
      <c r="J41" s="255">
        <f t="shared" si="8"/>
        <v>0.19477311691909996</v>
      </c>
      <c r="K41" s="168"/>
      <c r="L41" s="168"/>
      <c r="M41" s="168"/>
      <c r="N41" s="168"/>
      <c r="O41" s="168"/>
      <c r="P41" s="168"/>
      <c r="Q41" s="168"/>
      <c r="R41" s="168"/>
      <c r="S41" s="168"/>
      <c r="T41" s="113"/>
      <c r="U41" s="113"/>
      <c r="V41" s="113"/>
      <c r="W41" s="113"/>
      <c r="X41" s="113"/>
    </row>
    <row r="42" spans="1:24" ht="15.75" customHeight="1" x14ac:dyDescent="0.15">
      <c r="A42" s="247" t="s">
        <v>129</v>
      </c>
      <c r="B42" s="168"/>
      <c r="C42" s="168"/>
      <c r="D42" s="249">
        <f t="shared" ref="D42:I42" si="17">D8/D6</f>
        <v>0.51750302083426136</v>
      </c>
      <c r="E42" s="249">
        <f t="shared" si="17"/>
        <v>0.53978153243132088</v>
      </c>
      <c r="F42" s="249">
        <f t="shared" si="17"/>
        <v>0.51027873508216104</v>
      </c>
      <c r="G42" s="249">
        <f t="shared" si="17"/>
        <v>0.50323299568878765</v>
      </c>
      <c r="H42" s="249">
        <f t="shared" si="17"/>
        <v>0.55634791381893078</v>
      </c>
      <c r="I42" s="249">
        <f t="shared" si="17"/>
        <v>0.57879814955515996</v>
      </c>
      <c r="J42" s="255">
        <f t="shared" si="8"/>
        <v>0.53432372456843691</v>
      </c>
      <c r="K42" s="168"/>
      <c r="L42" s="168"/>
      <c r="M42" s="168"/>
      <c r="N42" s="168"/>
      <c r="O42" s="168"/>
      <c r="P42" s="168"/>
      <c r="Q42" s="168"/>
      <c r="R42" s="168"/>
      <c r="S42" s="168"/>
      <c r="T42" s="113"/>
      <c r="U42" s="113"/>
      <c r="V42" s="113"/>
      <c r="W42" s="113"/>
      <c r="X42" s="113"/>
    </row>
    <row r="43" spans="1:24" ht="15.75" customHeight="1" x14ac:dyDescent="0.15">
      <c r="A43" s="256" t="s">
        <v>130</v>
      </c>
      <c r="B43" s="257"/>
      <c r="C43" s="257"/>
      <c r="D43" s="258">
        <f>'Balance Sheet'!D7/'Income Statement'!D6</f>
        <v>0.3045150980757157</v>
      </c>
      <c r="E43" s="258">
        <f>'Balance Sheet'!E7/'Income Statement'!E6</f>
        <v>0.42793190398803288</v>
      </c>
      <c r="F43" s="258">
        <f>'Balance Sheet'!F7/'Income Statement'!F6</f>
        <v>0.26775753339561237</v>
      </c>
      <c r="G43" s="258">
        <f>'Balance Sheet'!G7/'Income Statement'!G6</f>
        <v>0.27066931033284941</v>
      </c>
      <c r="H43" s="258">
        <f>'Balance Sheet'!H7/'Income Statement'!H6</f>
        <v>0.35031110628082757</v>
      </c>
      <c r="I43" s="258">
        <f>'Balance Sheet'!I7/'Income Statement'!I6</f>
        <v>0.37892800322207182</v>
      </c>
      <c r="J43" s="259">
        <f t="shared" si="8"/>
        <v>0.33335215921585165</v>
      </c>
      <c r="K43" s="168"/>
      <c r="L43" s="168"/>
      <c r="M43" s="168"/>
      <c r="N43" s="168"/>
      <c r="O43" s="168"/>
      <c r="P43" s="168"/>
      <c r="Q43" s="168"/>
      <c r="R43" s="168"/>
      <c r="S43" s="168"/>
      <c r="T43" s="113"/>
      <c r="U43" s="113"/>
      <c r="V43" s="113"/>
      <c r="W43" s="113"/>
      <c r="X43" s="113"/>
    </row>
    <row r="44" spans="1:24" ht="15.75" customHeight="1" x14ac:dyDescent="0.15">
      <c r="A44" s="260"/>
      <c r="B44" s="113"/>
      <c r="C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</row>
    <row r="45" spans="1:24" ht="15.75" customHeight="1" x14ac:dyDescent="0.15">
      <c r="A45" s="260"/>
      <c r="B45" s="113"/>
      <c r="C45" s="113"/>
      <c r="D45" s="539"/>
      <c r="E45" s="540"/>
      <c r="F45" s="540"/>
      <c r="G45" s="540"/>
      <c r="H45" s="540"/>
      <c r="I45" s="540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</row>
    <row r="46" spans="1:24" ht="15.75" customHeight="1" x14ac:dyDescent="0.15">
      <c r="A46" s="260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</row>
    <row r="47" spans="1:24" ht="15.75" customHeight="1" x14ac:dyDescent="0.15">
      <c r="A47" s="260"/>
      <c r="B47" s="113"/>
      <c r="C47" s="113"/>
      <c r="D47" s="113"/>
      <c r="E47" s="261"/>
      <c r="F47" s="261"/>
      <c r="G47" s="261"/>
      <c r="H47" s="261"/>
      <c r="I47" s="261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</row>
    <row r="48" spans="1:24" ht="15.75" customHeight="1" x14ac:dyDescent="0.15">
      <c r="A48" s="260"/>
      <c r="B48" s="113"/>
      <c r="C48" s="113"/>
      <c r="D48" s="261"/>
      <c r="E48" s="261"/>
      <c r="F48" s="261"/>
      <c r="G48" s="261"/>
      <c r="H48" s="261"/>
      <c r="I48" s="261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</row>
    <row r="49" spans="1:24" ht="15.75" customHeight="1" x14ac:dyDescent="0.15">
      <c r="A49" s="260"/>
      <c r="B49" s="113"/>
      <c r="C49" s="113"/>
      <c r="D49" s="261"/>
      <c r="E49" s="261"/>
      <c r="F49" s="261"/>
      <c r="G49" s="261"/>
      <c r="H49" s="261"/>
      <c r="I49" s="261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</row>
    <row r="50" spans="1:24" ht="15.75" customHeight="1" x14ac:dyDescent="0.15">
      <c r="A50" s="260"/>
      <c r="B50" s="113"/>
      <c r="C50" s="113"/>
      <c r="D50" s="261"/>
      <c r="E50" s="261"/>
      <c r="F50" s="261"/>
      <c r="G50" s="261"/>
      <c r="H50" s="261"/>
      <c r="I50" s="261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</row>
    <row r="51" spans="1:24" ht="15.75" customHeight="1" x14ac:dyDescent="0.15">
      <c r="A51" s="260"/>
      <c r="B51" s="113"/>
      <c r="C51" s="113"/>
      <c r="D51" s="261"/>
      <c r="E51" s="261"/>
      <c r="F51" s="261"/>
      <c r="G51" s="261"/>
      <c r="H51" s="261"/>
      <c r="I51" s="261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</row>
    <row r="52" spans="1:24" ht="15.75" customHeight="1" x14ac:dyDescent="0.15">
      <c r="A52" s="260"/>
      <c r="B52" s="113"/>
      <c r="C52" s="113"/>
      <c r="D52" s="261"/>
      <c r="E52" s="261"/>
      <c r="F52" s="261"/>
      <c r="G52" s="261"/>
      <c r="H52" s="261"/>
      <c r="I52" s="261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</row>
    <row r="53" spans="1:24" ht="15.75" customHeight="1" x14ac:dyDescent="0.15">
      <c r="A53" s="260"/>
      <c r="B53" s="113"/>
      <c r="C53" s="113"/>
      <c r="D53" s="261"/>
      <c r="E53" s="261"/>
      <c r="F53" s="261"/>
      <c r="G53" s="261"/>
      <c r="H53" s="261"/>
      <c r="I53" s="261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</row>
    <row r="54" spans="1:24" ht="15.75" customHeight="1" x14ac:dyDescent="0.15">
      <c r="A54" s="260"/>
      <c r="B54" s="113"/>
      <c r="C54" s="113"/>
      <c r="D54" s="261"/>
      <c r="E54" s="261"/>
      <c r="F54" s="261"/>
      <c r="G54" s="261"/>
      <c r="H54" s="261"/>
      <c r="I54" s="261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</row>
    <row r="55" spans="1:24" ht="15.75" customHeight="1" x14ac:dyDescent="0.15">
      <c r="A55" s="260"/>
      <c r="B55" s="113"/>
      <c r="C55" s="113"/>
      <c r="D55" s="261"/>
      <c r="E55" s="261"/>
      <c r="F55" s="261"/>
      <c r="G55" s="261"/>
      <c r="H55" s="261"/>
      <c r="I55" s="261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</row>
    <row r="56" spans="1:24" ht="15.75" customHeight="1" x14ac:dyDescent="0.15">
      <c r="A56" s="260"/>
      <c r="B56" s="113"/>
      <c r="C56" s="113"/>
      <c r="D56" s="261"/>
      <c r="E56" s="261"/>
      <c r="F56" s="261"/>
      <c r="G56" s="261"/>
      <c r="H56" s="261"/>
      <c r="I56" s="261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</row>
    <row r="57" spans="1:24" ht="14" x14ac:dyDescent="0.15">
      <c r="A57" s="260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</row>
    <row r="58" spans="1:24" ht="14" x14ac:dyDescent="0.15">
      <c r="A58" s="260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</row>
    <row r="59" spans="1:24" ht="14" x14ac:dyDescent="0.15">
      <c r="A59" s="260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</row>
    <row r="60" spans="1:24" ht="14" x14ac:dyDescent="0.15">
      <c r="A60" s="260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</row>
    <row r="61" spans="1:24" ht="14" x14ac:dyDescent="0.15">
      <c r="A61" s="260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</row>
    <row r="62" spans="1:24" ht="14" x14ac:dyDescent="0.15">
      <c r="A62" s="260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</row>
    <row r="63" spans="1:24" ht="14" x14ac:dyDescent="0.15">
      <c r="A63" s="260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</row>
    <row r="64" spans="1:24" ht="14" x14ac:dyDescent="0.15">
      <c r="A64" s="260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</row>
    <row r="65" spans="1:24" ht="14" x14ac:dyDescent="0.15">
      <c r="A65" s="260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</row>
    <row r="66" spans="1:24" ht="14" x14ac:dyDescent="0.15">
      <c r="A66" s="260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</row>
    <row r="67" spans="1:24" ht="14" x14ac:dyDescent="0.15">
      <c r="A67" s="260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</row>
    <row r="68" spans="1:24" ht="14" x14ac:dyDescent="0.15">
      <c r="A68" s="260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</row>
    <row r="69" spans="1:24" ht="14" x14ac:dyDescent="0.15">
      <c r="A69" s="260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</row>
    <row r="70" spans="1:24" ht="14" x14ac:dyDescent="0.15">
      <c r="A70" s="260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</row>
    <row r="71" spans="1:24" ht="14" x14ac:dyDescent="0.15">
      <c r="A71" s="260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</row>
    <row r="72" spans="1:24" ht="14" x14ac:dyDescent="0.15">
      <c r="A72" s="260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</row>
    <row r="73" spans="1:24" ht="14" x14ac:dyDescent="0.15">
      <c r="A73" s="260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</row>
    <row r="74" spans="1:24" ht="14" x14ac:dyDescent="0.15">
      <c r="A74" s="260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</row>
    <row r="75" spans="1:24" ht="14" x14ac:dyDescent="0.15">
      <c r="A75" s="260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</row>
    <row r="76" spans="1:24" ht="14" x14ac:dyDescent="0.15">
      <c r="A76" s="260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</row>
    <row r="77" spans="1:24" ht="14" x14ac:dyDescent="0.15">
      <c r="A77" s="260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</row>
    <row r="78" spans="1:24" ht="14" x14ac:dyDescent="0.15">
      <c r="A78" s="260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</row>
    <row r="79" spans="1:24" ht="14" x14ac:dyDescent="0.15">
      <c r="A79" s="260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</row>
    <row r="80" spans="1:24" ht="14" x14ac:dyDescent="0.15">
      <c r="A80" s="260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</row>
    <row r="81" spans="1:24" ht="14" x14ac:dyDescent="0.15">
      <c r="A81" s="260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</row>
    <row r="82" spans="1:24" ht="14" x14ac:dyDescent="0.15">
      <c r="A82" s="260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</row>
    <row r="83" spans="1:24" ht="14" x14ac:dyDescent="0.15">
      <c r="A83" s="260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</row>
    <row r="84" spans="1:24" ht="14" x14ac:dyDescent="0.15">
      <c r="A84" s="260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</row>
    <row r="85" spans="1:24" ht="14" x14ac:dyDescent="0.15">
      <c r="A85" s="260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</row>
    <row r="86" spans="1:24" ht="14" x14ac:dyDescent="0.15">
      <c r="A86" s="260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</row>
    <row r="87" spans="1:24" ht="14" x14ac:dyDescent="0.15">
      <c r="A87" s="260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</row>
    <row r="88" spans="1:24" ht="14" x14ac:dyDescent="0.15">
      <c r="A88" s="260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</row>
    <row r="89" spans="1:24" ht="14" x14ac:dyDescent="0.15">
      <c r="A89" s="260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</row>
    <row r="90" spans="1:24" ht="14" x14ac:dyDescent="0.15">
      <c r="A90" s="260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</row>
    <row r="91" spans="1:24" ht="14" x14ac:dyDescent="0.15">
      <c r="A91" s="260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</row>
    <row r="92" spans="1:24" ht="14" x14ac:dyDescent="0.15">
      <c r="A92" s="260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</row>
    <row r="93" spans="1:24" ht="14" x14ac:dyDescent="0.15">
      <c r="A93" s="260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</row>
    <row r="94" spans="1:24" ht="14" x14ac:dyDescent="0.15">
      <c r="A94" s="260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</row>
    <row r="95" spans="1:24" ht="14" x14ac:dyDescent="0.15">
      <c r="A95" s="260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</row>
    <row r="96" spans="1:24" ht="14" x14ac:dyDescent="0.15">
      <c r="A96" s="260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</row>
    <row r="97" spans="1:24" ht="14" x14ac:dyDescent="0.15">
      <c r="A97" s="260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</row>
    <row r="98" spans="1:24" ht="14" x14ac:dyDescent="0.15">
      <c r="A98" s="260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</row>
    <row r="99" spans="1:24" ht="14" x14ac:dyDescent="0.15">
      <c r="A99" s="260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</row>
    <row r="100" spans="1:24" ht="14" x14ac:dyDescent="0.15">
      <c r="A100" s="260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</row>
    <row r="101" spans="1:24" ht="14" x14ac:dyDescent="0.15">
      <c r="A101" s="260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</row>
    <row r="102" spans="1:24" ht="14" x14ac:dyDescent="0.15">
      <c r="A102" s="260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</row>
    <row r="103" spans="1:24" ht="14" x14ac:dyDescent="0.15">
      <c r="A103" s="260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</row>
    <row r="104" spans="1:24" ht="14" x14ac:dyDescent="0.15">
      <c r="A104" s="260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</row>
    <row r="105" spans="1:24" ht="14" x14ac:dyDescent="0.15">
      <c r="A105" s="260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</row>
    <row r="106" spans="1:24" ht="14" x14ac:dyDescent="0.15">
      <c r="A106" s="260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</row>
    <row r="107" spans="1:24" ht="14" x14ac:dyDescent="0.15">
      <c r="A107" s="260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</row>
    <row r="108" spans="1:24" ht="14" x14ac:dyDescent="0.15">
      <c r="A108" s="260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</row>
    <row r="109" spans="1:24" ht="14" x14ac:dyDescent="0.15">
      <c r="A109" s="260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</row>
    <row r="110" spans="1:24" ht="14" x14ac:dyDescent="0.15">
      <c r="A110" s="260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</row>
    <row r="111" spans="1:24" ht="14" x14ac:dyDescent="0.15">
      <c r="A111" s="260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</row>
    <row r="112" spans="1:24" ht="14" x14ac:dyDescent="0.15">
      <c r="A112" s="260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</row>
    <row r="113" spans="1:24" ht="14" x14ac:dyDescent="0.15">
      <c r="A113" s="260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</row>
    <row r="114" spans="1:24" ht="14" x14ac:dyDescent="0.15">
      <c r="A114" s="260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</row>
    <row r="115" spans="1:24" ht="14" x14ac:dyDescent="0.15">
      <c r="A115" s="260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</row>
    <row r="116" spans="1:24" ht="14" x14ac:dyDescent="0.15">
      <c r="A116" s="260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</row>
    <row r="117" spans="1:24" ht="14" x14ac:dyDescent="0.15">
      <c r="A117" s="260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</row>
    <row r="118" spans="1:24" ht="14" x14ac:dyDescent="0.15">
      <c r="A118" s="260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</row>
    <row r="119" spans="1:24" ht="14" x14ac:dyDescent="0.15">
      <c r="A119" s="260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</row>
    <row r="120" spans="1:24" ht="14" x14ac:dyDescent="0.15">
      <c r="A120" s="260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</row>
    <row r="121" spans="1:24" ht="14" x14ac:dyDescent="0.15">
      <c r="A121" s="260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</row>
    <row r="122" spans="1:24" ht="14" x14ac:dyDescent="0.15">
      <c r="A122" s="260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</row>
    <row r="123" spans="1:24" ht="14" x14ac:dyDescent="0.15">
      <c r="A123" s="260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</row>
    <row r="124" spans="1:24" ht="14" x14ac:dyDescent="0.15">
      <c r="A124" s="260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</row>
    <row r="125" spans="1:24" ht="14" x14ac:dyDescent="0.15">
      <c r="A125" s="260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</row>
    <row r="126" spans="1:24" ht="14" x14ac:dyDescent="0.15">
      <c r="A126" s="260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</row>
    <row r="127" spans="1:24" ht="14" x14ac:dyDescent="0.15">
      <c r="A127" s="260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</row>
    <row r="128" spans="1:24" ht="14" x14ac:dyDescent="0.15">
      <c r="A128" s="260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</row>
    <row r="129" spans="1:24" ht="14" x14ac:dyDescent="0.15">
      <c r="A129" s="260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</row>
    <row r="130" spans="1:24" ht="14" x14ac:dyDescent="0.15">
      <c r="A130" s="260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</row>
    <row r="131" spans="1:24" ht="14" x14ac:dyDescent="0.15">
      <c r="A131" s="260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</row>
    <row r="132" spans="1:24" ht="14" x14ac:dyDescent="0.15">
      <c r="A132" s="260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</row>
    <row r="133" spans="1:24" ht="14" x14ac:dyDescent="0.15">
      <c r="A133" s="260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</row>
    <row r="134" spans="1:24" ht="14" x14ac:dyDescent="0.15">
      <c r="A134" s="260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</row>
    <row r="135" spans="1:24" ht="14" x14ac:dyDescent="0.15">
      <c r="A135" s="260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</row>
    <row r="136" spans="1:24" ht="14" x14ac:dyDescent="0.15">
      <c r="A136" s="260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</row>
    <row r="137" spans="1:24" ht="14" x14ac:dyDescent="0.15">
      <c r="A137" s="260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</row>
    <row r="138" spans="1:24" ht="14" x14ac:dyDescent="0.15">
      <c r="A138" s="260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</row>
    <row r="139" spans="1:24" ht="14" x14ac:dyDescent="0.15">
      <c r="A139" s="260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</row>
    <row r="140" spans="1:24" ht="14" x14ac:dyDescent="0.15">
      <c r="A140" s="260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</row>
    <row r="141" spans="1:24" ht="14" x14ac:dyDescent="0.15">
      <c r="A141" s="260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</row>
    <row r="142" spans="1:24" ht="14" x14ac:dyDescent="0.15">
      <c r="A142" s="260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</row>
    <row r="143" spans="1:24" ht="14" x14ac:dyDescent="0.15">
      <c r="A143" s="260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</row>
    <row r="144" spans="1:24" ht="14" x14ac:dyDescent="0.15">
      <c r="A144" s="260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</row>
    <row r="145" spans="1:24" ht="14" x14ac:dyDescent="0.15">
      <c r="A145" s="260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</row>
    <row r="146" spans="1:24" ht="14" x14ac:dyDescent="0.15">
      <c r="A146" s="260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</row>
    <row r="147" spans="1:24" ht="14" x14ac:dyDescent="0.15">
      <c r="A147" s="260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</row>
    <row r="148" spans="1:24" ht="14" x14ac:dyDescent="0.15">
      <c r="A148" s="260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</row>
    <row r="149" spans="1:24" ht="14" x14ac:dyDescent="0.15">
      <c r="A149" s="260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</row>
    <row r="150" spans="1:24" ht="14" x14ac:dyDescent="0.15">
      <c r="A150" s="260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</row>
    <row r="151" spans="1:24" ht="14" x14ac:dyDescent="0.15">
      <c r="A151" s="260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</row>
    <row r="152" spans="1:24" ht="14" x14ac:dyDescent="0.15">
      <c r="A152" s="260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</row>
    <row r="153" spans="1:24" ht="14" x14ac:dyDescent="0.15">
      <c r="A153" s="260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</row>
    <row r="154" spans="1:24" ht="14" x14ac:dyDescent="0.15">
      <c r="A154" s="260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</row>
    <row r="155" spans="1:24" ht="14" x14ac:dyDescent="0.15">
      <c r="A155" s="260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</row>
    <row r="156" spans="1:24" ht="14" x14ac:dyDescent="0.15">
      <c r="A156" s="260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</row>
    <row r="157" spans="1:24" ht="14" x14ac:dyDescent="0.15">
      <c r="A157" s="260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</row>
    <row r="158" spans="1:24" ht="14" x14ac:dyDescent="0.15">
      <c r="A158" s="260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</row>
    <row r="159" spans="1:24" ht="14" x14ac:dyDescent="0.15">
      <c r="A159" s="260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</row>
    <row r="160" spans="1:24" ht="14" x14ac:dyDescent="0.15">
      <c r="A160" s="260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</row>
    <row r="161" spans="1:24" ht="14" x14ac:dyDescent="0.15">
      <c r="A161" s="260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</row>
    <row r="162" spans="1:24" ht="14" x14ac:dyDescent="0.15">
      <c r="A162" s="260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</row>
    <row r="163" spans="1:24" ht="14" x14ac:dyDescent="0.15">
      <c r="A163" s="260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</row>
    <row r="164" spans="1:24" ht="14" x14ac:dyDescent="0.15">
      <c r="A164" s="260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</row>
    <row r="165" spans="1:24" ht="14" x14ac:dyDescent="0.15">
      <c r="A165" s="260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</row>
    <row r="166" spans="1:24" ht="14" x14ac:dyDescent="0.15">
      <c r="A166" s="260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</row>
    <row r="167" spans="1:24" ht="14" x14ac:dyDescent="0.15">
      <c r="A167" s="260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</row>
    <row r="168" spans="1:24" ht="14" x14ac:dyDescent="0.15">
      <c r="A168" s="260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</row>
    <row r="169" spans="1:24" ht="14" x14ac:dyDescent="0.15">
      <c r="A169" s="260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</row>
    <row r="170" spans="1:24" ht="14" x14ac:dyDescent="0.15">
      <c r="A170" s="260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</row>
    <row r="171" spans="1:24" ht="14" x14ac:dyDescent="0.15">
      <c r="A171" s="260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</row>
    <row r="172" spans="1:24" ht="14" x14ac:dyDescent="0.15">
      <c r="A172" s="260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</row>
    <row r="173" spans="1:24" ht="14" x14ac:dyDescent="0.15">
      <c r="A173" s="260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</row>
    <row r="174" spans="1:24" ht="14" x14ac:dyDescent="0.15">
      <c r="A174" s="260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</row>
    <row r="175" spans="1:24" ht="14" x14ac:dyDescent="0.15">
      <c r="A175" s="260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</row>
    <row r="176" spans="1:24" ht="14" x14ac:dyDescent="0.15">
      <c r="A176" s="260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</row>
    <row r="177" spans="1:24" ht="14" x14ac:dyDescent="0.15">
      <c r="A177" s="260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</row>
    <row r="178" spans="1:24" ht="14" x14ac:dyDescent="0.15">
      <c r="A178" s="260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</row>
    <row r="179" spans="1:24" ht="14" x14ac:dyDescent="0.15">
      <c r="A179" s="260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</row>
    <row r="180" spans="1:24" ht="14" x14ac:dyDescent="0.15">
      <c r="A180" s="260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</row>
    <row r="181" spans="1:24" ht="14" x14ac:dyDescent="0.15">
      <c r="A181" s="260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</row>
    <row r="182" spans="1:24" ht="14" x14ac:dyDescent="0.15">
      <c r="A182" s="260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</row>
    <row r="183" spans="1:24" ht="14" x14ac:dyDescent="0.15">
      <c r="A183" s="260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</row>
    <row r="184" spans="1:24" ht="14" x14ac:dyDescent="0.15">
      <c r="A184" s="260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</row>
    <row r="185" spans="1:24" ht="14" x14ac:dyDescent="0.15">
      <c r="A185" s="260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</row>
    <row r="186" spans="1:24" ht="14" x14ac:dyDescent="0.15">
      <c r="A186" s="260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</row>
    <row r="187" spans="1:24" ht="14" x14ac:dyDescent="0.15">
      <c r="A187" s="260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</row>
    <row r="188" spans="1:24" ht="14" x14ac:dyDescent="0.15">
      <c r="A188" s="260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</row>
    <row r="189" spans="1:24" ht="14" x14ac:dyDescent="0.15">
      <c r="A189" s="260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</row>
    <row r="190" spans="1:24" ht="14" x14ac:dyDescent="0.15">
      <c r="A190" s="260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</row>
    <row r="191" spans="1:24" ht="14" x14ac:dyDescent="0.15">
      <c r="A191" s="260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</row>
    <row r="192" spans="1:24" ht="14" x14ac:dyDescent="0.15">
      <c r="A192" s="260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</row>
    <row r="193" spans="1:24" ht="14" x14ac:dyDescent="0.15">
      <c r="A193" s="260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</row>
    <row r="194" spans="1:24" ht="14" x14ac:dyDescent="0.15">
      <c r="A194" s="260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</row>
    <row r="195" spans="1:24" ht="14" x14ac:dyDescent="0.15">
      <c r="A195" s="260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</row>
    <row r="196" spans="1:24" ht="14" x14ac:dyDescent="0.15">
      <c r="A196" s="260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</row>
    <row r="197" spans="1:24" ht="14" x14ac:dyDescent="0.15">
      <c r="A197" s="260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</row>
    <row r="198" spans="1:24" ht="14" x14ac:dyDescent="0.15">
      <c r="A198" s="260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</row>
    <row r="199" spans="1:24" ht="14" x14ac:dyDescent="0.15">
      <c r="A199" s="260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</row>
    <row r="200" spans="1:24" ht="14" x14ac:dyDescent="0.15">
      <c r="A200" s="260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</row>
    <row r="201" spans="1:24" ht="14" x14ac:dyDescent="0.15">
      <c r="A201" s="260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</row>
    <row r="202" spans="1:24" ht="14" x14ac:dyDescent="0.15">
      <c r="A202" s="260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</row>
    <row r="203" spans="1:24" ht="14" x14ac:dyDescent="0.15">
      <c r="A203" s="260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</row>
    <row r="204" spans="1:24" ht="14" x14ac:dyDescent="0.15">
      <c r="A204" s="260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</row>
    <row r="205" spans="1:24" ht="14" x14ac:dyDescent="0.15">
      <c r="A205" s="260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</row>
    <row r="206" spans="1:24" ht="14" x14ac:dyDescent="0.15">
      <c r="A206" s="260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</row>
    <row r="207" spans="1:24" ht="14" x14ac:dyDescent="0.15">
      <c r="A207" s="260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</row>
    <row r="208" spans="1:24" ht="14" x14ac:dyDescent="0.15">
      <c r="A208" s="260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</row>
    <row r="209" spans="1:24" ht="14" x14ac:dyDescent="0.15">
      <c r="A209" s="260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</row>
    <row r="210" spans="1:24" ht="14" x14ac:dyDescent="0.15">
      <c r="A210" s="260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</row>
    <row r="211" spans="1:24" ht="14" x14ac:dyDescent="0.15">
      <c r="A211" s="260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</row>
    <row r="212" spans="1:24" ht="14" x14ac:dyDescent="0.15">
      <c r="A212" s="260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</row>
    <row r="213" spans="1:24" ht="14" x14ac:dyDescent="0.15">
      <c r="A213" s="260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</row>
    <row r="214" spans="1:24" ht="14" x14ac:dyDescent="0.15">
      <c r="A214" s="260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</row>
    <row r="215" spans="1:24" ht="14" x14ac:dyDescent="0.15">
      <c r="A215" s="260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</row>
    <row r="216" spans="1:24" ht="14" x14ac:dyDescent="0.15">
      <c r="A216" s="260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</row>
    <row r="217" spans="1:24" ht="14" x14ac:dyDescent="0.15">
      <c r="A217" s="260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</row>
    <row r="218" spans="1:24" ht="14" x14ac:dyDescent="0.15">
      <c r="A218" s="260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</row>
    <row r="219" spans="1:24" ht="14" x14ac:dyDescent="0.15">
      <c r="A219" s="260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</row>
    <row r="220" spans="1:24" ht="14" x14ac:dyDescent="0.15">
      <c r="A220" s="260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</row>
    <row r="221" spans="1:24" ht="14" x14ac:dyDescent="0.15">
      <c r="A221" s="260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</row>
    <row r="222" spans="1:24" ht="14" x14ac:dyDescent="0.15">
      <c r="A222" s="260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</row>
    <row r="223" spans="1:24" ht="14" x14ac:dyDescent="0.15">
      <c r="A223" s="260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</row>
    <row r="224" spans="1:24" ht="14" x14ac:dyDescent="0.15">
      <c r="A224" s="260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</row>
    <row r="225" spans="1:24" ht="14" x14ac:dyDescent="0.15">
      <c r="A225" s="260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</row>
    <row r="226" spans="1:24" ht="14" x14ac:dyDescent="0.15">
      <c r="A226" s="260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</row>
    <row r="227" spans="1:24" ht="14" x14ac:dyDescent="0.15">
      <c r="A227" s="260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</row>
    <row r="228" spans="1:24" ht="14" x14ac:dyDescent="0.15">
      <c r="A228" s="260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</row>
    <row r="229" spans="1:24" ht="14" x14ac:dyDescent="0.15">
      <c r="A229" s="260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</row>
    <row r="230" spans="1:24" ht="14" x14ac:dyDescent="0.15">
      <c r="A230" s="260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</row>
    <row r="231" spans="1:24" ht="14" x14ac:dyDescent="0.15">
      <c r="A231" s="260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</row>
    <row r="232" spans="1:24" ht="14" x14ac:dyDescent="0.15">
      <c r="A232" s="260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</row>
    <row r="233" spans="1:24" ht="14" x14ac:dyDescent="0.15">
      <c r="A233" s="260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</row>
    <row r="234" spans="1:24" ht="14" x14ac:dyDescent="0.15">
      <c r="A234" s="260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</row>
    <row r="235" spans="1:24" ht="14" x14ac:dyDescent="0.15">
      <c r="A235" s="260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</row>
    <row r="236" spans="1:24" ht="14" x14ac:dyDescent="0.15">
      <c r="A236" s="260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</row>
    <row r="237" spans="1:24" ht="14" x14ac:dyDescent="0.15">
      <c r="A237" s="260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</row>
    <row r="238" spans="1:24" ht="14" x14ac:dyDescent="0.15">
      <c r="A238" s="260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</row>
    <row r="239" spans="1:24" ht="14" x14ac:dyDescent="0.15">
      <c r="A239" s="260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</row>
    <row r="240" spans="1:24" ht="14" x14ac:dyDescent="0.15">
      <c r="A240" s="260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</row>
    <row r="241" spans="1:24" ht="14" x14ac:dyDescent="0.15">
      <c r="A241" s="260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</row>
    <row r="242" spans="1:24" ht="14" x14ac:dyDescent="0.15">
      <c r="A242" s="260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</row>
    <row r="243" spans="1:24" ht="14" x14ac:dyDescent="0.15">
      <c r="A243" s="260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</row>
    <row r="244" spans="1:24" ht="14" x14ac:dyDescent="0.15">
      <c r="A244" s="260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</row>
    <row r="245" spans="1:24" ht="14" x14ac:dyDescent="0.15">
      <c r="A245" s="260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</row>
    <row r="246" spans="1:24" ht="14" x14ac:dyDescent="0.15">
      <c r="A246" s="260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</row>
    <row r="247" spans="1:24" ht="14" x14ac:dyDescent="0.15">
      <c r="A247" s="260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</row>
    <row r="248" spans="1:24" ht="14" x14ac:dyDescent="0.15">
      <c r="A248" s="260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</row>
    <row r="249" spans="1:24" ht="14" x14ac:dyDescent="0.15">
      <c r="A249" s="260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</row>
    <row r="250" spans="1:24" ht="14" x14ac:dyDescent="0.15">
      <c r="A250" s="260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</row>
    <row r="251" spans="1:24" ht="14" x14ac:dyDescent="0.15">
      <c r="A251" s="260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</row>
    <row r="252" spans="1:24" ht="14" x14ac:dyDescent="0.15">
      <c r="A252" s="260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</row>
    <row r="253" spans="1:24" ht="14" x14ac:dyDescent="0.15">
      <c r="A253" s="260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</row>
    <row r="254" spans="1:24" ht="14" x14ac:dyDescent="0.15">
      <c r="A254" s="260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</row>
    <row r="255" spans="1:24" ht="14" x14ac:dyDescent="0.15">
      <c r="A255" s="260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</row>
    <row r="256" spans="1:24" ht="14" x14ac:dyDescent="0.15">
      <c r="A256" s="260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</row>
    <row r="257" spans="1:24" ht="14" x14ac:dyDescent="0.15">
      <c r="A257" s="260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</row>
    <row r="258" spans="1:24" ht="14" x14ac:dyDescent="0.15">
      <c r="A258" s="260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</row>
    <row r="259" spans="1:24" ht="14" x14ac:dyDescent="0.15">
      <c r="A259" s="260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</row>
    <row r="260" spans="1:24" ht="14" x14ac:dyDescent="0.15">
      <c r="A260" s="260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</row>
    <row r="261" spans="1:24" ht="14" x14ac:dyDescent="0.15">
      <c r="A261" s="260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</row>
    <row r="262" spans="1:24" ht="14" x14ac:dyDescent="0.15">
      <c r="A262" s="260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</row>
    <row r="263" spans="1:24" ht="14" x14ac:dyDescent="0.15">
      <c r="A263" s="260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</row>
    <row r="264" spans="1:24" ht="14" x14ac:dyDescent="0.15">
      <c r="A264" s="260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</row>
    <row r="265" spans="1:24" ht="14" x14ac:dyDescent="0.15">
      <c r="A265" s="260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</row>
    <row r="266" spans="1:24" ht="14" x14ac:dyDescent="0.15">
      <c r="A266" s="260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</row>
    <row r="267" spans="1:24" ht="14" x14ac:dyDescent="0.15">
      <c r="A267" s="260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</row>
    <row r="268" spans="1:24" ht="14" x14ac:dyDescent="0.15">
      <c r="A268" s="260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</row>
    <row r="269" spans="1:24" ht="14" x14ac:dyDescent="0.15">
      <c r="A269" s="260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</row>
    <row r="270" spans="1:24" ht="14" x14ac:dyDescent="0.15">
      <c r="A270" s="260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</row>
    <row r="271" spans="1:24" ht="14" x14ac:dyDescent="0.15">
      <c r="A271" s="260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</row>
    <row r="272" spans="1:24" ht="14" x14ac:dyDescent="0.15">
      <c r="A272" s="260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</row>
    <row r="273" spans="1:24" ht="14" x14ac:dyDescent="0.15">
      <c r="A273" s="260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</row>
    <row r="274" spans="1:24" ht="14" x14ac:dyDescent="0.15">
      <c r="A274" s="260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</row>
    <row r="275" spans="1:24" ht="14" x14ac:dyDescent="0.15">
      <c r="A275" s="260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</row>
    <row r="276" spans="1:24" ht="14" x14ac:dyDescent="0.15">
      <c r="A276" s="260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</row>
    <row r="277" spans="1:24" ht="14" x14ac:dyDescent="0.15">
      <c r="A277" s="260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</row>
    <row r="278" spans="1:24" ht="14" x14ac:dyDescent="0.15">
      <c r="A278" s="260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</row>
    <row r="279" spans="1:24" ht="14" x14ac:dyDescent="0.15">
      <c r="A279" s="260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</row>
    <row r="280" spans="1:24" ht="14" x14ac:dyDescent="0.15">
      <c r="A280" s="260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</row>
    <row r="281" spans="1:24" ht="14" x14ac:dyDescent="0.15">
      <c r="A281" s="260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</row>
    <row r="282" spans="1:24" ht="14" x14ac:dyDescent="0.15">
      <c r="A282" s="260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</row>
    <row r="283" spans="1:24" ht="14" x14ac:dyDescent="0.15">
      <c r="A283" s="260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</row>
    <row r="284" spans="1:24" ht="14" x14ac:dyDescent="0.15">
      <c r="A284" s="260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</row>
    <row r="285" spans="1:24" ht="14" x14ac:dyDescent="0.15">
      <c r="A285" s="260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</row>
    <row r="286" spans="1:24" ht="14" x14ac:dyDescent="0.15">
      <c r="A286" s="260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</row>
    <row r="287" spans="1:24" ht="14" x14ac:dyDescent="0.15">
      <c r="A287" s="260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</row>
    <row r="288" spans="1:24" ht="14" x14ac:dyDescent="0.15">
      <c r="A288" s="260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</row>
    <row r="289" spans="1:24" ht="14" x14ac:dyDescent="0.15">
      <c r="A289" s="260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</row>
    <row r="290" spans="1:24" ht="14" x14ac:dyDescent="0.15">
      <c r="A290" s="260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</row>
    <row r="291" spans="1:24" ht="14" x14ac:dyDescent="0.15">
      <c r="A291" s="260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</row>
    <row r="292" spans="1:24" ht="14" x14ac:dyDescent="0.15">
      <c r="A292" s="260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</row>
    <row r="293" spans="1:24" ht="14" x14ac:dyDescent="0.15">
      <c r="A293" s="260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</row>
    <row r="294" spans="1:24" ht="14" x14ac:dyDescent="0.15">
      <c r="A294" s="260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</row>
    <row r="295" spans="1:24" ht="14" x14ac:dyDescent="0.15">
      <c r="A295" s="260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</row>
    <row r="296" spans="1:24" ht="14" x14ac:dyDescent="0.15">
      <c r="A296" s="260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</row>
    <row r="297" spans="1:24" ht="14" x14ac:dyDescent="0.15">
      <c r="A297" s="260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</row>
    <row r="298" spans="1:24" ht="14" x14ac:dyDescent="0.15">
      <c r="A298" s="260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</row>
    <row r="299" spans="1:24" ht="14" x14ac:dyDescent="0.15">
      <c r="A299" s="260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</row>
    <row r="300" spans="1:24" ht="14" x14ac:dyDescent="0.15">
      <c r="A300" s="260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</row>
    <row r="301" spans="1:24" ht="14" x14ac:dyDescent="0.15">
      <c r="A301" s="260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</row>
    <row r="302" spans="1:24" ht="14" x14ac:dyDescent="0.15">
      <c r="A302" s="260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</row>
    <row r="303" spans="1:24" ht="14" x14ac:dyDescent="0.15">
      <c r="A303" s="260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</row>
    <row r="304" spans="1:24" ht="14" x14ac:dyDescent="0.15">
      <c r="A304" s="260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</row>
    <row r="305" spans="1:24" ht="14" x14ac:dyDescent="0.15">
      <c r="A305" s="260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</row>
    <row r="306" spans="1:24" ht="14" x14ac:dyDescent="0.15">
      <c r="A306" s="260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</row>
    <row r="307" spans="1:24" ht="14" x14ac:dyDescent="0.15">
      <c r="A307" s="260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</row>
    <row r="308" spans="1:24" ht="14" x14ac:dyDescent="0.15">
      <c r="A308" s="260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</row>
    <row r="309" spans="1:24" ht="14" x14ac:dyDescent="0.15">
      <c r="A309" s="260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</row>
    <row r="310" spans="1:24" ht="14" x14ac:dyDescent="0.15">
      <c r="A310" s="260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</row>
    <row r="311" spans="1:24" ht="14" x14ac:dyDescent="0.15">
      <c r="A311" s="260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</row>
    <row r="312" spans="1:24" ht="14" x14ac:dyDescent="0.15">
      <c r="A312" s="260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</row>
    <row r="313" spans="1:24" ht="14" x14ac:dyDescent="0.15">
      <c r="A313" s="260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</row>
    <row r="314" spans="1:24" ht="14" x14ac:dyDescent="0.15">
      <c r="A314" s="260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</row>
    <row r="315" spans="1:24" ht="14" x14ac:dyDescent="0.15">
      <c r="A315" s="260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</row>
    <row r="316" spans="1:24" ht="14" x14ac:dyDescent="0.15">
      <c r="A316" s="260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</row>
    <row r="317" spans="1:24" ht="14" x14ac:dyDescent="0.15">
      <c r="A317" s="260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</row>
    <row r="318" spans="1:24" ht="14" x14ac:dyDescent="0.15">
      <c r="A318" s="260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</row>
    <row r="319" spans="1:24" ht="14" x14ac:dyDescent="0.15">
      <c r="A319" s="260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</row>
    <row r="320" spans="1:24" ht="14" x14ac:dyDescent="0.15">
      <c r="A320" s="260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</row>
    <row r="321" spans="1:24" ht="14" x14ac:dyDescent="0.15">
      <c r="A321" s="260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</row>
    <row r="322" spans="1:24" ht="14" x14ac:dyDescent="0.15">
      <c r="A322" s="260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</row>
    <row r="323" spans="1:24" ht="14" x14ac:dyDescent="0.15">
      <c r="A323" s="260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</row>
    <row r="324" spans="1:24" ht="14" x14ac:dyDescent="0.15">
      <c r="A324" s="260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</row>
    <row r="325" spans="1:24" ht="14" x14ac:dyDescent="0.15">
      <c r="A325" s="260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</row>
    <row r="326" spans="1:24" ht="14" x14ac:dyDescent="0.15">
      <c r="A326" s="260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</row>
    <row r="327" spans="1:24" ht="14" x14ac:dyDescent="0.15">
      <c r="A327" s="260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</row>
    <row r="328" spans="1:24" ht="14" x14ac:dyDescent="0.15">
      <c r="A328" s="260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</row>
    <row r="329" spans="1:24" ht="14" x14ac:dyDescent="0.15">
      <c r="A329" s="260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</row>
    <row r="330" spans="1:24" ht="14" x14ac:dyDescent="0.15">
      <c r="A330" s="260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</row>
    <row r="331" spans="1:24" ht="14" x14ac:dyDescent="0.15">
      <c r="A331" s="260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</row>
    <row r="332" spans="1:24" ht="14" x14ac:dyDescent="0.15">
      <c r="A332" s="260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</row>
    <row r="333" spans="1:24" ht="14" x14ac:dyDescent="0.15">
      <c r="A333" s="260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</row>
    <row r="334" spans="1:24" ht="14" x14ac:dyDescent="0.15">
      <c r="A334" s="260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</row>
    <row r="335" spans="1:24" ht="14" x14ac:dyDescent="0.15">
      <c r="A335" s="260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</row>
    <row r="336" spans="1:24" ht="14" x14ac:dyDescent="0.15">
      <c r="A336" s="260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</row>
    <row r="337" spans="1:24" ht="14" x14ac:dyDescent="0.15">
      <c r="A337" s="260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</row>
    <row r="338" spans="1:24" ht="14" x14ac:dyDescent="0.15">
      <c r="A338" s="260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</row>
    <row r="339" spans="1:24" ht="14" x14ac:dyDescent="0.15">
      <c r="A339" s="260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</row>
    <row r="340" spans="1:24" ht="14" x14ac:dyDescent="0.15">
      <c r="A340" s="260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</row>
    <row r="341" spans="1:24" ht="14" x14ac:dyDescent="0.15">
      <c r="A341" s="260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</row>
    <row r="342" spans="1:24" ht="14" x14ac:dyDescent="0.15">
      <c r="A342" s="260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</row>
    <row r="343" spans="1:24" ht="14" x14ac:dyDescent="0.15">
      <c r="A343" s="260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</row>
    <row r="344" spans="1:24" ht="14" x14ac:dyDescent="0.15">
      <c r="A344" s="260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</row>
    <row r="345" spans="1:24" ht="14" x14ac:dyDescent="0.15">
      <c r="A345" s="260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</row>
    <row r="346" spans="1:24" ht="14" x14ac:dyDescent="0.15">
      <c r="A346" s="260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</row>
    <row r="347" spans="1:24" ht="14" x14ac:dyDescent="0.15">
      <c r="A347" s="260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</row>
    <row r="348" spans="1:24" ht="14" x14ac:dyDescent="0.15">
      <c r="A348" s="260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</row>
    <row r="349" spans="1:24" ht="14" x14ac:dyDescent="0.15">
      <c r="A349" s="260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</row>
    <row r="350" spans="1:24" ht="14" x14ac:dyDescent="0.15">
      <c r="A350" s="260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</row>
    <row r="351" spans="1:24" ht="14" x14ac:dyDescent="0.15">
      <c r="A351" s="260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</row>
    <row r="352" spans="1:24" ht="14" x14ac:dyDescent="0.15">
      <c r="A352" s="260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</row>
    <row r="353" spans="1:24" ht="14" x14ac:dyDescent="0.15">
      <c r="A353" s="260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</row>
    <row r="354" spans="1:24" ht="14" x14ac:dyDescent="0.15">
      <c r="A354" s="260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</row>
    <row r="355" spans="1:24" ht="14" x14ac:dyDescent="0.15">
      <c r="A355" s="260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</row>
    <row r="356" spans="1:24" ht="14" x14ac:dyDescent="0.15">
      <c r="A356" s="260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</row>
    <row r="357" spans="1:24" ht="14" x14ac:dyDescent="0.15">
      <c r="A357" s="260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</row>
    <row r="358" spans="1:24" ht="14" x14ac:dyDescent="0.15">
      <c r="A358" s="260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</row>
    <row r="359" spans="1:24" ht="14" x14ac:dyDescent="0.15">
      <c r="A359" s="260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</row>
    <row r="360" spans="1:24" ht="14" x14ac:dyDescent="0.15">
      <c r="A360" s="260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</row>
    <row r="361" spans="1:24" ht="14" x14ac:dyDescent="0.15">
      <c r="A361" s="260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</row>
    <row r="362" spans="1:24" ht="14" x14ac:dyDescent="0.15">
      <c r="A362" s="260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</row>
    <row r="363" spans="1:24" ht="14" x14ac:dyDescent="0.15">
      <c r="A363" s="260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</row>
    <row r="364" spans="1:24" ht="14" x14ac:dyDescent="0.15">
      <c r="A364" s="260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</row>
    <row r="365" spans="1:24" ht="14" x14ac:dyDescent="0.15">
      <c r="A365" s="260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</row>
    <row r="366" spans="1:24" ht="14" x14ac:dyDescent="0.15">
      <c r="A366" s="260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</row>
    <row r="367" spans="1:24" ht="14" x14ac:dyDescent="0.15">
      <c r="A367" s="260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</row>
    <row r="368" spans="1:24" ht="14" x14ac:dyDescent="0.15">
      <c r="A368" s="260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</row>
    <row r="369" spans="1:24" ht="14" x14ac:dyDescent="0.15">
      <c r="A369" s="260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</row>
    <row r="370" spans="1:24" ht="14" x14ac:dyDescent="0.15">
      <c r="A370" s="260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</row>
    <row r="371" spans="1:24" ht="14" x14ac:dyDescent="0.15">
      <c r="A371" s="260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</row>
    <row r="372" spans="1:24" ht="14" x14ac:dyDescent="0.15">
      <c r="A372" s="260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</row>
    <row r="373" spans="1:24" ht="14" x14ac:dyDescent="0.15">
      <c r="A373" s="260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</row>
    <row r="374" spans="1:24" ht="14" x14ac:dyDescent="0.15">
      <c r="A374" s="260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</row>
    <row r="375" spans="1:24" ht="14" x14ac:dyDescent="0.15">
      <c r="A375" s="260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</row>
    <row r="376" spans="1:24" ht="14" x14ac:dyDescent="0.15">
      <c r="A376" s="260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</row>
    <row r="377" spans="1:24" ht="14" x14ac:dyDescent="0.15">
      <c r="A377" s="260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</row>
    <row r="378" spans="1:24" ht="14" x14ac:dyDescent="0.15">
      <c r="A378" s="260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</row>
    <row r="379" spans="1:24" ht="14" x14ac:dyDescent="0.15">
      <c r="A379" s="260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</row>
    <row r="380" spans="1:24" ht="14" x14ac:dyDescent="0.15">
      <c r="A380" s="260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</row>
    <row r="381" spans="1:24" ht="14" x14ac:dyDescent="0.15">
      <c r="A381" s="260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</row>
    <row r="382" spans="1:24" ht="14" x14ac:dyDescent="0.15">
      <c r="A382" s="260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</row>
    <row r="383" spans="1:24" ht="14" x14ac:dyDescent="0.15">
      <c r="A383" s="260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</row>
    <row r="384" spans="1:24" ht="14" x14ac:dyDescent="0.15">
      <c r="A384" s="260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</row>
    <row r="385" spans="1:24" ht="14" x14ac:dyDescent="0.15">
      <c r="A385" s="260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</row>
    <row r="386" spans="1:24" ht="14" x14ac:dyDescent="0.15">
      <c r="A386" s="260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</row>
    <row r="387" spans="1:24" ht="14" x14ac:dyDescent="0.15">
      <c r="A387" s="260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</row>
    <row r="388" spans="1:24" ht="14" x14ac:dyDescent="0.15">
      <c r="A388" s="260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</row>
    <row r="389" spans="1:24" ht="14" x14ac:dyDescent="0.15">
      <c r="A389" s="260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</row>
    <row r="390" spans="1:24" ht="14" x14ac:dyDescent="0.15">
      <c r="A390" s="260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</row>
    <row r="391" spans="1:24" ht="14" x14ac:dyDescent="0.15">
      <c r="A391" s="260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</row>
    <row r="392" spans="1:24" ht="14" x14ac:dyDescent="0.15">
      <c r="A392" s="260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</row>
    <row r="393" spans="1:24" ht="14" x14ac:dyDescent="0.15">
      <c r="A393" s="260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</row>
    <row r="394" spans="1:24" ht="14" x14ac:dyDescent="0.15">
      <c r="A394" s="260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</row>
    <row r="395" spans="1:24" ht="14" x14ac:dyDescent="0.15">
      <c r="A395" s="260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</row>
    <row r="396" spans="1:24" ht="14" x14ac:dyDescent="0.15">
      <c r="A396" s="260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</row>
    <row r="397" spans="1:24" ht="14" x14ac:dyDescent="0.15">
      <c r="A397" s="260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</row>
    <row r="398" spans="1:24" ht="14" x14ac:dyDescent="0.15">
      <c r="A398" s="260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</row>
    <row r="399" spans="1:24" ht="14" x14ac:dyDescent="0.15">
      <c r="A399" s="260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</row>
    <row r="400" spans="1:24" ht="14" x14ac:dyDescent="0.15">
      <c r="A400" s="260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</row>
    <row r="401" spans="1:24" ht="14" x14ac:dyDescent="0.15">
      <c r="A401" s="260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</row>
    <row r="402" spans="1:24" ht="14" x14ac:dyDescent="0.15">
      <c r="A402" s="260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</row>
    <row r="403" spans="1:24" ht="14" x14ac:dyDescent="0.15">
      <c r="A403" s="260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</row>
    <row r="404" spans="1:24" ht="14" x14ac:dyDescent="0.15">
      <c r="A404" s="260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</row>
    <row r="405" spans="1:24" ht="14" x14ac:dyDescent="0.15">
      <c r="A405" s="260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</row>
    <row r="406" spans="1:24" ht="14" x14ac:dyDescent="0.15">
      <c r="A406" s="260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</row>
    <row r="407" spans="1:24" ht="14" x14ac:dyDescent="0.15">
      <c r="A407" s="260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</row>
    <row r="408" spans="1:24" ht="14" x14ac:dyDescent="0.15">
      <c r="A408" s="260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</row>
    <row r="409" spans="1:24" ht="14" x14ac:dyDescent="0.15">
      <c r="A409" s="260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</row>
    <row r="410" spans="1:24" ht="14" x14ac:dyDescent="0.15">
      <c r="A410" s="260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</row>
    <row r="411" spans="1:24" ht="14" x14ac:dyDescent="0.15">
      <c r="A411" s="260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</row>
    <row r="412" spans="1:24" ht="14" x14ac:dyDescent="0.15">
      <c r="A412" s="260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</row>
    <row r="413" spans="1:24" ht="14" x14ac:dyDescent="0.15">
      <c r="A413" s="260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</row>
    <row r="414" spans="1:24" ht="14" x14ac:dyDescent="0.15">
      <c r="A414" s="260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</row>
    <row r="415" spans="1:24" ht="14" x14ac:dyDescent="0.15">
      <c r="A415" s="260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</row>
    <row r="416" spans="1:24" ht="14" x14ac:dyDescent="0.15">
      <c r="A416" s="260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</row>
    <row r="417" spans="1:24" ht="14" x14ac:dyDescent="0.15">
      <c r="A417" s="260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</row>
    <row r="418" spans="1:24" ht="14" x14ac:dyDescent="0.15">
      <c r="A418" s="260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</row>
    <row r="419" spans="1:24" ht="14" x14ac:dyDescent="0.15">
      <c r="A419" s="260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</row>
    <row r="420" spans="1:24" ht="14" x14ac:dyDescent="0.15">
      <c r="A420" s="260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</row>
    <row r="421" spans="1:24" ht="14" x14ac:dyDescent="0.15">
      <c r="A421" s="260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</row>
    <row r="422" spans="1:24" ht="14" x14ac:dyDescent="0.15">
      <c r="A422" s="260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</row>
    <row r="423" spans="1:24" ht="14" x14ac:dyDescent="0.15">
      <c r="A423" s="260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</row>
    <row r="424" spans="1:24" ht="14" x14ac:dyDescent="0.15">
      <c r="A424" s="260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</row>
    <row r="425" spans="1:24" ht="14" x14ac:dyDescent="0.15">
      <c r="A425" s="260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</row>
    <row r="426" spans="1:24" ht="14" x14ac:dyDescent="0.15">
      <c r="A426" s="260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</row>
    <row r="427" spans="1:24" ht="14" x14ac:dyDescent="0.15">
      <c r="A427" s="260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</row>
    <row r="428" spans="1:24" ht="14" x14ac:dyDescent="0.15">
      <c r="A428" s="260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</row>
    <row r="429" spans="1:24" ht="14" x14ac:dyDescent="0.15">
      <c r="A429" s="260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</row>
    <row r="430" spans="1:24" ht="14" x14ac:dyDescent="0.15">
      <c r="A430" s="260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</row>
    <row r="431" spans="1:24" ht="14" x14ac:dyDescent="0.15">
      <c r="A431" s="260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</row>
    <row r="432" spans="1:24" ht="14" x14ac:dyDescent="0.15">
      <c r="A432" s="260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</row>
    <row r="433" spans="1:24" ht="14" x14ac:dyDescent="0.15">
      <c r="A433" s="260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</row>
    <row r="434" spans="1:24" ht="14" x14ac:dyDescent="0.15">
      <c r="A434" s="260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</row>
    <row r="435" spans="1:24" ht="14" x14ac:dyDescent="0.15">
      <c r="A435" s="260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</row>
    <row r="436" spans="1:24" ht="14" x14ac:dyDescent="0.15">
      <c r="A436" s="260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</row>
    <row r="437" spans="1:24" ht="14" x14ac:dyDescent="0.15">
      <c r="A437" s="260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</row>
    <row r="438" spans="1:24" ht="14" x14ac:dyDescent="0.15">
      <c r="A438" s="260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</row>
    <row r="439" spans="1:24" ht="14" x14ac:dyDescent="0.15">
      <c r="A439" s="260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</row>
    <row r="440" spans="1:24" ht="14" x14ac:dyDescent="0.15">
      <c r="A440" s="260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</row>
    <row r="441" spans="1:24" ht="14" x14ac:dyDescent="0.15">
      <c r="A441" s="260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</row>
    <row r="442" spans="1:24" ht="14" x14ac:dyDescent="0.15">
      <c r="A442" s="260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</row>
    <row r="443" spans="1:24" ht="14" x14ac:dyDescent="0.15">
      <c r="A443" s="260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</row>
    <row r="444" spans="1:24" ht="14" x14ac:dyDescent="0.15">
      <c r="A444" s="260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</row>
    <row r="445" spans="1:24" ht="14" x14ac:dyDescent="0.15">
      <c r="A445" s="260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</row>
    <row r="446" spans="1:24" ht="14" x14ac:dyDescent="0.15">
      <c r="A446" s="260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</row>
    <row r="447" spans="1:24" ht="14" x14ac:dyDescent="0.15">
      <c r="A447" s="260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</row>
    <row r="448" spans="1:24" ht="14" x14ac:dyDescent="0.15">
      <c r="A448" s="260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</row>
    <row r="449" spans="1:24" ht="14" x14ac:dyDescent="0.15">
      <c r="A449" s="260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</row>
    <row r="450" spans="1:24" ht="14" x14ac:dyDescent="0.15">
      <c r="A450" s="260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</row>
    <row r="451" spans="1:24" ht="14" x14ac:dyDescent="0.15">
      <c r="A451" s="260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</row>
    <row r="452" spans="1:24" ht="14" x14ac:dyDescent="0.15">
      <c r="A452" s="260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</row>
    <row r="453" spans="1:24" ht="14" x14ac:dyDescent="0.15">
      <c r="A453" s="260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</row>
    <row r="454" spans="1:24" ht="14" x14ac:dyDescent="0.15">
      <c r="A454" s="260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</row>
    <row r="455" spans="1:24" ht="14" x14ac:dyDescent="0.15">
      <c r="A455" s="260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</row>
    <row r="456" spans="1:24" ht="14" x14ac:dyDescent="0.15">
      <c r="A456" s="260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</row>
    <row r="457" spans="1:24" ht="14" x14ac:dyDescent="0.15">
      <c r="A457" s="260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</row>
    <row r="458" spans="1:24" ht="14" x14ac:dyDescent="0.15">
      <c r="A458" s="260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</row>
    <row r="459" spans="1:24" ht="14" x14ac:dyDescent="0.15">
      <c r="A459" s="260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</row>
    <row r="460" spans="1:24" ht="14" x14ac:dyDescent="0.15">
      <c r="A460" s="260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</row>
    <row r="461" spans="1:24" ht="14" x14ac:dyDescent="0.15">
      <c r="A461" s="260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</row>
    <row r="462" spans="1:24" ht="14" x14ac:dyDescent="0.15">
      <c r="A462" s="260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</row>
    <row r="463" spans="1:24" ht="14" x14ac:dyDescent="0.15">
      <c r="A463" s="260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</row>
    <row r="464" spans="1:24" ht="14" x14ac:dyDescent="0.15">
      <c r="A464" s="260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</row>
    <row r="465" spans="1:24" ht="14" x14ac:dyDescent="0.15">
      <c r="A465" s="260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</row>
    <row r="466" spans="1:24" ht="14" x14ac:dyDescent="0.15">
      <c r="A466" s="260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</row>
    <row r="467" spans="1:24" ht="14" x14ac:dyDescent="0.15">
      <c r="A467" s="260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</row>
    <row r="468" spans="1:24" ht="14" x14ac:dyDescent="0.15">
      <c r="A468" s="260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</row>
    <row r="469" spans="1:24" ht="14" x14ac:dyDescent="0.15">
      <c r="A469" s="260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</row>
    <row r="470" spans="1:24" ht="14" x14ac:dyDescent="0.15">
      <c r="A470" s="260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</row>
    <row r="471" spans="1:24" ht="14" x14ac:dyDescent="0.15">
      <c r="A471" s="260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</row>
    <row r="472" spans="1:24" ht="14" x14ac:dyDescent="0.15">
      <c r="A472" s="260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</row>
    <row r="473" spans="1:24" ht="14" x14ac:dyDescent="0.15">
      <c r="A473" s="260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</row>
    <row r="474" spans="1:24" ht="14" x14ac:dyDescent="0.15">
      <c r="A474" s="260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</row>
    <row r="475" spans="1:24" ht="14" x14ac:dyDescent="0.15">
      <c r="A475" s="260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</row>
    <row r="476" spans="1:24" ht="14" x14ac:dyDescent="0.15">
      <c r="A476" s="260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</row>
    <row r="477" spans="1:24" ht="14" x14ac:dyDescent="0.15">
      <c r="A477" s="260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</row>
    <row r="478" spans="1:24" ht="14" x14ac:dyDescent="0.15">
      <c r="A478" s="260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</row>
    <row r="479" spans="1:24" ht="14" x14ac:dyDescent="0.15">
      <c r="A479" s="260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</row>
    <row r="480" spans="1:24" ht="14" x14ac:dyDescent="0.15">
      <c r="A480" s="260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</row>
    <row r="481" spans="1:24" ht="14" x14ac:dyDescent="0.15">
      <c r="A481" s="260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</row>
    <row r="482" spans="1:24" ht="14" x14ac:dyDescent="0.15">
      <c r="A482" s="260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</row>
    <row r="483" spans="1:24" ht="14" x14ac:dyDescent="0.15">
      <c r="A483" s="260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</row>
    <row r="484" spans="1:24" ht="14" x14ac:dyDescent="0.15">
      <c r="A484" s="260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</row>
    <row r="485" spans="1:24" ht="14" x14ac:dyDescent="0.15">
      <c r="A485" s="260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</row>
    <row r="486" spans="1:24" ht="14" x14ac:dyDescent="0.15">
      <c r="A486" s="260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</row>
    <row r="487" spans="1:24" ht="14" x14ac:dyDescent="0.15">
      <c r="A487" s="260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</row>
    <row r="488" spans="1:24" ht="14" x14ac:dyDescent="0.15">
      <c r="A488" s="260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</row>
    <row r="489" spans="1:24" ht="14" x14ac:dyDescent="0.15">
      <c r="A489" s="260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</row>
    <row r="490" spans="1:24" ht="14" x14ac:dyDescent="0.15">
      <c r="A490" s="260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</row>
    <row r="491" spans="1:24" ht="14" x14ac:dyDescent="0.15">
      <c r="A491" s="260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</row>
    <row r="492" spans="1:24" ht="14" x14ac:dyDescent="0.15">
      <c r="A492" s="260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</row>
    <row r="493" spans="1:24" ht="14" x14ac:dyDescent="0.15">
      <c r="A493" s="260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</row>
    <row r="494" spans="1:24" ht="14" x14ac:dyDescent="0.15">
      <c r="A494" s="260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</row>
    <row r="495" spans="1:24" ht="14" x14ac:dyDescent="0.15">
      <c r="A495" s="260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</row>
    <row r="496" spans="1:24" ht="14" x14ac:dyDescent="0.15">
      <c r="A496" s="260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</row>
    <row r="497" spans="1:24" ht="14" x14ac:dyDescent="0.15">
      <c r="A497" s="260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</row>
    <row r="498" spans="1:24" ht="14" x14ac:dyDescent="0.15">
      <c r="A498" s="260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</row>
    <row r="499" spans="1:24" ht="14" x14ac:dyDescent="0.15">
      <c r="A499" s="260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</row>
    <row r="500" spans="1:24" ht="14" x14ac:dyDescent="0.15">
      <c r="A500" s="260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</row>
    <row r="501" spans="1:24" ht="14" x14ac:dyDescent="0.15">
      <c r="A501" s="260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</row>
    <row r="502" spans="1:24" ht="14" x14ac:dyDescent="0.15">
      <c r="A502" s="260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</row>
    <row r="503" spans="1:24" ht="14" x14ac:dyDescent="0.15">
      <c r="A503" s="260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</row>
    <row r="504" spans="1:24" ht="14" x14ac:dyDescent="0.15">
      <c r="A504" s="260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</row>
    <row r="505" spans="1:24" ht="14" x14ac:dyDescent="0.15">
      <c r="A505" s="260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</row>
    <row r="506" spans="1:24" ht="14" x14ac:dyDescent="0.15">
      <c r="A506" s="260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</row>
    <row r="507" spans="1:24" ht="14" x14ac:dyDescent="0.15">
      <c r="A507" s="260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</row>
    <row r="508" spans="1:24" ht="14" x14ac:dyDescent="0.15">
      <c r="A508" s="260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</row>
    <row r="509" spans="1:24" ht="14" x14ac:dyDescent="0.15">
      <c r="A509" s="260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</row>
    <row r="510" spans="1:24" ht="14" x14ac:dyDescent="0.15">
      <c r="A510" s="260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</row>
    <row r="511" spans="1:24" ht="14" x14ac:dyDescent="0.15">
      <c r="A511" s="260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</row>
    <row r="512" spans="1:24" ht="14" x14ac:dyDescent="0.15">
      <c r="A512" s="260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</row>
    <row r="513" spans="1:24" ht="14" x14ac:dyDescent="0.15">
      <c r="A513" s="260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</row>
    <row r="514" spans="1:24" ht="14" x14ac:dyDescent="0.15">
      <c r="A514" s="260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</row>
    <row r="515" spans="1:24" ht="14" x14ac:dyDescent="0.15">
      <c r="A515" s="260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</row>
    <row r="516" spans="1:24" ht="14" x14ac:dyDescent="0.15">
      <c r="A516" s="260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</row>
    <row r="517" spans="1:24" ht="14" x14ac:dyDescent="0.15">
      <c r="A517" s="260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</row>
    <row r="518" spans="1:24" ht="14" x14ac:dyDescent="0.15">
      <c r="A518" s="260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</row>
    <row r="519" spans="1:24" ht="14" x14ac:dyDescent="0.15">
      <c r="A519" s="260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</row>
    <row r="520" spans="1:24" ht="14" x14ac:dyDescent="0.15">
      <c r="A520" s="260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</row>
    <row r="521" spans="1:24" ht="14" x14ac:dyDescent="0.15">
      <c r="A521" s="260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</row>
    <row r="522" spans="1:24" ht="14" x14ac:dyDescent="0.15">
      <c r="A522" s="260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</row>
    <row r="523" spans="1:24" ht="14" x14ac:dyDescent="0.15">
      <c r="A523" s="260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</row>
    <row r="524" spans="1:24" ht="14" x14ac:dyDescent="0.15">
      <c r="A524" s="260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</row>
    <row r="525" spans="1:24" ht="14" x14ac:dyDescent="0.15">
      <c r="A525" s="260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</row>
    <row r="526" spans="1:24" ht="14" x14ac:dyDescent="0.15">
      <c r="A526" s="260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</row>
    <row r="527" spans="1:24" ht="14" x14ac:dyDescent="0.15">
      <c r="A527" s="260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</row>
    <row r="528" spans="1:24" ht="14" x14ac:dyDescent="0.15">
      <c r="A528" s="260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</row>
    <row r="529" spans="1:24" ht="14" x14ac:dyDescent="0.15">
      <c r="A529" s="260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</row>
    <row r="530" spans="1:24" ht="14" x14ac:dyDescent="0.15">
      <c r="A530" s="260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</row>
    <row r="531" spans="1:24" ht="14" x14ac:dyDescent="0.15">
      <c r="A531" s="260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</row>
    <row r="532" spans="1:24" ht="14" x14ac:dyDescent="0.15">
      <c r="A532" s="260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</row>
    <row r="533" spans="1:24" ht="14" x14ac:dyDescent="0.15">
      <c r="A533" s="260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</row>
    <row r="534" spans="1:24" ht="14" x14ac:dyDescent="0.15">
      <c r="A534" s="260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</row>
    <row r="535" spans="1:24" ht="14" x14ac:dyDescent="0.15">
      <c r="A535" s="260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</row>
    <row r="536" spans="1:24" ht="14" x14ac:dyDescent="0.15">
      <c r="A536" s="260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</row>
    <row r="537" spans="1:24" ht="14" x14ac:dyDescent="0.15">
      <c r="A537" s="260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</row>
    <row r="538" spans="1:24" ht="14" x14ac:dyDescent="0.15">
      <c r="A538" s="260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</row>
    <row r="539" spans="1:24" ht="14" x14ac:dyDescent="0.15">
      <c r="A539" s="260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</row>
    <row r="540" spans="1:24" ht="14" x14ac:dyDescent="0.15">
      <c r="A540" s="260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</row>
    <row r="541" spans="1:24" ht="14" x14ac:dyDescent="0.15">
      <c r="A541" s="260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</row>
    <row r="542" spans="1:24" ht="14" x14ac:dyDescent="0.15">
      <c r="A542" s="260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</row>
    <row r="543" spans="1:24" ht="14" x14ac:dyDescent="0.15">
      <c r="A543" s="260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</row>
    <row r="544" spans="1:24" ht="14" x14ac:dyDescent="0.15">
      <c r="A544" s="260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</row>
    <row r="545" spans="1:24" ht="14" x14ac:dyDescent="0.15">
      <c r="A545" s="260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</row>
    <row r="546" spans="1:24" ht="14" x14ac:dyDescent="0.15">
      <c r="A546" s="260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</row>
    <row r="547" spans="1:24" ht="14" x14ac:dyDescent="0.15">
      <c r="A547" s="260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</row>
    <row r="548" spans="1:24" ht="14" x14ac:dyDescent="0.15">
      <c r="A548" s="260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</row>
    <row r="549" spans="1:24" ht="14" x14ac:dyDescent="0.15">
      <c r="A549" s="260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</row>
    <row r="550" spans="1:24" ht="14" x14ac:dyDescent="0.15">
      <c r="A550" s="260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</row>
    <row r="551" spans="1:24" ht="14" x14ac:dyDescent="0.15">
      <c r="A551" s="260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</row>
    <row r="552" spans="1:24" ht="14" x14ac:dyDescent="0.15">
      <c r="A552" s="260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</row>
    <row r="553" spans="1:24" ht="14" x14ac:dyDescent="0.15">
      <c r="A553" s="260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</row>
    <row r="554" spans="1:24" ht="14" x14ac:dyDescent="0.15">
      <c r="A554" s="260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</row>
    <row r="555" spans="1:24" ht="14" x14ac:dyDescent="0.15">
      <c r="A555" s="260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</row>
    <row r="556" spans="1:24" ht="14" x14ac:dyDescent="0.15">
      <c r="A556" s="260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</row>
    <row r="557" spans="1:24" ht="14" x14ac:dyDescent="0.15">
      <c r="A557" s="260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</row>
    <row r="558" spans="1:24" ht="14" x14ac:dyDescent="0.15">
      <c r="A558" s="260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</row>
    <row r="559" spans="1:24" ht="14" x14ac:dyDescent="0.15">
      <c r="A559" s="260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</row>
    <row r="560" spans="1:24" ht="14" x14ac:dyDescent="0.15">
      <c r="A560" s="260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</row>
    <row r="561" spans="1:24" ht="14" x14ac:dyDescent="0.15">
      <c r="A561" s="260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</row>
    <row r="562" spans="1:24" ht="14" x14ac:dyDescent="0.15">
      <c r="A562" s="260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</row>
    <row r="563" spans="1:24" ht="14" x14ac:dyDescent="0.15">
      <c r="A563" s="260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</row>
    <row r="564" spans="1:24" ht="14" x14ac:dyDescent="0.15">
      <c r="A564" s="260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</row>
    <row r="565" spans="1:24" ht="14" x14ac:dyDescent="0.15">
      <c r="A565" s="260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</row>
    <row r="566" spans="1:24" ht="14" x14ac:dyDescent="0.15">
      <c r="A566" s="260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</row>
    <row r="567" spans="1:24" ht="14" x14ac:dyDescent="0.15">
      <c r="A567" s="260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</row>
    <row r="568" spans="1:24" ht="14" x14ac:dyDescent="0.15">
      <c r="A568" s="260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</row>
    <row r="569" spans="1:24" ht="14" x14ac:dyDescent="0.15">
      <c r="A569" s="260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</row>
    <row r="570" spans="1:24" ht="14" x14ac:dyDescent="0.15">
      <c r="A570" s="260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</row>
    <row r="571" spans="1:24" ht="14" x14ac:dyDescent="0.15">
      <c r="A571" s="260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</row>
    <row r="572" spans="1:24" ht="14" x14ac:dyDescent="0.15">
      <c r="A572" s="260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</row>
    <row r="573" spans="1:24" ht="14" x14ac:dyDescent="0.15">
      <c r="A573" s="260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</row>
    <row r="574" spans="1:24" ht="14" x14ac:dyDescent="0.15">
      <c r="A574" s="260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</row>
    <row r="575" spans="1:24" ht="14" x14ac:dyDescent="0.15">
      <c r="A575" s="260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</row>
    <row r="576" spans="1:24" ht="14" x14ac:dyDescent="0.15">
      <c r="A576" s="260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</row>
    <row r="577" spans="1:24" ht="14" x14ac:dyDescent="0.15">
      <c r="A577" s="260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</row>
    <row r="578" spans="1:24" ht="14" x14ac:dyDescent="0.15">
      <c r="A578" s="260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</row>
    <row r="579" spans="1:24" ht="14" x14ac:dyDescent="0.15">
      <c r="A579" s="260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</row>
    <row r="580" spans="1:24" ht="14" x14ac:dyDescent="0.15">
      <c r="A580" s="260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</row>
    <row r="581" spans="1:24" ht="14" x14ac:dyDescent="0.15">
      <c r="A581" s="260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</row>
    <row r="582" spans="1:24" ht="14" x14ac:dyDescent="0.15">
      <c r="A582" s="260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</row>
    <row r="583" spans="1:24" ht="14" x14ac:dyDescent="0.15">
      <c r="A583" s="260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</row>
    <row r="584" spans="1:24" ht="14" x14ac:dyDescent="0.15">
      <c r="A584" s="260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</row>
    <row r="585" spans="1:24" ht="14" x14ac:dyDescent="0.15">
      <c r="A585" s="260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</row>
    <row r="586" spans="1:24" ht="14" x14ac:dyDescent="0.15">
      <c r="A586" s="260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</row>
    <row r="587" spans="1:24" ht="14" x14ac:dyDescent="0.15">
      <c r="A587" s="260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</row>
    <row r="588" spans="1:24" ht="14" x14ac:dyDescent="0.15">
      <c r="A588" s="260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</row>
    <row r="589" spans="1:24" ht="14" x14ac:dyDescent="0.15">
      <c r="A589" s="260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</row>
    <row r="590" spans="1:24" ht="14" x14ac:dyDescent="0.15">
      <c r="A590" s="260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</row>
    <row r="591" spans="1:24" ht="14" x14ac:dyDescent="0.15">
      <c r="A591" s="260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</row>
    <row r="592" spans="1:24" ht="14" x14ac:dyDescent="0.15">
      <c r="A592" s="260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</row>
    <row r="593" spans="1:24" ht="14" x14ac:dyDescent="0.15">
      <c r="A593" s="260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</row>
    <row r="594" spans="1:24" ht="14" x14ac:dyDescent="0.15">
      <c r="A594" s="260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</row>
    <row r="595" spans="1:24" ht="14" x14ac:dyDescent="0.15">
      <c r="A595" s="260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</row>
    <row r="596" spans="1:24" ht="14" x14ac:dyDescent="0.15">
      <c r="A596" s="260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</row>
    <row r="597" spans="1:24" ht="14" x14ac:dyDescent="0.15">
      <c r="A597" s="260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</row>
    <row r="598" spans="1:24" ht="14" x14ac:dyDescent="0.15">
      <c r="A598" s="260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</row>
    <row r="599" spans="1:24" ht="14" x14ac:dyDescent="0.15">
      <c r="A599" s="260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</row>
    <row r="600" spans="1:24" ht="14" x14ac:dyDescent="0.15">
      <c r="A600" s="260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</row>
    <row r="601" spans="1:24" ht="14" x14ac:dyDescent="0.15">
      <c r="A601" s="260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</row>
    <row r="602" spans="1:24" ht="14" x14ac:dyDescent="0.15">
      <c r="A602" s="260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</row>
    <row r="603" spans="1:24" ht="14" x14ac:dyDescent="0.15">
      <c r="A603" s="260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</row>
    <row r="604" spans="1:24" ht="14" x14ac:dyDescent="0.15">
      <c r="A604" s="260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</row>
    <row r="605" spans="1:24" ht="14" x14ac:dyDescent="0.15">
      <c r="A605" s="260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</row>
    <row r="606" spans="1:24" ht="14" x14ac:dyDescent="0.15">
      <c r="A606" s="260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</row>
    <row r="607" spans="1:24" ht="14" x14ac:dyDescent="0.15">
      <c r="A607" s="260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</row>
    <row r="608" spans="1:24" ht="14" x14ac:dyDescent="0.15">
      <c r="A608" s="260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</row>
    <row r="609" spans="1:24" ht="14" x14ac:dyDescent="0.15">
      <c r="A609" s="260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</row>
    <row r="610" spans="1:24" ht="14" x14ac:dyDescent="0.15">
      <c r="A610" s="260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</row>
    <row r="611" spans="1:24" ht="14" x14ac:dyDescent="0.15">
      <c r="A611" s="260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</row>
    <row r="612" spans="1:24" ht="14" x14ac:dyDescent="0.15">
      <c r="A612" s="260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</row>
    <row r="613" spans="1:24" ht="14" x14ac:dyDescent="0.15">
      <c r="A613" s="260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</row>
    <row r="614" spans="1:24" ht="14" x14ac:dyDescent="0.15">
      <c r="A614" s="260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</row>
    <row r="615" spans="1:24" ht="14" x14ac:dyDescent="0.15">
      <c r="A615" s="260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</row>
    <row r="616" spans="1:24" ht="14" x14ac:dyDescent="0.15">
      <c r="A616" s="260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</row>
    <row r="617" spans="1:24" ht="14" x14ac:dyDescent="0.15">
      <c r="A617" s="260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</row>
    <row r="618" spans="1:24" ht="14" x14ac:dyDescent="0.15">
      <c r="A618" s="260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</row>
    <row r="619" spans="1:24" ht="14" x14ac:dyDescent="0.15">
      <c r="A619" s="260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</row>
    <row r="620" spans="1:24" ht="14" x14ac:dyDescent="0.15">
      <c r="A620" s="260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</row>
    <row r="621" spans="1:24" ht="14" x14ac:dyDescent="0.15">
      <c r="A621" s="260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</row>
    <row r="622" spans="1:24" ht="14" x14ac:dyDescent="0.15">
      <c r="A622" s="260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</row>
    <row r="623" spans="1:24" ht="14" x14ac:dyDescent="0.15">
      <c r="A623" s="260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</row>
    <row r="624" spans="1:24" ht="14" x14ac:dyDescent="0.15">
      <c r="A624" s="260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</row>
    <row r="625" spans="1:24" ht="14" x14ac:dyDescent="0.15">
      <c r="A625" s="260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</row>
    <row r="626" spans="1:24" ht="14" x14ac:dyDescent="0.15">
      <c r="A626" s="260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</row>
    <row r="627" spans="1:24" ht="14" x14ac:dyDescent="0.15">
      <c r="A627" s="260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</row>
    <row r="628" spans="1:24" ht="14" x14ac:dyDescent="0.15">
      <c r="A628" s="260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</row>
    <row r="629" spans="1:24" ht="14" x14ac:dyDescent="0.15">
      <c r="A629" s="260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</row>
    <row r="630" spans="1:24" ht="14" x14ac:dyDescent="0.15">
      <c r="A630" s="260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</row>
    <row r="631" spans="1:24" ht="14" x14ac:dyDescent="0.15">
      <c r="A631" s="260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</row>
    <row r="632" spans="1:24" ht="14" x14ac:dyDescent="0.15">
      <c r="A632" s="260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</row>
    <row r="633" spans="1:24" ht="14" x14ac:dyDescent="0.15">
      <c r="A633" s="260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</row>
    <row r="634" spans="1:24" ht="14" x14ac:dyDescent="0.15">
      <c r="A634" s="260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</row>
    <row r="635" spans="1:24" ht="14" x14ac:dyDescent="0.15">
      <c r="A635" s="260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</row>
    <row r="636" spans="1:24" ht="14" x14ac:dyDescent="0.15">
      <c r="A636" s="260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</row>
    <row r="637" spans="1:24" ht="14" x14ac:dyDescent="0.15">
      <c r="A637" s="260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</row>
    <row r="638" spans="1:24" ht="14" x14ac:dyDescent="0.15">
      <c r="A638" s="260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</row>
    <row r="639" spans="1:24" ht="14" x14ac:dyDescent="0.15">
      <c r="A639" s="260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</row>
    <row r="640" spans="1:24" ht="14" x14ac:dyDescent="0.15">
      <c r="A640" s="260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</row>
    <row r="641" spans="1:24" ht="14" x14ac:dyDescent="0.15">
      <c r="A641" s="260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</row>
    <row r="642" spans="1:24" ht="14" x14ac:dyDescent="0.15">
      <c r="A642" s="260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</row>
    <row r="643" spans="1:24" ht="14" x14ac:dyDescent="0.15">
      <c r="A643" s="260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</row>
    <row r="644" spans="1:24" ht="14" x14ac:dyDescent="0.15">
      <c r="A644" s="260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</row>
    <row r="645" spans="1:24" ht="14" x14ac:dyDescent="0.15">
      <c r="A645" s="260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</row>
    <row r="646" spans="1:24" ht="14" x14ac:dyDescent="0.15">
      <c r="A646" s="260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</row>
    <row r="647" spans="1:24" ht="14" x14ac:dyDescent="0.15">
      <c r="A647" s="260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</row>
    <row r="648" spans="1:24" ht="14" x14ac:dyDescent="0.15">
      <c r="A648" s="260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</row>
    <row r="649" spans="1:24" ht="14" x14ac:dyDescent="0.15">
      <c r="A649" s="260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</row>
    <row r="650" spans="1:24" ht="14" x14ac:dyDescent="0.15">
      <c r="A650" s="260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</row>
    <row r="651" spans="1:24" ht="14" x14ac:dyDescent="0.15">
      <c r="A651" s="260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</row>
    <row r="652" spans="1:24" ht="14" x14ac:dyDescent="0.15">
      <c r="A652" s="260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</row>
    <row r="653" spans="1:24" ht="14" x14ac:dyDescent="0.15">
      <c r="A653" s="260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</row>
    <row r="654" spans="1:24" ht="14" x14ac:dyDescent="0.15">
      <c r="A654" s="260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</row>
    <row r="655" spans="1:24" ht="14" x14ac:dyDescent="0.15">
      <c r="A655" s="260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</row>
    <row r="656" spans="1:24" ht="14" x14ac:dyDescent="0.15">
      <c r="A656" s="260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</row>
    <row r="657" spans="1:24" ht="14" x14ac:dyDescent="0.15">
      <c r="A657" s="260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</row>
    <row r="658" spans="1:24" ht="14" x14ac:dyDescent="0.15">
      <c r="A658" s="260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</row>
    <row r="659" spans="1:24" ht="14" x14ac:dyDescent="0.15">
      <c r="A659" s="260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</row>
    <row r="660" spans="1:24" ht="14" x14ac:dyDescent="0.15">
      <c r="A660" s="260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</row>
    <row r="661" spans="1:24" ht="14" x14ac:dyDescent="0.15">
      <c r="A661" s="260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</row>
    <row r="662" spans="1:24" ht="14" x14ac:dyDescent="0.15">
      <c r="A662" s="260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</row>
    <row r="663" spans="1:24" ht="14" x14ac:dyDescent="0.15">
      <c r="A663" s="260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</row>
    <row r="664" spans="1:24" ht="14" x14ac:dyDescent="0.15">
      <c r="A664" s="260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</row>
    <row r="665" spans="1:24" ht="14" x14ac:dyDescent="0.15">
      <c r="A665" s="260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</row>
    <row r="666" spans="1:24" ht="14" x14ac:dyDescent="0.15">
      <c r="A666" s="260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</row>
    <row r="667" spans="1:24" ht="14" x14ac:dyDescent="0.15">
      <c r="A667" s="260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</row>
    <row r="668" spans="1:24" ht="14" x14ac:dyDescent="0.15">
      <c r="A668" s="260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</row>
    <row r="669" spans="1:24" ht="14" x14ac:dyDescent="0.15">
      <c r="A669" s="260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</row>
    <row r="670" spans="1:24" ht="14" x14ac:dyDescent="0.15">
      <c r="A670" s="260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</row>
    <row r="671" spans="1:24" ht="14" x14ac:dyDescent="0.15">
      <c r="A671" s="260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</row>
    <row r="672" spans="1:24" ht="14" x14ac:dyDescent="0.15">
      <c r="A672" s="260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</row>
    <row r="673" spans="1:24" ht="14" x14ac:dyDescent="0.15">
      <c r="A673" s="260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</row>
    <row r="674" spans="1:24" ht="14" x14ac:dyDescent="0.15">
      <c r="A674" s="260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</row>
    <row r="675" spans="1:24" ht="14" x14ac:dyDescent="0.15">
      <c r="A675" s="260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</row>
    <row r="676" spans="1:24" ht="14" x14ac:dyDescent="0.15">
      <c r="A676" s="260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</row>
    <row r="677" spans="1:24" ht="14" x14ac:dyDescent="0.15">
      <c r="A677" s="260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</row>
    <row r="678" spans="1:24" ht="14" x14ac:dyDescent="0.15">
      <c r="A678" s="260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</row>
    <row r="679" spans="1:24" ht="14" x14ac:dyDescent="0.15">
      <c r="A679" s="260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</row>
    <row r="680" spans="1:24" ht="14" x14ac:dyDescent="0.15">
      <c r="A680" s="260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</row>
    <row r="681" spans="1:24" ht="14" x14ac:dyDescent="0.15">
      <c r="A681" s="260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</row>
    <row r="682" spans="1:24" ht="14" x14ac:dyDescent="0.15">
      <c r="A682" s="260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</row>
    <row r="683" spans="1:24" ht="14" x14ac:dyDescent="0.15">
      <c r="A683" s="260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</row>
    <row r="684" spans="1:24" ht="14" x14ac:dyDescent="0.15">
      <c r="A684" s="260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</row>
    <row r="685" spans="1:24" ht="14" x14ac:dyDescent="0.15">
      <c r="A685" s="260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</row>
    <row r="686" spans="1:24" ht="14" x14ac:dyDescent="0.15">
      <c r="A686" s="260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</row>
    <row r="687" spans="1:24" ht="14" x14ac:dyDescent="0.15">
      <c r="A687" s="260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</row>
    <row r="688" spans="1:24" ht="14" x14ac:dyDescent="0.15">
      <c r="A688" s="260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</row>
    <row r="689" spans="1:24" ht="14" x14ac:dyDescent="0.15">
      <c r="A689" s="260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</row>
    <row r="690" spans="1:24" ht="14" x14ac:dyDescent="0.15">
      <c r="A690" s="260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</row>
    <row r="691" spans="1:24" ht="14" x14ac:dyDescent="0.15">
      <c r="A691" s="260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</row>
    <row r="692" spans="1:24" ht="14" x14ac:dyDescent="0.15">
      <c r="A692" s="260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</row>
    <row r="693" spans="1:24" ht="14" x14ac:dyDescent="0.15">
      <c r="A693" s="260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</row>
    <row r="694" spans="1:24" ht="14" x14ac:dyDescent="0.15">
      <c r="A694" s="260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</row>
    <row r="695" spans="1:24" ht="14" x14ac:dyDescent="0.15">
      <c r="A695" s="260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</row>
    <row r="696" spans="1:24" ht="14" x14ac:dyDescent="0.15">
      <c r="A696" s="260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</row>
    <row r="697" spans="1:24" ht="14" x14ac:dyDescent="0.15">
      <c r="A697" s="260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</row>
    <row r="698" spans="1:24" ht="14" x14ac:dyDescent="0.15">
      <c r="A698" s="260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</row>
    <row r="699" spans="1:24" ht="14" x14ac:dyDescent="0.15">
      <c r="A699" s="260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</row>
    <row r="700" spans="1:24" ht="14" x14ac:dyDescent="0.15">
      <c r="A700" s="260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</row>
    <row r="701" spans="1:24" ht="14" x14ac:dyDescent="0.15">
      <c r="A701" s="260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</row>
    <row r="702" spans="1:24" ht="14" x14ac:dyDescent="0.15">
      <c r="A702" s="260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</row>
    <row r="703" spans="1:24" ht="14" x14ac:dyDescent="0.15">
      <c r="A703" s="260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</row>
    <row r="704" spans="1:24" ht="14" x14ac:dyDescent="0.15">
      <c r="A704" s="260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</row>
    <row r="705" spans="1:24" ht="14" x14ac:dyDescent="0.15">
      <c r="A705" s="260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</row>
    <row r="706" spans="1:24" ht="14" x14ac:dyDescent="0.15">
      <c r="A706" s="260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</row>
    <row r="707" spans="1:24" ht="14" x14ac:dyDescent="0.15">
      <c r="A707" s="260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</row>
    <row r="708" spans="1:24" ht="14" x14ac:dyDescent="0.15">
      <c r="A708" s="260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</row>
    <row r="709" spans="1:24" ht="14" x14ac:dyDescent="0.15">
      <c r="A709" s="260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</row>
    <row r="710" spans="1:24" ht="14" x14ac:dyDescent="0.15">
      <c r="A710" s="260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</row>
    <row r="711" spans="1:24" ht="14" x14ac:dyDescent="0.15">
      <c r="A711" s="260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</row>
    <row r="712" spans="1:24" ht="14" x14ac:dyDescent="0.15">
      <c r="A712" s="260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</row>
    <row r="713" spans="1:24" ht="14" x14ac:dyDescent="0.15">
      <c r="A713" s="260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</row>
    <row r="714" spans="1:24" ht="14" x14ac:dyDescent="0.15">
      <c r="A714" s="260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</row>
    <row r="715" spans="1:24" ht="14" x14ac:dyDescent="0.15">
      <c r="A715" s="260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</row>
    <row r="716" spans="1:24" ht="14" x14ac:dyDescent="0.15">
      <c r="A716" s="260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</row>
    <row r="717" spans="1:24" ht="14" x14ac:dyDescent="0.15">
      <c r="A717" s="260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</row>
    <row r="718" spans="1:24" ht="14" x14ac:dyDescent="0.15">
      <c r="A718" s="260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</row>
    <row r="719" spans="1:24" ht="14" x14ac:dyDescent="0.15">
      <c r="A719" s="260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</row>
    <row r="720" spans="1:24" ht="14" x14ac:dyDescent="0.15">
      <c r="A720" s="260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</row>
    <row r="721" spans="1:24" ht="14" x14ac:dyDescent="0.15">
      <c r="A721" s="260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</row>
    <row r="722" spans="1:24" ht="14" x14ac:dyDescent="0.15">
      <c r="A722" s="260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</row>
    <row r="723" spans="1:24" ht="14" x14ac:dyDescent="0.15">
      <c r="A723" s="260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</row>
    <row r="724" spans="1:24" ht="14" x14ac:dyDescent="0.15">
      <c r="A724" s="260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</row>
    <row r="725" spans="1:24" ht="14" x14ac:dyDescent="0.15">
      <c r="A725" s="260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</row>
    <row r="726" spans="1:24" ht="14" x14ac:dyDescent="0.15">
      <c r="A726" s="260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</row>
    <row r="727" spans="1:24" ht="14" x14ac:dyDescent="0.15">
      <c r="A727" s="260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</row>
    <row r="728" spans="1:24" ht="14" x14ac:dyDescent="0.15">
      <c r="A728" s="260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</row>
    <row r="729" spans="1:24" ht="14" x14ac:dyDescent="0.15">
      <c r="A729" s="260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</row>
    <row r="730" spans="1:24" ht="14" x14ac:dyDescent="0.15">
      <c r="A730" s="260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</row>
    <row r="731" spans="1:24" ht="14" x14ac:dyDescent="0.15">
      <c r="A731" s="260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</row>
    <row r="732" spans="1:24" ht="14" x14ac:dyDescent="0.15">
      <c r="A732" s="260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</row>
    <row r="733" spans="1:24" ht="14" x14ac:dyDescent="0.15">
      <c r="A733" s="260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</row>
    <row r="734" spans="1:24" ht="14" x14ac:dyDescent="0.15">
      <c r="A734" s="260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</row>
    <row r="735" spans="1:24" ht="14" x14ac:dyDescent="0.15">
      <c r="A735" s="260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</row>
    <row r="736" spans="1:24" ht="14" x14ac:dyDescent="0.15">
      <c r="A736" s="260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</row>
    <row r="737" spans="1:24" ht="14" x14ac:dyDescent="0.15">
      <c r="A737" s="260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</row>
    <row r="738" spans="1:24" ht="14" x14ac:dyDescent="0.15">
      <c r="A738" s="260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</row>
    <row r="739" spans="1:24" ht="14" x14ac:dyDescent="0.15">
      <c r="A739" s="260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</row>
    <row r="740" spans="1:24" ht="14" x14ac:dyDescent="0.15">
      <c r="A740" s="260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</row>
    <row r="741" spans="1:24" ht="14" x14ac:dyDescent="0.15">
      <c r="A741" s="260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</row>
    <row r="742" spans="1:24" ht="14" x14ac:dyDescent="0.15">
      <c r="A742" s="260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</row>
    <row r="743" spans="1:24" ht="14" x14ac:dyDescent="0.15">
      <c r="A743" s="260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</row>
    <row r="744" spans="1:24" ht="14" x14ac:dyDescent="0.15">
      <c r="A744" s="260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</row>
    <row r="745" spans="1:24" ht="14" x14ac:dyDescent="0.15">
      <c r="A745" s="260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</row>
    <row r="746" spans="1:24" ht="14" x14ac:dyDescent="0.15">
      <c r="A746" s="260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</row>
    <row r="747" spans="1:24" ht="14" x14ac:dyDescent="0.15">
      <c r="A747" s="260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</row>
    <row r="748" spans="1:24" ht="14" x14ac:dyDescent="0.15">
      <c r="A748" s="260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</row>
    <row r="749" spans="1:24" ht="14" x14ac:dyDescent="0.15">
      <c r="A749" s="260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</row>
    <row r="750" spans="1:24" ht="14" x14ac:dyDescent="0.15">
      <c r="A750" s="260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</row>
    <row r="751" spans="1:24" ht="14" x14ac:dyDescent="0.15">
      <c r="A751" s="260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</row>
    <row r="752" spans="1:24" ht="14" x14ac:dyDescent="0.15">
      <c r="A752" s="260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</row>
    <row r="753" spans="1:24" ht="14" x14ac:dyDescent="0.15">
      <c r="A753" s="260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</row>
    <row r="754" spans="1:24" ht="14" x14ac:dyDescent="0.15">
      <c r="A754" s="260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</row>
    <row r="755" spans="1:24" ht="14" x14ac:dyDescent="0.15">
      <c r="A755" s="260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</row>
    <row r="756" spans="1:24" ht="14" x14ac:dyDescent="0.15">
      <c r="A756" s="260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</row>
    <row r="757" spans="1:24" ht="14" x14ac:dyDescent="0.15">
      <c r="A757" s="260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</row>
    <row r="758" spans="1:24" ht="14" x14ac:dyDescent="0.15">
      <c r="A758" s="260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</row>
    <row r="759" spans="1:24" ht="14" x14ac:dyDescent="0.15">
      <c r="A759" s="260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</row>
    <row r="760" spans="1:24" ht="14" x14ac:dyDescent="0.15">
      <c r="A760" s="260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</row>
    <row r="761" spans="1:24" ht="14" x14ac:dyDescent="0.15">
      <c r="A761" s="260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</row>
    <row r="762" spans="1:24" ht="14" x14ac:dyDescent="0.15">
      <c r="A762" s="260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</row>
    <row r="763" spans="1:24" ht="14" x14ac:dyDescent="0.15">
      <c r="A763" s="260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</row>
    <row r="764" spans="1:24" ht="14" x14ac:dyDescent="0.15">
      <c r="A764" s="260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</row>
    <row r="765" spans="1:24" ht="14" x14ac:dyDescent="0.15">
      <c r="A765" s="260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</row>
    <row r="766" spans="1:24" ht="14" x14ac:dyDescent="0.15">
      <c r="A766" s="260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</row>
    <row r="767" spans="1:24" ht="14" x14ac:dyDescent="0.15">
      <c r="A767" s="260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</row>
    <row r="768" spans="1:24" ht="14" x14ac:dyDescent="0.15">
      <c r="A768" s="260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</row>
    <row r="769" spans="1:24" ht="14" x14ac:dyDescent="0.15">
      <c r="A769" s="260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</row>
    <row r="770" spans="1:24" ht="14" x14ac:dyDescent="0.15">
      <c r="A770" s="260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</row>
    <row r="771" spans="1:24" ht="14" x14ac:dyDescent="0.15">
      <c r="A771" s="260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</row>
    <row r="772" spans="1:24" ht="14" x14ac:dyDescent="0.15">
      <c r="A772" s="260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</row>
    <row r="773" spans="1:24" ht="14" x14ac:dyDescent="0.15">
      <c r="A773" s="260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</row>
    <row r="774" spans="1:24" ht="14" x14ac:dyDescent="0.15">
      <c r="A774" s="260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</row>
    <row r="775" spans="1:24" ht="14" x14ac:dyDescent="0.15">
      <c r="A775" s="260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</row>
    <row r="776" spans="1:24" ht="14" x14ac:dyDescent="0.15">
      <c r="A776" s="260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</row>
    <row r="777" spans="1:24" ht="14" x14ac:dyDescent="0.15">
      <c r="A777" s="260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</row>
    <row r="778" spans="1:24" ht="14" x14ac:dyDescent="0.15">
      <c r="A778" s="260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</row>
    <row r="779" spans="1:24" ht="14" x14ac:dyDescent="0.15">
      <c r="A779" s="260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</row>
    <row r="780" spans="1:24" ht="14" x14ac:dyDescent="0.15">
      <c r="A780" s="260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</row>
    <row r="781" spans="1:24" ht="14" x14ac:dyDescent="0.15">
      <c r="A781" s="260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</row>
    <row r="782" spans="1:24" ht="14" x14ac:dyDescent="0.15">
      <c r="A782" s="260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</row>
    <row r="783" spans="1:24" ht="14" x14ac:dyDescent="0.15">
      <c r="A783" s="260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</row>
    <row r="784" spans="1:24" ht="14" x14ac:dyDescent="0.15">
      <c r="A784" s="260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</row>
    <row r="785" spans="1:24" ht="14" x14ac:dyDescent="0.15">
      <c r="A785" s="260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</row>
    <row r="786" spans="1:24" ht="14" x14ac:dyDescent="0.15">
      <c r="A786" s="260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</row>
    <row r="787" spans="1:24" ht="14" x14ac:dyDescent="0.15">
      <c r="A787" s="260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</row>
    <row r="788" spans="1:24" ht="14" x14ac:dyDescent="0.15">
      <c r="A788" s="260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</row>
    <row r="789" spans="1:24" ht="14" x14ac:dyDescent="0.15">
      <c r="A789" s="260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</row>
    <row r="790" spans="1:24" ht="14" x14ac:dyDescent="0.15">
      <c r="A790" s="260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</row>
    <row r="791" spans="1:24" ht="14" x14ac:dyDescent="0.15">
      <c r="A791" s="260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</row>
    <row r="792" spans="1:24" ht="14" x14ac:dyDescent="0.15">
      <c r="A792" s="260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</row>
    <row r="793" spans="1:24" ht="14" x14ac:dyDescent="0.15">
      <c r="A793" s="260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</row>
    <row r="794" spans="1:24" ht="14" x14ac:dyDescent="0.15">
      <c r="A794" s="260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</row>
    <row r="795" spans="1:24" ht="14" x14ac:dyDescent="0.15">
      <c r="A795" s="260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</row>
    <row r="796" spans="1:24" ht="14" x14ac:dyDescent="0.15">
      <c r="A796" s="260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</row>
    <row r="797" spans="1:24" ht="14" x14ac:dyDescent="0.15">
      <c r="A797" s="260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</row>
    <row r="798" spans="1:24" ht="14" x14ac:dyDescent="0.15">
      <c r="A798" s="260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</row>
    <row r="799" spans="1:24" ht="14" x14ac:dyDescent="0.15">
      <c r="A799" s="260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</row>
    <row r="800" spans="1:24" ht="14" x14ac:dyDescent="0.15">
      <c r="A800" s="260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</row>
    <row r="801" spans="1:24" ht="14" x14ac:dyDescent="0.15">
      <c r="A801" s="260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</row>
    <row r="802" spans="1:24" ht="14" x14ac:dyDescent="0.15">
      <c r="A802" s="260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</row>
    <row r="803" spans="1:24" ht="14" x14ac:dyDescent="0.15">
      <c r="A803" s="260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</row>
    <row r="804" spans="1:24" ht="14" x14ac:dyDescent="0.15">
      <c r="A804" s="260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</row>
    <row r="805" spans="1:24" ht="14" x14ac:dyDescent="0.15">
      <c r="A805" s="260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</row>
    <row r="806" spans="1:24" ht="14" x14ac:dyDescent="0.15">
      <c r="A806" s="260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</row>
    <row r="807" spans="1:24" ht="14" x14ac:dyDescent="0.15">
      <c r="A807" s="260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</row>
    <row r="808" spans="1:24" ht="14" x14ac:dyDescent="0.15">
      <c r="A808" s="260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</row>
    <row r="809" spans="1:24" ht="14" x14ac:dyDescent="0.15">
      <c r="A809" s="260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</row>
    <row r="810" spans="1:24" ht="14" x14ac:dyDescent="0.15">
      <c r="A810" s="260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</row>
    <row r="811" spans="1:24" ht="14" x14ac:dyDescent="0.15">
      <c r="A811" s="260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</row>
    <row r="812" spans="1:24" ht="14" x14ac:dyDescent="0.15">
      <c r="A812" s="260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</row>
    <row r="813" spans="1:24" ht="14" x14ac:dyDescent="0.15">
      <c r="A813" s="260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</row>
    <row r="814" spans="1:24" ht="14" x14ac:dyDescent="0.15">
      <c r="A814" s="260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</row>
    <row r="815" spans="1:24" ht="14" x14ac:dyDescent="0.15">
      <c r="A815" s="260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</row>
    <row r="816" spans="1:24" ht="14" x14ac:dyDescent="0.15">
      <c r="A816" s="260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</row>
    <row r="817" spans="1:24" ht="14" x14ac:dyDescent="0.15">
      <c r="A817" s="260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</row>
    <row r="818" spans="1:24" ht="14" x14ac:dyDescent="0.15">
      <c r="A818" s="260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</row>
    <row r="819" spans="1:24" ht="14" x14ac:dyDescent="0.15">
      <c r="A819" s="260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</row>
    <row r="820" spans="1:24" ht="14" x14ac:dyDescent="0.15">
      <c r="A820" s="260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</row>
    <row r="821" spans="1:24" ht="14" x14ac:dyDescent="0.15">
      <c r="A821" s="260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</row>
    <row r="822" spans="1:24" ht="14" x14ac:dyDescent="0.15">
      <c r="A822" s="260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</row>
    <row r="823" spans="1:24" ht="14" x14ac:dyDescent="0.15">
      <c r="A823" s="260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</row>
    <row r="824" spans="1:24" ht="14" x14ac:dyDescent="0.15">
      <c r="A824" s="260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</row>
    <row r="825" spans="1:24" ht="14" x14ac:dyDescent="0.15">
      <c r="A825" s="260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</row>
    <row r="826" spans="1:24" ht="14" x14ac:dyDescent="0.15">
      <c r="A826" s="260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</row>
    <row r="827" spans="1:24" ht="14" x14ac:dyDescent="0.15">
      <c r="A827" s="260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</row>
    <row r="828" spans="1:24" ht="14" x14ac:dyDescent="0.15">
      <c r="A828" s="260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</row>
    <row r="829" spans="1:24" ht="14" x14ac:dyDescent="0.15">
      <c r="A829" s="260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</row>
    <row r="830" spans="1:24" ht="14" x14ac:dyDescent="0.15">
      <c r="A830" s="260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</row>
    <row r="831" spans="1:24" ht="14" x14ac:dyDescent="0.15">
      <c r="A831" s="260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</row>
    <row r="832" spans="1:24" ht="14" x14ac:dyDescent="0.15">
      <c r="A832" s="260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</row>
    <row r="833" spans="1:24" ht="14" x14ac:dyDescent="0.15">
      <c r="A833" s="260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</row>
    <row r="834" spans="1:24" ht="14" x14ac:dyDescent="0.15">
      <c r="A834" s="260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</row>
    <row r="835" spans="1:24" ht="14" x14ac:dyDescent="0.15">
      <c r="A835" s="260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</row>
    <row r="836" spans="1:24" ht="14" x14ac:dyDescent="0.15">
      <c r="A836" s="260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</row>
    <row r="837" spans="1:24" ht="14" x14ac:dyDescent="0.15">
      <c r="A837" s="260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</row>
    <row r="838" spans="1:24" ht="14" x14ac:dyDescent="0.15">
      <c r="A838" s="260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</row>
    <row r="839" spans="1:24" ht="14" x14ac:dyDescent="0.15">
      <c r="A839" s="260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</row>
    <row r="840" spans="1:24" ht="14" x14ac:dyDescent="0.15">
      <c r="A840" s="260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</row>
    <row r="841" spans="1:24" ht="14" x14ac:dyDescent="0.15">
      <c r="A841" s="260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</row>
    <row r="842" spans="1:24" ht="14" x14ac:dyDescent="0.15">
      <c r="A842" s="260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</row>
    <row r="843" spans="1:24" ht="14" x14ac:dyDescent="0.15">
      <c r="A843" s="260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</row>
    <row r="844" spans="1:24" ht="14" x14ac:dyDescent="0.15">
      <c r="A844" s="260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</row>
    <row r="845" spans="1:24" ht="14" x14ac:dyDescent="0.15">
      <c r="A845" s="260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</row>
    <row r="846" spans="1:24" ht="14" x14ac:dyDescent="0.15">
      <c r="A846" s="260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</row>
    <row r="847" spans="1:24" ht="14" x14ac:dyDescent="0.15">
      <c r="A847" s="260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</row>
    <row r="848" spans="1:24" ht="14" x14ac:dyDescent="0.15">
      <c r="A848" s="260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</row>
    <row r="849" spans="1:24" ht="14" x14ac:dyDescent="0.15">
      <c r="A849" s="260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</row>
    <row r="850" spans="1:24" ht="14" x14ac:dyDescent="0.15">
      <c r="A850" s="260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</row>
    <row r="851" spans="1:24" ht="14" x14ac:dyDescent="0.15">
      <c r="A851" s="260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</row>
    <row r="852" spans="1:24" ht="14" x14ac:dyDescent="0.15">
      <c r="A852" s="260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</row>
    <row r="853" spans="1:24" ht="14" x14ac:dyDescent="0.15">
      <c r="A853" s="260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</row>
    <row r="854" spans="1:24" ht="14" x14ac:dyDescent="0.15">
      <c r="A854" s="260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</row>
    <row r="855" spans="1:24" ht="14" x14ac:dyDescent="0.15">
      <c r="A855" s="260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</row>
    <row r="856" spans="1:24" ht="14" x14ac:dyDescent="0.15">
      <c r="A856" s="260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</row>
    <row r="857" spans="1:24" ht="14" x14ac:dyDescent="0.15">
      <c r="A857" s="260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</row>
    <row r="858" spans="1:24" ht="14" x14ac:dyDescent="0.15">
      <c r="A858" s="260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</row>
    <row r="859" spans="1:24" ht="14" x14ac:dyDescent="0.15">
      <c r="A859" s="260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</row>
    <row r="860" spans="1:24" ht="14" x14ac:dyDescent="0.15">
      <c r="A860" s="260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</row>
    <row r="861" spans="1:24" ht="14" x14ac:dyDescent="0.15">
      <c r="A861" s="260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</row>
    <row r="862" spans="1:24" ht="14" x14ac:dyDescent="0.15">
      <c r="A862" s="260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</row>
    <row r="863" spans="1:24" ht="14" x14ac:dyDescent="0.15">
      <c r="A863" s="260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</row>
    <row r="864" spans="1:24" ht="14" x14ac:dyDescent="0.15">
      <c r="A864" s="260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</row>
    <row r="865" spans="1:24" ht="14" x14ac:dyDescent="0.15">
      <c r="A865" s="260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</row>
    <row r="866" spans="1:24" ht="14" x14ac:dyDescent="0.15">
      <c r="A866" s="260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</row>
    <row r="867" spans="1:24" ht="14" x14ac:dyDescent="0.15">
      <c r="A867" s="260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</row>
    <row r="868" spans="1:24" ht="14" x14ac:dyDescent="0.15">
      <c r="A868" s="260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</row>
    <row r="869" spans="1:24" ht="14" x14ac:dyDescent="0.15">
      <c r="A869" s="260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</row>
    <row r="870" spans="1:24" ht="14" x14ac:dyDescent="0.15">
      <c r="A870" s="260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</row>
    <row r="871" spans="1:24" ht="14" x14ac:dyDescent="0.15">
      <c r="A871" s="260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</row>
    <row r="872" spans="1:24" ht="14" x14ac:dyDescent="0.15">
      <c r="A872" s="260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</row>
    <row r="873" spans="1:24" ht="14" x14ac:dyDescent="0.15">
      <c r="A873" s="260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</row>
    <row r="874" spans="1:24" ht="14" x14ac:dyDescent="0.15">
      <c r="A874" s="260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</row>
    <row r="875" spans="1:24" ht="14" x14ac:dyDescent="0.15">
      <c r="A875" s="260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</row>
    <row r="876" spans="1:24" ht="14" x14ac:dyDescent="0.15">
      <c r="A876" s="260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</row>
    <row r="877" spans="1:24" ht="14" x14ac:dyDescent="0.15">
      <c r="A877" s="260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</row>
    <row r="878" spans="1:24" ht="14" x14ac:dyDescent="0.15">
      <c r="A878" s="260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</row>
    <row r="879" spans="1:24" ht="14" x14ac:dyDescent="0.15">
      <c r="A879" s="260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</row>
    <row r="880" spans="1:24" ht="14" x14ac:dyDescent="0.15">
      <c r="A880" s="260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</row>
    <row r="881" spans="1:24" ht="14" x14ac:dyDescent="0.15">
      <c r="A881" s="260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</row>
    <row r="882" spans="1:24" ht="14" x14ac:dyDescent="0.15">
      <c r="A882" s="260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</row>
    <row r="883" spans="1:24" ht="14" x14ac:dyDescent="0.15">
      <c r="A883" s="260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</row>
    <row r="884" spans="1:24" ht="14" x14ac:dyDescent="0.15">
      <c r="A884" s="260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</row>
    <row r="885" spans="1:24" ht="14" x14ac:dyDescent="0.15">
      <c r="A885" s="260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</row>
    <row r="886" spans="1:24" ht="14" x14ac:dyDescent="0.15">
      <c r="A886" s="260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</row>
    <row r="887" spans="1:24" ht="14" x14ac:dyDescent="0.15">
      <c r="A887" s="260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</row>
    <row r="888" spans="1:24" ht="14" x14ac:dyDescent="0.15">
      <c r="A888" s="260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</row>
    <row r="889" spans="1:24" ht="14" x14ac:dyDescent="0.15">
      <c r="A889" s="260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</row>
    <row r="890" spans="1:24" ht="14" x14ac:dyDescent="0.15">
      <c r="A890" s="260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</row>
    <row r="891" spans="1:24" ht="14" x14ac:dyDescent="0.15">
      <c r="A891" s="260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</row>
    <row r="892" spans="1:24" ht="14" x14ac:dyDescent="0.15">
      <c r="A892" s="260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</row>
    <row r="893" spans="1:24" ht="14" x14ac:dyDescent="0.15">
      <c r="A893" s="260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</row>
    <row r="894" spans="1:24" ht="14" x14ac:dyDescent="0.15">
      <c r="A894" s="260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</row>
    <row r="895" spans="1:24" ht="14" x14ac:dyDescent="0.15">
      <c r="A895" s="260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</row>
    <row r="896" spans="1:24" ht="14" x14ac:dyDescent="0.15">
      <c r="A896" s="260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</row>
    <row r="897" spans="1:24" ht="14" x14ac:dyDescent="0.15">
      <c r="A897" s="260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</row>
    <row r="898" spans="1:24" ht="14" x14ac:dyDescent="0.15">
      <c r="A898" s="260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</row>
    <row r="899" spans="1:24" ht="14" x14ac:dyDescent="0.15">
      <c r="A899" s="260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</row>
    <row r="900" spans="1:24" ht="14" x14ac:dyDescent="0.15">
      <c r="A900" s="260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</row>
    <row r="901" spans="1:24" ht="14" x14ac:dyDescent="0.15">
      <c r="A901" s="260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</row>
    <row r="902" spans="1:24" ht="14" x14ac:dyDescent="0.15">
      <c r="A902" s="260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</row>
    <row r="903" spans="1:24" ht="14" x14ac:dyDescent="0.15">
      <c r="A903" s="260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</row>
    <row r="904" spans="1:24" ht="14" x14ac:dyDescent="0.15">
      <c r="A904" s="260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</row>
    <row r="905" spans="1:24" ht="14" x14ac:dyDescent="0.15">
      <c r="A905" s="260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</row>
    <row r="906" spans="1:24" ht="14" x14ac:dyDescent="0.15">
      <c r="A906" s="260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</row>
    <row r="907" spans="1:24" ht="14" x14ac:dyDescent="0.15">
      <c r="A907" s="260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</row>
    <row r="908" spans="1:24" ht="14" x14ac:dyDescent="0.15">
      <c r="A908" s="260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</row>
    <row r="909" spans="1:24" ht="14" x14ac:dyDescent="0.15">
      <c r="A909" s="260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</row>
    <row r="910" spans="1:24" ht="14" x14ac:dyDescent="0.15">
      <c r="A910" s="260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</row>
    <row r="911" spans="1:24" ht="14" x14ac:dyDescent="0.15">
      <c r="A911" s="260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</row>
    <row r="912" spans="1:24" ht="14" x14ac:dyDescent="0.15">
      <c r="A912" s="260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</row>
    <row r="913" spans="1:24" ht="14" x14ac:dyDescent="0.15">
      <c r="A913" s="260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</row>
    <row r="914" spans="1:24" ht="14" x14ac:dyDescent="0.15">
      <c r="A914" s="260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</row>
    <row r="915" spans="1:24" ht="14" x14ac:dyDescent="0.15">
      <c r="A915" s="260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</row>
    <row r="916" spans="1:24" ht="14" x14ac:dyDescent="0.15">
      <c r="A916" s="260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</row>
    <row r="917" spans="1:24" ht="14" x14ac:dyDescent="0.15">
      <c r="A917" s="260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</row>
    <row r="918" spans="1:24" ht="14" x14ac:dyDescent="0.15">
      <c r="A918" s="260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</row>
    <row r="919" spans="1:24" ht="14" x14ac:dyDescent="0.15">
      <c r="A919" s="260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</row>
    <row r="920" spans="1:24" ht="14" x14ac:dyDescent="0.15">
      <c r="A920" s="260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</row>
    <row r="921" spans="1:24" ht="14" x14ac:dyDescent="0.15">
      <c r="A921" s="260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</row>
    <row r="922" spans="1:24" ht="14" x14ac:dyDescent="0.15">
      <c r="A922" s="260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</row>
    <row r="923" spans="1:24" ht="14" x14ac:dyDescent="0.15">
      <c r="A923" s="260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</row>
    <row r="924" spans="1:24" ht="14" x14ac:dyDescent="0.15">
      <c r="A924" s="260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</row>
    <row r="925" spans="1:24" ht="14" x14ac:dyDescent="0.15">
      <c r="A925" s="260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</row>
    <row r="926" spans="1:24" ht="14" x14ac:dyDescent="0.15">
      <c r="A926" s="260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</row>
    <row r="927" spans="1:24" ht="14" x14ac:dyDescent="0.15">
      <c r="A927" s="260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</row>
    <row r="928" spans="1:24" ht="14" x14ac:dyDescent="0.15">
      <c r="A928" s="260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</row>
    <row r="929" spans="1:24" ht="14" x14ac:dyDescent="0.15">
      <c r="A929" s="260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</row>
    <row r="930" spans="1:24" ht="14" x14ac:dyDescent="0.15">
      <c r="A930" s="260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</row>
    <row r="931" spans="1:24" ht="14" x14ac:dyDescent="0.15">
      <c r="A931" s="260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</row>
    <row r="932" spans="1:24" ht="14" x14ac:dyDescent="0.15">
      <c r="A932" s="260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</row>
    <row r="933" spans="1:24" ht="14" x14ac:dyDescent="0.15">
      <c r="A933" s="260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</row>
    <row r="934" spans="1:24" ht="14" x14ac:dyDescent="0.15">
      <c r="A934" s="260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</row>
    <row r="935" spans="1:24" ht="14" x14ac:dyDescent="0.15">
      <c r="A935" s="260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</row>
    <row r="936" spans="1:24" ht="14" x14ac:dyDescent="0.15">
      <c r="A936" s="260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</row>
    <row r="937" spans="1:24" ht="14" x14ac:dyDescent="0.15">
      <c r="A937" s="260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</row>
    <row r="938" spans="1:24" ht="14" x14ac:dyDescent="0.15">
      <c r="A938" s="260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</row>
    <row r="939" spans="1:24" ht="14" x14ac:dyDescent="0.15">
      <c r="A939" s="260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</row>
    <row r="940" spans="1:24" ht="14" x14ac:dyDescent="0.15">
      <c r="A940" s="260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</row>
    <row r="941" spans="1:24" ht="14" x14ac:dyDescent="0.15">
      <c r="A941" s="260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</row>
    <row r="942" spans="1:24" ht="14" x14ac:dyDescent="0.15">
      <c r="A942" s="260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</row>
    <row r="943" spans="1:24" ht="14" x14ac:dyDescent="0.15">
      <c r="A943" s="260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</row>
    <row r="944" spans="1:24" ht="14" x14ac:dyDescent="0.15">
      <c r="A944" s="260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</row>
    <row r="945" spans="1:24" ht="14" x14ac:dyDescent="0.15">
      <c r="A945" s="260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</row>
    <row r="946" spans="1:24" ht="14" x14ac:dyDescent="0.15">
      <c r="A946" s="260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</row>
    <row r="947" spans="1:24" ht="14" x14ac:dyDescent="0.15">
      <c r="A947" s="260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</row>
    <row r="948" spans="1:24" ht="14" x14ac:dyDescent="0.15">
      <c r="A948" s="260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</row>
    <row r="949" spans="1:24" ht="14" x14ac:dyDescent="0.15">
      <c r="A949" s="260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</row>
    <row r="950" spans="1:24" ht="14" x14ac:dyDescent="0.15">
      <c r="A950" s="260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</row>
    <row r="951" spans="1:24" ht="14" x14ac:dyDescent="0.15">
      <c r="A951" s="260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</row>
    <row r="952" spans="1:24" ht="14" x14ac:dyDescent="0.15">
      <c r="A952" s="260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</row>
    <row r="953" spans="1:24" ht="14" x14ac:dyDescent="0.15">
      <c r="A953" s="260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</row>
    <row r="954" spans="1:24" ht="14" x14ac:dyDescent="0.15">
      <c r="A954" s="260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</row>
    <row r="955" spans="1:24" ht="14" x14ac:dyDescent="0.15">
      <c r="A955" s="260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</row>
    <row r="956" spans="1:24" ht="14" x14ac:dyDescent="0.15">
      <c r="A956" s="260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</row>
    <row r="957" spans="1:24" ht="14" x14ac:dyDescent="0.15">
      <c r="A957" s="260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</row>
    <row r="958" spans="1:24" ht="14" x14ac:dyDescent="0.15">
      <c r="A958" s="260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</row>
    <row r="959" spans="1:24" ht="14" x14ac:dyDescent="0.15">
      <c r="A959" s="260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</row>
    <row r="960" spans="1:24" ht="14" x14ac:dyDescent="0.15">
      <c r="A960" s="260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</row>
    <row r="961" spans="1:24" ht="14" x14ac:dyDescent="0.15">
      <c r="A961" s="260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</row>
    <row r="962" spans="1:24" ht="14" x14ac:dyDescent="0.15">
      <c r="A962" s="260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</row>
    <row r="963" spans="1:24" ht="14" x14ac:dyDescent="0.15">
      <c r="A963" s="260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</row>
    <row r="964" spans="1:24" ht="14" x14ac:dyDescent="0.15">
      <c r="A964" s="260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</row>
    <row r="965" spans="1:24" ht="14" x14ac:dyDescent="0.15">
      <c r="A965" s="260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</row>
    <row r="966" spans="1:24" ht="14" x14ac:dyDescent="0.15">
      <c r="A966" s="260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</row>
    <row r="967" spans="1:24" ht="14" x14ac:dyDescent="0.15">
      <c r="A967" s="260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</row>
    <row r="968" spans="1:24" ht="14" x14ac:dyDescent="0.15">
      <c r="A968" s="260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</row>
    <row r="969" spans="1:24" ht="14" x14ac:dyDescent="0.15">
      <c r="A969" s="260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</row>
    <row r="970" spans="1:24" ht="14" x14ac:dyDescent="0.15">
      <c r="A970" s="260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</row>
    <row r="971" spans="1:24" ht="14" x14ac:dyDescent="0.15">
      <c r="A971" s="260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</row>
    <row r="972" spans="1:24" ht="14" x14ac:dyDescent="0.15">
      <c r="A972" s="260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</row>
    <row r="973" spans="1:24" ht="14" x14ac:dyDescent="0.15">
      <c r="A973" s="260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</row>
    <row r="974" spans="1:24" ht="14" x14ac:dyDescent="0.15">
      <c r="A974" s="260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</row>
    <row r="975" spans="1:24" ht="14" x14ac:dyDescent="0.15">
      <c r="A975" s="260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</row>
    <row r="976" spans="1:24" ht="14" x14ac:dyDescent="0.15">
      <c r="A976" s="260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</row>
    <row r="977" spans="1:24" ht="14" x14ac:dyDescent="0.15">
      <c r="A977" s="260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</row>
    <row r="978" spans="1:24" ht="14" x14ac:dyDescent="0.15">
      <c r="A978" s="260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</row>
    <row r="979" spans="1:24" ht="14" x14ac:dyDescent="0.15">
      <c r="A979" s="260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</row>
    <row r="980" spans="1:24" ht="14" x14ac:dyDescent="0.15">
      <c r="A980" s="260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</row>
    <row r="981" spans="1:24" ht="14" x14ac:dyDescent="0.15">
      <c r="A981" s="260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</row>
    <row r="982" spans="1:24" ht="14" x14ac:dyDescent="0.15">
      <c r="A982" s="260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</row>
    <row r="983" spans="1:24" ht="14" x14ac:dyDescent="0.15">
      <c r="A983" s="260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</row>
    <row r="984" spans="1:24" ht="14" x14ac:dyDescent="0.15">
      <c r="A984" s="260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</row>
    <row r="985" spans="1:24" ht="14" x14ac:dyDescent="0.15">
      <c r="A985" s="260"/>
    </row>
    <row r="986" spans="1:24" ht="14" x14ac:dyDescent="0.15">
      <c r="A986" s="260"/>
    </row>
    <row r="987" spans="1:24" ht="14" x14ac:dyDescent="0.15">
      <c r="A987" s="260"/>
    </row>
    <row r="988" spans="1:24" ht="14" x14ac:dyDescent="0.15">
      <c r="A988" s="260"/>
    </row>
    <row r="989" spans="1:24" ht="14" x14ac:dyDescent="0.15">
      <c r="A989" s="260"/>
    </row>
    <row r="990" spans="1:24" ht="14" x14ac:dyDescent="0.15">
      <c r="A990" s="260"/>
    </row>
    <row r="991" spans="1:24" ht="14" x14ac:dyDescent="0.15">
      <c r="A991" s="260"/>
    </row>
  </sheetData>
  <mergeCells count="11">
    <mergeCell ref="D1:S1"/>
    <mergeCell ref="D2:S2"/>
    <mergeCell ref="D3:S3"/>
    <mergeCell ref="K31:O31"/>
    <mergeCell ref="D45:I45"/>
    <mergeCell ref="J4:S4"/>
    <mergeCell ref="J13:S14"/>
    <mergeCell ref="J11:S11"/>
    <mergeCell ref="D31:I31"/>
    <mergeCell ref="D4:I4"/>
    <mergeCell ref="P31:P32"/>
  </mergeCells>
  <conditionalFormatting sqref="B21:C2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66"/>
  <sheetViews>
    <sheetView topLeftCell="A21" workbookViewId="0">
      <selection activeCell="J8" sqref="J8"/>
    </sheetView>
  </sheetViews>
  <sheetFormatPr baseColWidth="10" defaultColWidth="12.6640625" defaultRowHeight="15.75" customHeight="1" x14ac:dyDescent="0.15"/>
  <cols>
    <col min="1" max="1" width="55.1640625" style="68" customWidth="1"/>
    <col min="2" max="3" width="12.6640625" style="68" hidden="1"/>
    <col min="4" max="4" width="16.6640625" style="68" bestFit="1" customWidth="1"/>
    <col min="5" max="6" width="18.5" style="68" bestFit="1" customWidth="1"/>
    <col min="7" max="7" width="17.5" style="68" bestFit="1" customWidth="1"/>
    <col min="8" max="9" width="18.5" style="68" bestFit="1" customWidth="1"/>
    <col min="10" max="16384" width="12.6640625" style="68"/>
  </cols>
  <sheetData>
    <row r="1" spans="1:31" ht="15.75" customHeight="1" x14ac:dyDescent="0.15">
      <c r="A1" s="552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1:31" ht="15.75" customHeight="1" x14ac:dyDescent="0.15">
      <c r="A2" s="552" t="s">
        <v>131</v>
      </c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554"/>
      <c r="N2" s="554"/>
      <c r="O2" s="554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1" ht="15.75" customHeight="1" x14ac:dyDescent="0.15">
      <c r="A3" s="552" t="s">
        <v>132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  <c r="N3" s="554"/>
      <c r="O3" s="554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spans="1:31" ht="15.75" customHeight="1" x14ac:dyDescent="0.15">
      <c r="A4" s="69"/>
      <c r="B4" s="555" t="s">
        <v>3</v>
      </c>
      <c r="C4" s="556"/>
      <c r="D4" s="556"/>
      <c r="E4" s="556"/>
      <c r="F4" s="556"/>
      <c r="G4" s="556"/>
      <c r="H4" s="556"/>
      <c r="I4" s="557"/>
      <c r="J4" s="70"/>
      <c r="K4" s="70"/>
      <c r="L4" s="70"/>
      <c r="M4" s="70"/>
      <c r="N4" s="70"/>
      <c r="O4" s="71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</row>
    <row r="5" spans="1:31" ht="15.75" customHeight="1" x14ac:dyDescent="0.15">
      <c r="A5" s="503" t="s">
        <v>54</v>
      </c>
      <c r="B5" s="94">
        <v>2018</v>
      </c>
      <c r="C5" s="95">
        <v>2019</v>
      </c>
      <c r="D5" s="66">
        <v>2020</v>
      </c>
      <c r="E5" s="66">
        <v>2021</v>
      </c>
      <c r="F5" s="66">
        <v>2022</v>
      </c>
      <c r="G5" s="66">
        <v>2023</v>
      </c>
      <c r="H5" s="66">
        <v>2024</v>
      </c>
      <c r="I5" s="66">
        <v>2025</v>
      </c>
      <c r="J5" s="70"/>
      <c r="K5" s="70"/>
      <c r="L5" s="70"/>
      <c r="M5" s="70"/>
      <c r="N5" s="70"/>
      <c r="O5" s="71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</row>
    <row r="6" spans="1:31" ht="15.75" customHeight="1" x14ac:dyDescent="0.15">
      <c r="A6" s="69" t="s">
        <v>133</v>
      </c>
      <c r="B6" s="96"/>
      <c r="C6" s="70"/>
      <c r="D6" s="70"/>
      <c r="E6" s="70"/>
      <c r="F6" s="70"/>
      <c r="G6" s="70"/>
      <c r="H6" s="70"/>
      <c r="I6" s="97"/>
      <c r="J6" s="70"/>
      <c r="K6" s="70"/>
      <c r="L6" s="70"/>
      <c r="M6" s="70"/>
      <c r="N6" s="70"/>
      <c r="O6" s="70"/>
      <c r="P6" s="71"/>
    </row>
    <row r="7" spans="1:31" ht="15" x14ac:dyDescent="0.15">
      <c r="A7" s="72" t="s">
        <v>134</v>
      </c>
      <c r="B7" s="96"/>
      <c r="C7" s="70">
        <v>264308</v>
      </c>
      <c r="D7" s="70">
        <v>276142</v>
      </c>
      <c r="E7" s="70">
        <v>382575</v>
      </c>
      <c r="F7" s="70">
        <v>451949</v>
      </c>
      <c r="G7" s="70">
        <v>516822</v>
      </c>
      <c r="H7" s="70">
        <v>759563</v>
      </c>
      <c r="I7" s="97">
        <v>966091</v>
      </c>
      <c r="J7" s="70"/>
      <c r="K7" s="70"/>
      <c r="L7" s="70"/>
      <c r="M7" s="70"/>
      <c r="N7" s="70"/>
      <c r="O7" s="70"/>
      <c r="P7" s="71"/>
    </row>
    <row r="8" spans="1:31" ht="33.75" customHeight="1" x14ac:dyDescent="0.15">
      <c r="A8" s="72" t="s">
        <v>135</v>
      </c>
      <c r="B8" s="96"/>
      <c r="C8" s="70"/>
      <c r="D8" s="70"/>
      <c r="E8" s="70"/>
      <c r="F8" s="70"/>
      <c r="G8" s="70"/>
      <c r="H8" s="70"/>
      <c r="I8" s="97"/>
      <c r="J8" s="70"/>
      <c r="K8" s="70"/>
      <c r="L8" s="70"/>
      <c r="M8" s="70"/>
      <c r="N8" s="70"/>
      <c r="O8" s="70"/>
      <c r="P8" s="71"/>
    </row>
    <row r="9" spans="1:31" ht="15.75" customHeight="1" x14ac:dyDescent="0.15">
      <c r="A9" s="72" t="s">
        <v>136</v>
      </c>
      <c r="B9" s="96"/>
      <c r="C9" s="70">
        <v>44941</v>
      </c>
      <c r="D9" s="70">
        <v>38912</v>
      </c>
      <c r="E9" s="70">
        <v>40530</v>
      </c>
      <c r="F9" s="70">
        <v>42878</v>
      </c>
      <c r="G9" s="70">
        <v>47858</v>
      </c>
      <c r="H9" s="70">
        <v>57587</v>
      </c>
      <c r="I9" s="97">
        <v>69353</v>
      </c>
      <c r="J9" s="70"/>
      <c r="K9" s="70"/>
      <c r="L9" s="70"/>
      <c r="M9" s="70"/>
      <c r="N9" s="70"/>
      <c r="O9" s="70"/>
      <c r="P9" s="71"/>
    </row>
    <row r="10" spans="1:31" ht="15.75" customHeight="1" x14ac:dyDescent="0.15">
      <c r="A10" s="72" t="s">
        <v>137</v>
      </c>
      <c r="B10" s="96"/>
      <c r="C10" s="70"/>
      <c r="D10" s="70" t="s">
        <v>138</v>
      </c>
      <c r="E10" s="70">
        <v>737</v>
      </c>
      <c r="F10" s="70">
        <v>1552</v>
      </c>
      <c r="G10" s="70">
        <v>2149</v>
      </c>
      <c r="H10" s="70">
        <v>2075</v>
      </c>
      <c r="I10" s="97">
        <v>2380</v>
      </c>
      <c r="J10" s="70"/>
      <c r="K10" s="70"/>
      <c r="L10" s="70"/>
      <c r="M10" s="70"/>
      <c r="N10" s="70"/>
      <c r="O10" s="70"/>
      <c r="P10" s="71"/>
    </row>
    <row r="11" spans="1:31" ht="15.75" customHeight="1" x14ac:dyDescent="0.15">
      <c r="A11" s="72" t="s">
        <v>139</v>
      </c>
      <c r="B11" s="96"/>
      <c r="C11" s="70"/>
      <c r="D11" s="70"/>
      <c r="E11" s="70"/>
      <c r="F11" s="70"/>
      <c r="G11" s="70">
        <v>226</v>
      </c>
      <c r="H11" s="70"/>
      <c r="I11" s="97"/>
      <c r="J11" s="70"/>
      <c r="K11" s="70"/>
      <c r="L11" s="70"/>
      <c r="M11" s="70"/>
      <c r="N11" s="70"/>
      <c r="O11" s="70"/>
      <c r="P11" s="71"/>
    </row>
    <row r="12" spans="1:31" ht="15.75" customHeight="1" x14ac:dyDescent="0.15">
      <c r="A12" s="67" t="s">
        <v>140</v>
      </c>
      <c r="B12" s="96"/>
      <c r="C12" s="70"/>
      <c r="D12" s="70">
        <v>3498</v>
      </c>
      <c r="E12" s="70">
        <v>3053</v>
      </c>
      <c r="F12" s="70">
        <v>-342</v>
      </c>
      <c r="G12" s="70">
        <v>1983</v>
      </c>
      <c r="H12" s="70">
        <v>789</v>
      </c>
      <c r="I12" s="97">
        <v>5032</v>
      </c>
      <c r="J12" s="70"/>
      <c r="K12" s="70"/>
      <c r="L12" s="70"/>
      <c r="M12" s="70"/>
      <c r="N12" s="70"/>
      <c r="O12" s="70"/>
      <c r="P12" s="71"/>
    </row>
    <row r="13" spans="1:31" ht="15.75" customHeight="1" x14ac:dyDescent="0.15">
      <c r="A13" s="67" t="s">
        <v>141</v>
      </c>
      <c r="B13" s="96"/>
      <c r="C13" s="70"/>
      <c r="D13" s="70">
        <v>2934</v>
      </c>
      <c r="E13" s="70">
        <v>-8171</v>
      </c>
      <c r="F13" s="70">
        <v>-27796</v>
      </c>
      <c r="G13" s="70">
        <v>-9719</v>
      </c>
      <c r="H13" s="70">
        <v>-1510</v>
      </c>
      <c r="I13" s="97">
        <v>-5545</v>
      </c>
      <c r="J13" s="70"/>
      <c r="K13" s="70"/>
      <c r="L13" s="70"/>
      <c r="M13" s="70"/>
      <c r="N13" s="70"/>
      <c r="O13" s="70"/>
      <c r="P13" s="71"/>
    </row>
    <row r="14" spans="1:31" ht="15.75" customHeight="1" x14ac:dyDescent="0.15">
      <c r="A14" s="67" t="s">
        <v>142</v>
      </c>
      <c r="B14" s="96"/>
      <c r="C14" s="70"/>
      <c r="D14" s="70">
        <v>14477</v>
      </c>
      <c r="E14" s="70">
        <v>22701</v>
      </c>
      <c r="F14" s="70">
        <v>26816</v>
      </c>
      <c r="G14" s="70">
        <v>26897</v>
      </c>
      <c r="H14" s="70">
        <v>37288</v>
      </c>
      <c r="I14" s="97">
        <v>37943</v>
      </c>
      <c r="J14" s="70"/>
      <c r="K14" s="70"/>
      <c r="L14" s="70"/>
      <c r="M14" s="70"/>
      <c r="N14" s="70"/>
      <c r="O14" s="70"/>
      <c r="P14" s="71"/>
    </row>
    <row r="15" spans="1:31" ht="15.75" customHeight="1" x14ac:dyDescent="0.15">
      <c r="A15" s="67" t="s">
        <v>143</v>
      </c>
      <c r="B15" s="96"/>
      <c r="C15" s="70">
        <v>-546</v>
      </c>
      <c r="D15" s="70">
        <v>-1953</v>
      </c>
      <c r="E15" s="70">
        <v>-586</v>
      </c>
      <c r="F15" s="70"/>
      <c r="G15" s="70"/>
      <c r="H15" s="70"/>
      <c r="I15" s="97"/>
      <c r="J15" s="70"/>
      <c r="K15" s="70"/>
      <c r="L15" s="70"/>
      <c r="M15" s="70"/>
      <c r="N15" s="70"/>
      <c r="O15" s="70"/>
      <c r="P15" s="71"/>
    </row>
    <row r="16" spans="1:31" ht="15.75" customHeight="1" x14ac:dyDescent="0.15">
      <c r="A16" s="67" t="s">
        <v>144</v>
      </c>
      <c r="B16" s="96"/>
      <c r="C16" s="70">
        <v>277</v>
      </c>
      <c r="D16" s="70">
        <v>698</v>
      </c>
      <c r="E16" s="70">
        <v>1019</v>
      </c>
      <c r="F16" s="70">
        <v>107</v>
      </c>
      <c r="G16" s="70">
        <v>2691</v>
      </c>
      <c r="H16" s="70">
        <v>407</v>
      </c>
      <c r="I16" s="97">
        <v>3183</v>
      </c>
      <c r="J16" s="70"/>
      <c r="K16" s="70"/>
      <c r="L16" s="70"/>
      <c r="M16" s="70"/>
      <c r="N16" s="70"/>
      <c r="O16" s="70"/>
      <c r="P16" s="71"/>
    </row>
    <row r="17" spans="1:31" ht="15.75" customHeight="1" x14ac:dyDescent="0.15">
      <c r="A17" s="67" t="s">
        <v>145</v>
      </c>
      <c r="B17" s="96"/>
      <c r="C17" s="70"/>
      <c r="D17" s="70"/>
      <c r="E17" s="70">
        <v>3522</v>
      </c>
      <c r="F17" s="70"/>
      <c r="G17" s="70"/>
      <c r="H17" s="70">
        <v>8164</v>
      </c>
      <c r="I17" s="97"/>
      <c r="J17" s="70"/>
      <c r="K17" s="70"/>
      <c r="L17" s="70"/>
      <c r="M17" s="70"/>
      <c r="N17" s="70"/>
      <c r="O17" s="70"/>
      <c r="P17" s="71"/>
    </row>
    <row r="18" spans="1:31" ht="15.75" customHeight="1" x14ac:dyDescent="0.15">
      <c r="A18" s="67" t="s">
        <v>146</v>
      </c>
      <c r="B18" s="96"/>
      <c r="C18" s="70">
        <v>180</v>
      </c>
      <c r="D18" s="70">
        <v>1365</v>
      </c>
      <c r="E18" s="70">
        <v>14084</v>
      </c>
      <c r="F18" s="70">
        <v>3186</v>
      </c>
      <c r="G18" s="70">
        <v>2817</v>
      </c>
      <c r="H18" s="70">
        <v>1015</v>
      </c>
      <c r="I18" s="97">
        <v>4290</v>
      </c>
      <c r="J18" s="70"/>
      <c r="K18" s="70"/>
      <c r="L18" s="70"/>
      <c r="M18" s="70"/>
      <c r="N18" s="70"/>
      <c r="O18" s="70"/>
      <c r="P18" s="71"/>
    </row>
    <row r="19" spans="1:31" ht="15.75" customHeight="1" x14ac:dyDescent="0.15">
      <c r="A19" s="67" t="s">
        <v>147</v>
      </c>
      <c r="B19" s="96"/>
      <c r="C19" s="70"/>
      <c r="D19" s="70">
        <v>-705</v>
      </c>
      <c r="E19" s="70">
        <v>-207</v>
      </c>
      <c r="F19" s="70"/>
      <c r="G19" s="70"/>
      <c r="H19" s="70"/>
      <c r="I19" s="97"/>
      <c r="J19" s="70"/>
      <c r="K19" s="70"/>
      <c r="L19" s="70"/>
      <c r="M19" s="70"/>
      <c r="N19" s="70"/>
      <c r="O19" s="70"/>
      <c r="P19" s="71"/>
    </row>
    <row r="20" spans="1:31" ht="15.75" customHeight="1" x14ac:dyDescent="0.15">
      <c r="A20" s="67" t="s">
        <v>148</v>
      </c>
      <c r="B20" s="96"/>
      <c r="C20" s="70"/>
      <c r="D20" s="70"/>
      <c r="E20" s="70"/>
      <c r="F20" s="70"/>
      <c r="G20" s="70"/>
      <c r="H20" s="70"/>
      <c r="I20" s="97"/>
      <c r="J20" s="70"/>
      <c r="K20" s="70"/>
      <c r="L20" s="70"/>
      <c r="M20" s="70"/>
      <c r="N20" s="70"/>
      <c r="O20" s="70"/>
      <c r="P20" s="71"/>
    </row>
    <row r="21" spans="1:31" ht="15.75" customHeight="1" x14ac:dyDescent="0.15">
      <c r="A21" s="67" t="s">
        <v>149</v>
      </c>
      <c r="B21" s="96"/>
      <c r="C21" s="70">
        <v>-16157</v>
      </c>
      <c r="D21" s="70">
        <v>-10493</v>
      </c>
      <c r="E21" s="70">
        <v>-33173</v>
      </c>
      <c r="F21" s="70">
        <v>-86627</v>
      </c>
      <c r="G21" s="70">
        <v>-806</v>
      </c>
      <c r="H21" s="70">
        <v>4157</v>
      </c>
      <c r="I21" s="97">
        <v>41339</v>
      </c>
      <c r="J21" s="70"/>
      <c r="K21" s="70"/>
      <c r="L21" s="70"/>
      <c r="M21" s="70"/>
      <c r="N21" s="70"/>
      <c r="O21" s="70"/>
      <c r="P21" s="71"/>
    </row>
    <row r="22" spans="1:31" ht="15.75" customHeight="1" x14ac:dyDescent="0.15">
      <c r="A22" s="67" t="s">
        <v>9</v>
      </c>
      <c r="B22" s="96"/>
      <c r="C22" s="70">
        <v>8827</v>
      </c>
      <c r="D22" s="70">
        <v>-32777</v>
      </c>
      <c r="E22" s="70">
        <v>33378</v>
      </c>
      <c r="F22" s="70">
        <v>-228554</v>
      </c>
      <c r="G22" s="70">
        <v>-26056</v>
      </c>
      <c r="H22" s="70">
        <v>58541</v>
      </c>
      <c r="I22" s="97">
        <v>-24344</v>
      </c>
      <c r="J22" s="70"/>
      <c r="K22" s="70"/>
      <c r="L22" s="70"/>
      <c r="M22" s="70"/>
      <c r="N22" s="70"/>
      <c r="O22" s="70"/>
      <c r="P22" s="71"/>
    </row>
    <row r="23" spans="1:31" ht="15.75" customHeight="1" x14ac:dyDescent="0.15">
      <c r="A23" s="67" t="s">
        <v>150</v>
      </c>
      <c r="B23" s="96"/>
      <c r="C23" s="70">
        <v>-515</v>
      </c>
      <c r="D23" s="70">
        <v>2477</v>
      </c>
      <c r="E23" s="70">
        <v>-22128</v>
      </c>
      <c r="F23" s="70">
        <v>-19095</v>
      </c>
      <c r="G23" s="70">
        <v>-5609</v>
      </c>
      <c r="H23" s="70">
        <v>-38490</v>
      </c>
      <c r="I23" s="97">
        <v>20946</v>
      </c>
      <c r="J23" s="70"/>
      <c r="K23" s="70"/>
      <c r="L23" s="70"/>
      <c r="M23" s="70"/>
      <c r="N23" s="70"/>
      <c r="O23" s="70"/>
      <c r="P23" s="71"/>
    </row>
    <row r="24" spans="1:31" ht="15.75" customHeight="1" x14ac:dyDescent="0.15">
      <c r="A24" s="67" t="s">
        <v>12</v>
      </c>
      <c r="B24" s="96"/>
      <c r="C24" s="70">
        <v>-165</v>
      </c>
      <c r="D24" s="70">
        <v>-5811</v>
      </c>
      <c r="E24" s="70">
        <v>1842</v>
      </c>
      <c r="F24" s="70">
        <v>-11933</v>
      </c>
      <c r="G24" s="70">
        <v>13459</v>
      </c>
      <c r="H24" s="70">
        <v>-38775</v>
      </c>
      <c r="I24" s="97">
        <v>6945</v>
      </c>
      <c r="J24" s="70"/>
      <c r="K24" s="70"/>
      <c r="L24" s="70"/>
      <c r="M24" s="70"/>
      <c r="N24" s="70"/>
      <c r="O24" s="70"/>
      <c r="P24" s="71"/>
    </row>
    <row r="25" spans="1:31" ht="15.75" customHeight="1" x14ac:dyDescent="0.15">
      <c r="A25" s="67" t="s">
        <v>151</v>
      </c>
      <c r="B25" s="96"/>
      <c r="C25" s="70"/>
      <c r="D25" s="70">
        <v>-3264</v>
      </c>
      <c r="E25" s="70">
        <v>250</v>
      </c>
      <c r="F25" s="70">
        <v>3189</v>
      </c>
      <c r="G25" s="70">
        <v>-8308</v>
      </c>
      <c r="H25" s="70">
        <v>-567</v>
      </c>
      <c r="I25" s="97">
        <v>-2583</v>
      </c>
      <c r="J25" s="70"/>
      <c r="K25" s="70"/>
      <c r="L25" s="70"/>
      <c r="M25" s="70"/>
      <c r="N25" s="70"/>
      <c r="O25" s="70"/>
      <c r="P25" s="71"/>
    </row>
    <row r="26" spans="1:31" ht="15.75" customHeight="1" x14ac:dyDescent="0.15">
      <c r="A26" s="67" t="s">
        <v>152</v>
      </c>
      <c r="B26" s="96"/>
      <c r="C26" s="70"/>
      <c r="D26" s="70">
        <v>-6558</v>
      </c>
      <c r="E26" s="70">
        <v>-3103</v>
      </c>
      <c r="F26" s="70">
        <v>-28296</v>
      </c>
      <c r="G26" s="70">
        <v>13240</v>
      </c>
      <c r="H26" s="70">
        <v>-9989</v>
      </c>
      <c r="I26" s="97">
        <v>6566</v>
      </c>
      <c r="J26" s="70"/>
      <c r="K26" s="70"/>
      <c r="L26" s="70"/>
      <c r="M26" s="70"/>
      <c r="N26" s="70"/>
      <c r="O26" s="70"/>
      <c r="P26" s="71"/>
    </row>
    <row r="27" spans="1:31" ht="15.75" customHeight="1" x14ac:dyDescent="0.15">
      <c r="A27" s="67" t="s">
        <v>28</v>
      </c>
      <c r="B27" s="96"/>
      <c r="C27" s="70"/>
      <c r="D27" s="70">
        <v>23312</v>
      </c>
      <c r="E27" s="70">
        <v>79176</v>
      </c>
      <c r="F27" s="70">
        <v>89184</v>
      </c>
      <c r="G27" s="70">
        <v>-74247</v>
      </c>
      <c r="H27" s="70">
        <v>119601</v>
      </c>
      <c r="I27" s="97">
        <v>35636</v>
      </c>
      <c r="J27" s="70"/>
      <c r="K27" s="70"/>
      <c r="L27" s="70"/>
      <c r="M27" s="70"/>
      <c r="N27" s="70"/>
      <c r="O27" s="70"/>
      <c r="P27" s="71"/>
    </row>
    <row r="28" spans="1:31" ht="15.75" customHeight="1" x14ac:dyDescent="0.15">
      <c r="A28" s="67" t="s">
        <v>31</v>
      </c>
      <c r="B28" s="96"/>
      <c r="C28" s="70"/>
      <c r="D28" s="70">
        <v>-11112</v>
      </c>
      <c r="E28" s="70">
        <v>53785</v>
      </c>
      <c r="F28" s="70">
        <v>-20370</v>
      </c>
      <c r="G28" s="70">
        <v>11528</v>
      </c>
      <c r="H28" s="70">
        <v>43534</v>
      </c>
      <c r="I28" s="97">
        <v>22222</v>
      </c>
      <c r="J28" s="70"/>
      <c r="K28" s="70"/>
      <c r="L28" s="70"/>
      <c r="M28" s="70"/>
      <c r="N28" s="70"/>
      <c r="O28" s="70"/>
      <c r="P28" s="71"/>
    </row>
    <row r="29" spans="1:31" ht="15.75" customHeight="1" x14ac:dyDescent="0.15">
      <c r="A29" s="67" t="s">
        <v>32</v>
      </c>
      <c r="B29" s="96"/>
      <c r="C29" s="70"/>
      <c r="D29" s="70">
        <v>-6226</v>
      </c>
      <c r="E29" s="70">
        <v>25817</v>
      </c>
      <c r="F29" s="70">
        <v>-24494</v>
      </c>
      <c r="G29" s="70">
        <v>4897</v>
      </c>
      <c r="H29" s="70">
        <v>35016</v>
      </c>
      <c r="I29" s="97">
        <v>-29039</v>
      </c>
      <c r="J29" s="70"/>
      <c r="K29" s="70"/>
      <c r="L29" s="70"/>
      <c r="M29" s="70"/>
      <c r="N29" s="70"/>
      <c r="O29" s="70"/>
      <c r="P29" s="71"/>
    </row>
    <row r="30" spans="1:31" ht="15.75" customHeight="1" x14ac:dyDescent="0.15">
      <c r="A30" s="67" t="s">
        <v>41</v>
      </c>
      <c r="B30" s="96"/>
      <c r="C30" s="70"/>
      <c r="D30" s="70">
        <v>1418</v>
      </c>
      <c r="E30" s="70">
        <v>530</v>
      </c>
      <c r="F30" s="70">
        <v>999</v>
      </c>
      <c r="G30" s="70">
        <v>17600</v>
      </c>
      <c r="H30" s="70">
        <v>-5222</v>
      </c>
      <c r="I30" s="97">
        <v>-33214</v>
      </c>
      <c r="J30" s="70"/>
      <c r="K30" s="70"/>
      <c r="L30" s="70"/>
      <c r="M30" s="70"/>
      <c r="N30" s="70"/>
      <c r="O30" s="70"/>
      <c r="P30" s="71"/>
    </row>
    <row r="31" spans="1:31" ht="15.75" customHeight="1" x14ac:dyDescent="0.15">
      <c r="A31" s="98" t="s">
        <v>153</v>
      </c>
      <c r="B31" s="99"/>
      <c r="C31" s="100"/>
      <c r="D31" s="100">
        <v>286334</v>
      </c>
      <c r="E31" s="100">
        <v>596217</v>
      </c>
      <c r="F31" s="100">
        <v>172353</v>
      </c>
      <c r="G31" s="100">
        <v>537422</v>
      </c>
      <c r="H31" s="100">
        <v>1033184</v>
      </c>
      <c r="I31" s="101">
        <v>1044523</v>
      </c>
      <c r="J31" s="70"/>
      <c r="K31" s="70"/>
      <c r="L31" s="70"/>
      <c r="M31" s="70"/>
      <c r="N31" s="70"/>
      <c r="O31" s="70"/>
      <c r="P31" s="74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</row>
    <row r="32" spans="1:31" ht="15.75" customHeight="1" x14ac:dyDescent="0.15">
      <c r="A32" s="73"/>
      <c r="B32" s="96"/>
      <c r="C32" s="70"/>
      <c r="D32" s="70"/>
      <c r="E32" s="70"/>
      <c r="F32" s="70"/>
      <c r="G32" s="70"/>
      <c r="H32" s="70"/>
      <c r="I32" s="97"/>
      <c r="J32" s="70"/>
      <c r="K32" s="70"/>
      <c r="L32" s="70"/>
      <c r="M32" s="70"/>
      <c r="N32" s="70"/>
      <c r="O32" s="70"/>
      <c r="P32" s="71"/>
    </row>
    <row r="33" spans="1:16" ht="15.75" customHeight="1" x14ac:dyDescent="0.15">
      <c r="A33" s="73" t="s">
        <v>154</v>
      </c>
      <c r="B33" s="96"/>
      <c r="C33" s="70"/>
      <c r="D33" s="70"/>
      <c r="E33" s="70"/>
      <c r="F33" s="70"/>
      <c r="G33" s="70"/>
      <c r="H33" s="70"/>
      <c r="I33" s="97"/>
      <c r="J33" s="70"/>
      <c r="K33" s="70"/>
      <c r="L33" s="70"/>
      <c r="M33" s="70"/>
      <c r="N33" s="70"/>
      <c r="O33" s="70"/>
      <c r="P33" s="71"/>
    </row>
    <row r="34" spans="1:16" ht="15.75" customHeight="1" x14ac:dyDescent="0.15">
      <c r="A34" s="67" t="s">
        <v>155</v>
      </c>
      <c r="B34" s="96"/>
      <c r="C34" s="70"/>
      <c r="D34" s="70">
        <v>-32455</v>
      </c>
      <c r="E34" s="70">
        <v>-32218</v>
      </c>
      <c r="F34" s="70">
        <v>-51017</v>
      </c>
      <c r="G34" s="70">
        <v>-81025</v>
      </c>
      <c r="H34" s="70">
        <v>-89365</v>
      </c>
      <c r="I34" s="97">
        <v>-86171</v>
      </c>
      <c r="J34" s="70"/>
      <c r="K34" s="70"/>
      <c r="L34" s="70"/>
      <c r="M34" s="70"/>
      <c r="N34" s="70"/>
      <c r="O34" s="70"/>
      <c r="P34" s="71"/>
    </row>
    <row r="35" spans="1:16" ht="15.75" customHeight="1" x14ac:dyDescent="0.15">
      <c r="A35" s="67" t="s">
        <v>156</v>
      </c>
      <c r="B35" s="96"/>
      <c r="C35" s="70"/>
      <c r="D35" s="70">
        <v>491</v>
      </c>
      <c r="E35" s="70">
        <v>49</v>
      </c>
      <c r="F35" s="70">
        <v>8</v>
      </c>
      <c r="G35" s="70">
        <v>12</v>
      </c>
      <c r="H35" s="70">
        <v>34</v>
      </c>
      <c r="I35" s="97">
        <v>11168</v>
      </c>
      <c r="J35" s="70"/>
      <c r="K35" s="70"/>
      <c r="L35" s="70"/>
      <c r="M35" s="70"/>
      <c r="N35" s="70"/>
      <c r="O35" s="70"/>
      <c r="P35" s="71"/>
    </row>
    <row r="36" spans="1:16" ht="15.75" customHeight="1" x14ac:dyDescent="0.15">
      <c r="A36" s="98" t="s">
        <v>157</v>
      </c>
      <c r="B36" s="99"/>
      <c r="C36" s="100"/>
      <c r="D36" s="100">
        <v>-31964</v>
      </c>
      <c r="E36" s="100">
        <v>-32169</v>
      </c>
      <c r="F36" s="100">
        <v>-51009</v>
      </c>
      <c r="G36" s="100">
        <v>-81013</v>
      </c>
      <c r="H36" s="100">
        <v>-89331</v>
      </c>
      <c r="I36" s="101">
        <v>-75003</v>
      </c>
      <c r="J36" s="70"/>
      <c r="K36" s="70"/>
      <c r="L36" s="70"/>
      <c r="M36" s="70"/>
      <c r="N36" s="70"/>
      <c r="O36" s="70"/>
      <c r="P36" s="71"/>
    </row>
    <row r="37" spans="1:16" ht="15.75" customHeight="1" x14ac:dyDescent="0.15">
      <c r="A37" s="73"/>
      <c r="B37" s="96"/>
      <c r="C37" s="70"/>
      <c r="D37" s="70"/>
      <c r="E37" s="70"/>
      <c r="F37" s="70"/>
      <c r="G37" s="70"/>
      <c r="H37" s="70"/>
      <c r="I37" s="97"/>
      <c r="J37" s="70"/>
      <c r="K37" s="70"/>
      <c r="L37" s="70"/>
      <c r="M37" s="70"/>
      <c r="N37" s="70"/>
      <c r="O37" s="70"/>
      <c r="P37" s="71"/>
    </row>
    <row r="38" spans="1:16" ht="15.75" customHeight="1" x14ac:dyDescent="0.15">
      <c r="A38" s="73" t="s">
        <v>158</v>
      </c>
      <c r="B38" s="96"/>
      <c r="C38" s="70"/>
      <c r="D38" s="70"/>
      <c r="E38" s="70"/>
      <c r="F38" s="70"/>
      <c r="G38" s="70"/>
      <c r="H38" s="70"/>
      <c r="I38" s="97"/>
      <c r="J38" s="70"/>
      <c r="K38" s="70"/>
      <c r="L38" s="70"/>
      <c r="M38" s="70"/>
      <c r="N38" s="70"/>
      <c r="O38" s="70"/>
      <c r="P38" s="71"/>
    </row>
    <row r="39" spans="1:16" ht="15.75" customHeight="1" x14ac:dyDescent="0.15">
      <c r="A39" s="67" t="s">
        <v>159</v>
      </c>
      <c r="B39" s="96"/>
      <c r="C39" s="70"/>
      <c r="D39" s="70">
        <v>69336</v>
      </c>
      <c r="E39" s="70">
        <v>9100</v>
      </c>
      <c r="F39" s="70"/>
      <c r="G39" s="70"/>
      <c r="H39" s="70"/>
      <c r="I39" s="97"/>
      <c r="J39" s="70"/>
      <c r="K39" s="70"/>
      <c r="L39" s="70"/>
      <c r="M39" s="70"/>
      <c r="N39" s="70"/>
      <c r="O39" s="70"/>
      <c r="P39" s="71"/>
    </row>
    <row r="40" spans="1:16" ht="15.75" customHeight="1" x14ac:dyDescent="0.15">
      <c r="A40" s="67" t="s">
        <v>160</v>
      </c>
      <c r="B40" s="96"/>
      <c r="C40" s="70"/>
      <c r="D40" s="70">
        <v>69197</v>
      </c>
      <c r="E40" s="70">
        <v>-9478</v>
      </c>
      <c r="F40" s="70"/>
      <c r="G40" s="70"/>
      <c r="H40" s="70"/>
      <c r="I40" s="97"/>
      <c r="J40" s="70"/>
      <c r="K40" s="70"/>
      <c r="L40" s="70"/>
      <c r="M40" s="70"/>
      <c r="N40" s="70"/>
      <c r="O40" s="70"/>
      <c r="P40" s="71"/>
    </row>
    <row r="41" spans="1:16" ht="15.75" customHeight="1" x14ac:dyDescent="0.15">
      <c r="A41" s="67" t="s">
        <v>161</v>
      </c>
      <c r="B41" s="96"/>
      <c r="C41" s="70"/>
      <c r="D41" s="70"/>
      <c r="E41" s="70"/>
      <c r="F41" s="70"/>
      <c r="G41" s="70">
        <v>-1537</v>
      </c>
      <c r="H41" s="70"/>
      <c r="I41" s="97"/>
      <c r="J41" s="70"/>
      <c r="K41" s="70"/>
      <c r="L41" s="70"/>
      <c r="M41" s="70"/>
      <c r="N41" s="70"/>
      <c r="O41" s="70"/>
      <c r="P41" s="71"/>
    </row>
    <row r="42" spans="1:16" ht="15.75" customHeight="1" x14ac:dyDescent="0.15">
      <c r="A42" s="67" t="s">
        <v>162</v>
      </c>
      <c r="B42" s="96"/>
      <c r="C42" s="70"/>
      <c r="D42" s="70">
        <v>1288</v>
      </c>
      <c r="E42" s="70">
        <v>1502</v>
      </c>
      <c r="F42" s="70">
        <v>1991</v>
      </c>
      <c r="G42" s="70">
        <v>2170</v>
      </c>
      <c r="H42" s="70">
        <v>2444</v>
      </c>
      <c r="I42" s="97">
        <v>3804</v>
      </c>
      <c r="J42" s="70"/>
      <c r="K42" s="70"/>
      <c r="L42" s="70"/>
      <c r="M42" s="70"/>
      <c r="N42" s="70"/>
      <c r="O42" s="70"/>
      <c r="P42" s="71"/>
    </row>
    <row r="43" spans="1:16" ht="15.75" customHeight="1" x14ac:dyDescent="0.15">
      <c r="A43" s="67" t="s">
        <v>163</v>
      </c>
      <c r="B43" s="96"/>
      <c r="C43" s="70"/>
      <c r="D43" s="70">
        <v>3615</v>
      </c>
      <c r="E43" s="70">
        <v>6775</v>
      </c>
      <c r="F43" s="70">
        <v>1204</v>
      </c>
      <c r="G43" s="70">
        <v>4396</v>
      </c>
      <c r="H43" s="70">
        <v>4786</v>
      </c>
      <c r="I43" s="97">
        <v>968</v>
      </c>
      <c r="J43" s="70"/>
      <c r="K43" s="70"/>
      <c r="L43" s="70"/>
      <c r="M43" s="70"/>
      <c r="N43" s="70"/>
      <c r="O43" s="70"/>
      <c r="P43" s="71"/>
    </row>
    <row r="44" spans="1:16" ht="15.75" customHeight="1" x14ac:dyDescent="0.15">
      <c r="A44" s="67" t="s">
        <v>164</v>
      </c>
      <c r="B44" s="96"/>
      <c r="C44" s="70"/>
      <c r="D44" s="70">
        <v>190405</v>
      </c>
      <c r="E44" s="70">
        <v>-99147</v>
      </c>
      <c r="F44" s="70">
        <v>-356653</v>
      </c>
      <c r="G44" s="70">
        <v>-297372</v>
      </c>
      <c r="H44" s="70">
        <v>-414931</v>
      </c>
      <c r="I44" s="97">
        <v>-567002</v>
      </c>
      <c r="J44" s="70"/>
      <c r="K44" s="70"/>
      <c r="L44" s="70"/>
      <c r="M44" s="70"/>
      <c r="N44" s="70"/>
      <c r="O44" s="70"/>
      <c r="P44" s="71"/>
    </row>
    <row r="45" spans="1:16" ht="15.75" customHeight="1" x14ac:dyDescent="0.15">
      <c r="A45" s="67" t="s">
        <v>165</v>
      </c>
      <c r="B45" s="96"/>
      <c r="C45" s="70"/>
      <c r="D45" s="70"/>
      <c r="E45" s="70"/>
      <c r="F45" s="70"/>
      <c r="G45" s="70"/>
      <c r="H45" s="70"/>
      <c r="I45" s="97">
        <v>-3985</v>
      </c>
      <c r="J45" s="70"/>
      <c r="K45" s="70"/>
      <c r="L45" s="70"/>
      <c r="M45" s="70"/>
      <c r="N45" s="70"/>
      <c r="O45" s="70"/>
      <c r="P45" s="71"/>
    </row>
    <row r="46" spans="1:16" ht="15.75" customHeight="1" x14ac:dyDescent="0.15">
      <c r="A46" s="67" t="s">
        <v>166</v>
      </c>
      <c r="B46" s="96"/>
      <c r="C46" s="70"/>
      <c r="D46" s="70">
        <v>6148</v>
      </c>
      <c r="E46" s="70">
        <v>-7432</v>
      </c>
      <c r="F46" s="70">
        <v>-14024</v>
      </c>
      <c r="G46" s="70">
        <v>-16688</v>
      </c>
      <c r="H46" s="70">
        <v>-9974</v>
      </c>
      <c r="I46" s="97">
        <v>-15119</v>
      </c>
      <c r="J46" s="70"/>
      <c r="K46" s="70"/>
      <c r="L46" s="70"/>
      <c r="M46" s="70"/>
      <c r="N46" s="70"/>
      <c r="O46" s="70"/>
      <c r="P46" s="71"/>
    </row>
    <row r="47" spans="1:16" ht="15.75" customHeight="1" x14ac:dyDescent="0.15">
      <c r="A47" s="67" t="s">
        <v>167</v>
      </c>
      <c r="B47" s="96"/>
      <c r="C47" s="70"/>
      <c r="D47" s="70">
        <v>603</v>
      </c>
      <c r="E47" s="70">
        <v>-30901</v>
      </c>
      <c r="F47" s="70"/>
      <c r="G47" s="70"/>
      <c r="H47" s="70"/>
      <c r="I47" s="97"/>
      <c r="J47" s="70"/>
      <c r="K47" s="70"/>
      <c r="L47" s="70"/>
      <c r="M47" s="70"/>
      <c r="N47" s="70"/>
      <c r="O47" s="70"/>
      <c r="P47" s="71"/>
    </row>
    <row r="48" spans="1:16" ht="15.75" customHeight="1" x14ac:dyDescent="0.15">
      <c r="A48" s="98" t="s">
        <v>168</v>
      </c>
      <c r="B48" s="99"/>
      <c r="C48" s="100"/>
      <c r="D48" s="100">
        <v>192114</v>
      </c>
      <c r="E48" s="100">
        <v>-129581</v>
      </c>
      <c r="F48" s="100">
        <v>-367482</v>
      </c>
      <c r="G48" s="100">
        <v>-309031</v>
      </c>
      <c r="H48" s="100">
        <v>417675</v>
      </c>
      <c r="I48" s="101">
        <v>581334</v>
      </c>
      <c r="J48" s="70"/>
      <c r="K48" s="70"/>
      <c r="L48" s="70"/>
      <c r="M48" s="70"/>
      <c r="N48" s="70"/>
      <c r="O48" s="70"/>
      <c r="P48" s="71"/>
    </row>
    <row r="49" spans="1:16" ht="15.75" customHeight="1" x14ac:dyDescent="0.15">
      <c r="A49" s="67" t="s">
        <v>169</v>
      </c>
      <c r="B49" s="96"/>
      <c r="C49" s="70"/>
      <c r="D49" s="70">
        <v>-2512</v>
      </c>
      <c r="E49" s="70">
        <v>5458</v>
      </c>
      <c r="F49" s="70">
        <v>304</v>
      </c>
      <c r="G49" s="70">
        <v>-9110</v>
      </c>
      <c r="H49" s="70">
        <v>-5922</v>
      </c>
      <c r="I49" s="97">
        <v>-1049</v>
      </c>
      <c r="J49" s="70"/>
      <c r="K49" s="70"/>
      <c r="L49" s="70"/>
      <c r="M49" s="70"/>
      <c r="N49" s="70"/>
      <c r="O49" s="70"/>
      <c r="P49" s="71"/>
    </row>
    <row r="50" spans="1:16" ht="15.75" customHeight="1" x14ac:dyDescent="0.15">
      <c r="A50" s="98" t="s">
        <v>170</v>
      </c>
      <c r="B50" s="99"/>
      <c r="C50" s="100"/>
      <c r="D50" s="100">
        <v>59744</v>
      </c>
      <c r="E50" s="100">
        <v>439925</v>
      </c>
      <c r="F50" s="100">
        <v>-245834</v>
      </c>
      <c r="G50" s="100">
        <v>138268</v>
      </c>
      <c r="H50" s="100">
        <v>520256</v>
      </c>
      <c r="I50" s="101">
        <v>387137</v>
      </c>
      <c r="J50" s="70"/>
      <c r="K50" s="70"/>
      <c r="L50" s="70"/>
      <c r="M50" s="70"/>
      <c r="N50" s="70"/>
      <c r="O50" s="70"/>
      <c r="P50" s="71"/>
    </row>
    <row r="51" spans="1:16" ht="15.75" customHeight="1" x14ac:dyDescent="0.15">
      <c r="A51" s="106" t="s">
        <v>171</v>
      </c>
      <c r="B51" s="107"/>
      <c r="C51" s="108"/>
      <c r="D51" s="108">
        <v>589692</v>
      </c>
      <c r="E51" s="108">
        <v>649436</v>
      </c>
      <c r="F51" s="108">
        <v>1089361</v>
      </c>
      <c r="G51" s="108">
        <v>843527</v>
      </c>
      <c r="H51" s="108">
        <v>981795</v>
      </c>
      <c r="I51" s="109">
        <v>1502051</v>
      </c>
      <c r="J51" s="70"/>
      <c r="K51" s="70"/>
      <c r="L51" s="70"/>
      <c r="M51" s="70"/>
      <c r="N51" s="70"/>
      <c r="O51" s="70"/>
      <c r="P51" s="71"/>
    </row>
    <row r="52" spans="1:16" ht="15.75" customHeight="1" x14ac:dyDescent="0.15">
      <c r="A52" s="102" t="s">
        <v>172</v>
      </c>
      <c r="B52" s="103"/>
      <c r="C52" s="104"/>
      <c r="D52" s="104">
        <v>649436</v>
      </c>
      <c r="E52" s="104">
        <v>1089361</v>
      </c>
      <c r="F52" s="104">
        <v>843527</v>
      </c>
      <c r="G52" s="104">
        <v>981795</v>
      </c>
      <c r="H52" s="104">
        <v>1502051</v>
      </c>
      <c r="I52" s="105">
        <v>1889188</v>
      </c>
      <c r="J52" s="70"/>
      <c r="K52" s="70"/>
      <c r="L52" s="70"/>
      <c r="M52" s="70"/>
      <c r="N52" s="70"/>
      <c r="O52" s="70"/>
      <c r="P52" s="71"/>
    </row>
    <row r="53" spans="1:16" ht="15.75" customHeight="1" x14ac:dyDescent="0.15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1"/>
    </row>
    <row r="54" spans="1:16" ht="15.75" customHeight="1" x14ac:dyDescent="0.15">
      <c r="A54" s="73" t="s">
        <v>173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1"/>
    </row>
    <row r="55" spans="1:16" ht="15.75" customHeight="1" x14ac:dyDescent="0.15">
      <c r="A55" s="67" t="s">
        <v>174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1"/>
    </row>
    <row r="56" spans="1:16" ht="15.75" customHeight="1" x14ac:dyDescent="0.15">
      <c r="A56" s="67" t="s">
        <v>175</v>
      </c>
      <c r="B56" s="70"/>
      <c r="C56" s="70"/>
      <c r="D56" s="70">
        <v>74573</v>
      </c>
      <c r="E56" s="70">
        <v>104068</v>
      </c>
      <c r="F56" s="70">
        <v>192013</v>
      </c>
      <c r="G56" s="70">
        <v>135986</v>
      </c>
      <c r="H56" s="70">
        <v>234062</v>
      </c>
      <c r="I56" s="70">
        <v>345397</v>
      </c>
      <c r="J56" s="70"/>
      <c r="K56" s="70"/>
      <c r="L56" s="70"/>
      <c r="M56" s="70"/>
      <c r="N56" s="70"/>
      <c r="O56" s="70"/>
      <c r="P56" s="71"/>
    </row>
    <row r="57" spans="1:16" ht="14" x14ac:dyDescent="0.15">
      <c r="A57" s="67" t="s">
        <v>176</v>
      </c>
      <c r="B57" s="70"/>
      <c r="C57" s="70"/>
      <c r="D57" s="70">
        <v>2466</v>
      </c>
      <c r="E57" s="70">
        <v>2931</v>
      </c>
      <c r="F57" s="70">
        <v>1842</v>
      </c>
      <c r="G57" s="70">
        <v>1880</v>
      </c>
      <c r="H57" s="70">
        <v>1783</v>
      </c>
      <c r="I57" s="70">
        <v>1789</v>
      </c>
      <c r="J57" s="70"/>
      <c r="K57" s="70"/>
      <c r="L57" s="70"/>
      <c r="M57" s="70"/>
      <c r="N57" s="70"/>
      <c r="O57" s="70"/>
      <c r="P57" s="71"/>
    </row>
    <row r="58" spans="1:16" ht="14" x14ac:dyDescent="0.15">
      <c r="A58" s="110" t="s">
        <v>177</v>
      </c>
      <c r="B58" s="75"/>
      <c r="C58" s="75"/>
      <c r="D58" s="75">
        <v>61120</v>
      </c>
      <c r="E58" s="75">
        <v>57376</v>
      </c>
      <c r="F58" s="75">
        <v>55588</v>
      </c>
      <c r="G58" s="75">
        <v>60353</v>
      </c>
      <c r="H58" s="75">
        <v>65672</v>
      </c>
      <c r="I58" s="75">
        <v>70326</v>
      </c>
      <c r="J58" s="70"/>
      <c r="K58" s="70"/>
      <c r="L58" s="70"/>
      <c r="M58" s="70"/>
      <c r="N58" s="70"/>
      <c r="O58" s="70"/>
      <c r="P58" s="71"/>
    </row>
    <row r="59" spans="1:16" ht="14" x14ac:dyDescent="0.15">
      <c r="A59" s="73" t="s">
        <v>178</v>
      </c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1"/>
    </row>
    <row r="60" spans="1:16" ht="14" x14ac:dyDescent="0.15">
      <c r="A60" s="67" t="s">
        <v>179</v>
      </c>
      <c r="B60" s="70"/>
      <c r="C60" s="70"/>
      <c r="D60" s="70">
        <v>1171</v>
      </c>
      <c r="E60" s="70">
        <v>2721</v>
      </c>
      <c r="F60" s="70">
        <v>2797</v>
      </c>
      <c r="G60" s="70">
        <v>5325</v>
      </c>
      <c r="H60" s="70">
        <v>-6705</v>
      </c>
      <c r="I60" s="70">
        <v>3819</v>
      </c>
      <c r="J60" s="70"/>
      <c r="K60" s="70"/>
      <c r="L60" s="70"/>
      <c r="M60" s="70"/>
      <c r="N60" s="70"/>
      <c r="O60" s="70"/>
      <c r="P60" s="71"/>
    </row>
    <row r="61" spans="1:16" ht="14" x14ac:dyDescent="0.15">
      <c r="A61" s="67" t="s">
        <v>180</v>
      </c>
      <c r="B61" s="70"/>
      <c r="C61" s="70"/>
      <c r="D61" s="70">
        <v>224</v>
      </c>
      <c r="E61" s="70">
        <v>1842</v>
      </c>
      <c r="F61" s="70">
        <v>3900</v>
      </c>
      <c r="G61" s="70">
        <v>8203</v>
      </c>
      <c r="H61" s="70">
        <v>2278</v>
      </c>
      <c r="I61" s="70">
        <v>2233</v>
      </c>
      <c r="J61" s="70"/>
      <c r="K61" s="70"/>
      <c r="L61" s="70"/>
      <c r="M61" s="70"/>
      <c r="N61" s="70"/>
      <c r="O61" s="70"/>
      <c r="P61" s="71"/>
    </row>
    <row r="62" spans="1:16" ht="14" x14ac:dyDescent="0.15">
      <c r="A62" s="110" t="s">
        <v>181</v>
      </c>
      <c r="B62" s="75"/>
      <c r="C62" s="75"/>
      <c r="D62" s="75"/>
      <c r="E62" s="75"/>
      <c r="F62" s="75">
        <v>4061</v>
      </c>
      <c r="G62" s="75"/>
      <c r="H62" s="75">
        <v>8127</v>
      </c>
      <c r="I62" s="75"/>
      <c r="J62" s="70"/>
      <c r="K62" s="70"/>
      <c r="L62" s="70"/>
      <c r="M62" s="70"/>
      <c r="N62" s="70"/>
      <c r="O62" s="70"/>
      <c r="P62" s="71"/>
    </row>
    <row r="63" spans="1:16" ht="14" x14ac:dyDescent="0.15">
      <c r="A63" s="73" t="s">
        <v>182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1"/>
    </row>
    <row r="64" spans="1:16" ht="14" x14ac:dyDescent="0.15">
      <c r="A64" s="67" t="s">
        <v>183</v>
      </c>
      <c r="B64" s="70"/>
      <c r="C64" s="70"/>
      <c r="D64" s="70" t="s">
        <v>138</v>
      </c>
      <c r="E64" s="70">
        <v>11679</v>
      </c>
      <c r="F64" s="70">
        <v>8435</v>
      </c>
      <c r="G64" s="70">
        <v>5371</v>
      </c>
      <c r="H64" s="70">
        <v>22287</v>
      </c>
      <c r="I64" s="70">
        <v>17148</v>
      </c>
      <c r="J64" s="70"/>
      <c r="K64" s="70"/>
      <c r="L64" s="70"/>
      <c r="M64" s="70"/>
      <c r="N64" s="70"/>
      <c r="O64" s="70"/>
      <c r="P64" s="71"/>
    </row>
    <row r="65" spans="1:16" ht="14" x14ac:dyDescent="0.15">
      <c r="A65" s="67" t="s">
        <v>184</v>
      </c>
      <c r="B65" s="70"/>
      <c r="C65" s="70"/>
      <c r="D65" s="70" t="s">
        <v>138</v>
      </c>
      <c r="E65" s="70" t="s">
        <v>138</v>
      </c>
      <c r="F65" s="70" t="s">
        <v>138</v>
      </c>
      <c r="G65" s="70">
        <v>569</v>
      </c>
      <c r="H65" s="70">
        <v>3416</v>
      </c>
      <c r="I65" s="70">
        <v>5043</v>
      </c>
      <c r="J65" s="70"/>
      <c r="K65" s="70"/>
      <c r="L65" s="70"/>
      <c r="M65" s="70"/>
      <c r="N65" s="70"/>
      <c r="O65" s="70"/>
      <c r="P65" s="71"/>
    </row>
    <row r="66" spans="1:16" ht="14" x14ac:dyDescent="0.15">
      <c r="I66" s="67"/>
    </row>
  </sheetData>
  <mergeCells count="4">
    <mergeCell ref="A1:O1"/>
    <mergeCell ref="A2:O2"/>
    <mergeCell ref="A3:O3"/>
    <mergeCell ref="B4:I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68"/>
  <sheetViews>
    <sheetView topLeftCell="A50" zoomScaleNormal="100" workbookViewId="0">
      <selection activeCell="C59" sqref="C59"/>
    </sheetView>
  </sheetViews>
  <sheetFormatPr baseColWidth="10" defaultColWidth="12.6640625" defaultRowHeight="15.75" customHeight="1" x14ac:dyDescent="0.15"/>
  <cols>
    <col min="1" max="1" width="49.1640625" bestFit="1" customWidth="1"/>
    <col min="2" max="2" width="12.6640625" bestFit="1" customWidth="1"/>
    <col min="3" max="6" width="15.6640625" bestFit="1" customWidth="1"/>
    <col min="7" max="12" width="17" bestFit="1" customWidth="1"/>
  </cols>
  <sheetData>
    <row r="1" spans="1:16" ht="16" x14ac:dyDescent="0.2">
      <c r="A1" s="558" t="s">
        <v>185</v>
      </c>
      <c r="B1" s="559"/>
      <c r="C1" s="559"/>
      <c r="D1" s="559"/>
      <c r="E1" s="559"/>
      <c r="F1" s="559"/>
      <c r="G1" s="559"/>
      <c r="H1" s="79"/>
    </row>
    <row r="2" spans="1:16" ht="16" x14ac:dyDescent="0.2">
      <c r="A2" s="80" t="s">
        <v>54</v>
      </c>
      <c r="B2" s="81">
        <v>2025</v>
      </c>
      <c r="C2" s="82">
        <v>2026</v>
      </c>
      <c r="D2" s="82">
        <v>2027</v>
      </c>
      <c r="E2" s="82">
        <v>2028</v>
      </c>
      <c r="F2" s="82">
        <v>2029</v>
      </c>
      <c r="G2" s="82">
        <v>2030</v>
      </c>
      <c r="H2" s="82">
        <v>2031</v>
      </c>
      <c r="I2" s="82">
        <v>2032</v>
      </c>
      <c r="J2" s="82">
        <v>2033</v>
      </c>
      <c r="K2" s="82">
        <v>2034</v>
      </c>
      <c r="L2" s="82">
        <v>2035</v>
      </c>
      <c r="M2" s="79"/>
      <c r="N2" s="79"/>
      <c r="O2" s="79"/>
      <c r="P2" s="79"/>
    </row>
    <row r="3" spans="1:16" ht="14" x14ac:dyDescent="0.15">
      <c r="A3" s="1" t="s">
        <v>93</v>
      </c>
      <c r="B3" s="5">
        <v>4985612</v>
      </c>
      <c r="C3" s="29">
        <f>B3*(1+'Income Statement'!$J$33)</f>
        <v>5910350.3635945283</v>
      </c>
      <c r="D3" s="29">
        <f>C3*(1+'Income Statement'!$J$33)</f>
        <v>7006610.5064818468</v>
      </c>
      <c r="E3" s="29">
        <f>D3*(1+'Income Statement'!$J$33)</f>
        <v>8306206.5308231423</v>
      </c>
      <c r="F3" s="29">
        <f>E3*(1+'Income Statement'!$J$33)</f>
        <v>9846853.4634347409</v>
      </c>
      <c r="G3" s="29">
        <f>F3*(1+'Income Statement'!$J$33)</f>
        <v>11673261.767637266</v>
      </c>
      <c r="H3" s="29">
        <f>G3*(1+'Income Statement'!$J$33)</f>
        <v>13838434.866710251</v>
      </c>
      <c r="I3" s="29">
        <f>H3*(1+'Income Statement'!$J$33)</f>
        <v>16405207.333831862</v>
      </c>
      <c r="J3" s="29">
        <f>I3*(1+'Income Statement'!$J$33)</f>
        <v>19448068.387663696</v>
      </c>
      <c r="K3" s="29">
        <f>J3*(1+'Income Statement'!$J$33)</f>
        <v>23055323.612475134</v>
      </c>
      <c r="L3" s="29">
        <f>K3*(1+'Income Statement'!$J$33)</f>
        <v>27331657.637173116</v>
      </c>
    </row>
    <row r="4" spans="1:16" ht="14" x14ac:dyDescent="0.15">
      <c r="A4" s="3" t="s">
        <v>94</v>
      </c>
      <c r="B4" s="16">
        <v>2099949</v>
      </c>
      <c r="C4" s="30">
        <f>'Income Statement'!$J$36*Proforma!C3</f>
        <v>2752309.9438142846</v>
      </c>
      <c r="D4" s="30">
        <f>'Income Statement'!$J$36*Proforma!D3</f>
        <v>3262812.2840581243</v>
      </c>
      <c r="E4" s="30">
        <f>'Income Statement'!$J$36*Proforma!E3</f>
        <v>3868003.3202390457</v>
      </c>
      <c r="F4" s="30">
        <f>'Income Statement'!$J$36*Proforma!F3</f>
        <v>4585446.0455726776</v>
      </c>
      <c r="G4" s="30">
        <f>'Income Statement'!$J$36*Proforma!G3</f>
        <v>5435961.0620909864</v>
      </c>
      <c r="H4" s="30">
        <f>'Income Statement'!$J$36*Proforma!H3</f>
        <v>6444230.8065319089</v>
      </c>
      <c r="I4" s="30">
        <f>'Income Statement'!$J$36*Proforma!I3</f>
        <v>7639515.8489013845</v>
      </c>
      <c r="J4" s="30">
        <f>'Income Statement'!$J$36*Proforma!J3</f>
        <v>9056504.0511055551</v>
      </c>
      <c r="K4" s="30">
        <f>'Income Statement'!$J$36*Proforma!K3</f>
        <v>10736317.228726791</v>
      </c>
      <c r="L4" s="30">
        <f>'Income Statement'!$J$36*Proforma!L3</f>
        <v>12727704.529849414</v>
      </c>
    </row>
    <row r="5" spans="1:16" ht="14" x14ac:dyDescent="0.15">
      <c r="A5" s="1" t="s">
        <v>95</v>
      </c>
      <c r="B5" s="5">
        <f>B3-B4</f>
        <v>2885663</v>
      </c>
      <c r="C5" s="5">
        <f t="shared" ref="C5:F5" si="0">C3-C4</f>
        <v>3158040.4197802437</v>
      </c>
      <c r="D5" s="5">
        <f t="shared" si="0"/>
        <v>3743798.2224237225</v>
      </c>
      <c r="E5" s="5">
        <f t="shared" si="0"/>
        <v>4438203.2105840966</v>
      </c>
      <c r="F5" s="5">
        <f t="shared" si="0"/>
        <v>5261407.4178620633</v>
      </c>
      <c r="G5" s="5">
        <f>G3-G4</f>
        <v>6237300.7055462794</v>
      </c>
      <c r="H5" s="5">
        <f>H3-H4</f>
        <v>7394204.0601783423</v>
      </c>
      <c r="I5" s="5">
        <f t="shared" ref="I5" si="1">I3-I4</f>
        <v>8765691.484930478</v>
      </c>
      <c r="J5" s="5">
        <f t="shared" ref="J5" si="2">J3-J4</f>
        <v>10391564.336558141</v>
      </c>
      <c r="K5" s="5">
        <f t="shared" ref="K5" si="3">K3-K4</f>
        <v>12319006.383748343</v>
      </c>
      <c r="L5" s="5">
        <f t="shared" ref="L5" si="4">L3-L4</f>
        <v>14603953.107323702</v>
      </c>
    </row>
    <row r="6" spans="1:16" ht="14" x14ac:dyDescent="0.15">
      <c r="A6" s="3" t="s">
        <v>96</v>
      </c>
      <c r="B6" s="16">
        <v>1706571</v>
      </c>
      <c r="C6" s="30">
        <f>C3*'Income Statement'!$J$37</f>
        <v>2006863.0573790015</v>
      </c>
      <c r="D6" s="30">
        <f>D3*'Income Statement'!$J$37</f>
        <v>2379098.8550381395</v>
      </c>
      <c r="E6" s="30">
        <f>E3*'Income Statement'!$J$37</f>
        <v>2820377.4748018887</v>
      </c>
      <c r="F6" s="30">
        <f>F3*'Income Statement'!$J$37</f>
        <v>3343505.0769432443</v>
      </c>
      <c r="G6" s="30">
        <f>G3*'Income Statement'!$J$37</f>
        <v>3963663.1264510066</v>
      </c>
      <c r="H6" s="30">
        <f>H3*'Income Statement'!$J$37</f>
        <v>4698848.9679072369</v>
      </c>
      <c r="I6" s="30">
        <f>I3*'Income Statement'!$J$37</f>
        <v>5570398.1188159669</v>
      </c>
      <c r="J6" s="30">
        <f>J3*'Income Statement'!$J$37</f>
        <v>6603603.4386370685</v>
      </c>
      <c r="K6" s="30">
        <f>K3*'Income Statement'!$J$37</f>
        <v>7828449.1421680376</v>
      </c>
      <c r="L6" s="30">
        <f>L3*'Income Statement'!$J$37</f>
        <v>9280480.9587657712</v>
      </c>
    </row>
    <row r="7" spans="1:16" ht="13" x14ac:dyDescent="0.15">
      <c r="A7" s="15" t="s">
        <v>186</v>
      </c>
      <c r="B7" s="5">
        <f>B5-B6</f>
        <v>1179092</v>
      </c>
      <c r="C7" s="5">
        <f>C5-C6</f>
        <v>1151177.3624012421</v>
      </c>
      <c r="D7" s="5">
        <f t="shared" ref="D7:G7" si="5">D5-D6</f>
        <v>1364699.367385583</v>
      </c>
      <c r="E7" s="5">
        <f t="shared" si="5"/>
        <v>1617825.7357822079</v>
      </c>
      <c r="F7" s="5">
        <f t="shared" si="5"/>
        <v>1917902.340918819</v>
      </c>
      <c r="G7" s="5">
        <f t="shared" si="5"/>
        <v>2273637.5790952728</v>
      </c>
      <c r="H7" s="5">
        <f t="shared" ref="H7" si="6">H5-H6</f>
        <v>2695355.0922711054</v>
      </c>
      <c r="I7" s="5">
        <f t="shared" ref="I7" si="7">I5-I6</f>
        <v>3195293.3661145112</v>
      </c>
      <c r="J7" s="5">
        <f t="shared" ref="J7" si="8">J5-J6</f>
        <v>3787960.8979210723</v>
      </c>
      <c r="K7" s="5">
        <f t="shared" ref="K7" si="9">K5-K6</f>
        <v>4490557.2415803056</v>
      </c>
      <c r="L7" s="5">
        <f t="shared" ref="L7" si="10">L5-L6</f>
        <v>5323472.1485579312</v>
      </c>
    </row>
    <row r="8" spans="1:16" ht="16" customHeight="1" x14ac:dyDescent="0.15">
      <c r="A8" s="3" t="s">
        <v>98</v>
      </c>
      <c r="B8" s="560" t="s">
        <v>99</v>
      </c>
      <c r="C8" s="561"/>
      <c r="D8" s="561"/>
      <c r="E8" s="561"/>
      <c r="F8" s="561"/>
      <c r="G8" s="561"/>
      <c r="H8" s="561"/>
      <c r="I8" s="561"/>
      <c r="J8" s="561"/>
      <c r="K8" s="561"/>
      <c r="L8" s="561"/>
    </row>
    <row r="9" spans="1:16" ht="14" x14ac:dyDescent="0.15">
      <c r="A9" s="3" t="s">
        <v>100</v>
      </c>
      <c r="B9" s="4">
        <v>3517</v>
      </c>
      <c r="C9" s="28">
        <f>C3*'Income Statement'!$J$40</f>
        <v>7533.2584890224616</v>
      </c>
      <c r="D9" s="28">
        <f>D3*'Income Statement'!$J$40</f>
        <v>8930.5379258645626</v>
      </c>
      <c r="E9" s="28">
        <f>E3*'Income Statement'!$J$40</f>
        <v>10586.986728455473</v>
      </c>
      <c r="F9" s="28">
        <f>F3*'Income Statement'!$J$40</f>
        <v>12550.675997229077</v>
      </c>
      <c r="G9" s="28">
        <f>G3*'Income Statement'!$J$40</f>
        <v>14878.593128302</v>
      </c>
      <c r="H9" s="28">
        <f>H3*'Income Statement'!$J$40</f>
        <v>17638.295620604811</v>
      </c>
      <c r="I9" s="28">
        <f>I3*'Income Statement'!$J$40</f>
        <v>20909.871633498438</v>
      </c>
      <c r="J9" s="28">
        <f>J3*'Income Statement'!$J$40</f>
        <v>24788.264191389626</v>
      </c>
      <c r="K9" s="28">
        <f>K3*'Income Statement'!$J$40</f>
        <v>29386.026485104921</v>
      </c>
      <c r="L9" s="28">
        <f>L3*'Income Statement'!$J$40</f>
        <v>34836.588230459638</v>
      </c>
    </row>
    <row r="10" spans="1:16" ht="16" customHeight="1" x14ac:dyDescent="0.15">
      <c r="A10" s="3" t="s">
        <v>101</v>
      </c>
      <c r="B10" s="561" t="s">
        <v>102</v>
      </c>
      <c r="C10" s="561"/>
      <c r="D10" s="561"/>
      <c r="E10" s="561"/>
      <c r="F10" s="561"/>
      <c r="G10" s="561"/>
      <c r="H10" s="561"/>
      <c r="I10" s="561"/>
      <c r="J10" s="561"/>
      <c r="K10" s="561"/>
      <c r="L10" s="561"/>
    </row>
    <row r="11" spans="1:16" ht="14" x14ac:dyDescent="0.15">
      <c r="A11" s="17" t="s">
        <v>187</v>
      </c>
      <c r="B11" s="5">
        <f>B7-B9</f>
        <v>1175575</v>
      </c>
      <c r="C11" s="5">
        <f t="shared" ref="C11:G11" si="11">C7-C9</f>
        <v>1143644.1039122196</v>
      </c>
      <c r="D11" s="5">
        <f t="shared" si="11"/>
        <v>1355768.8294597184</v>
      </c>
      <c r="E11" s="5">
        <f t="shared" si="11"/>
        <v>1607238.7490537525</v>
      </c>
      <c r="F11" s="5">
        <f t="shared" si="11"/>
        <v>1905351.6649215899</v>
      </c>
      <c r="G11" s="5">
        <f t="shared" si="11"/>
        <v>2258758.9859669707</v>
      </c>
      <c r="H11" s="5">
        <f t="shared" ref="H11:L11" si="12">H7-H9</f>
        <v>2677716.7966505005</v>
      </c>
      <c r="I11" s="5">
        <f t="shared" si="12"/>
        <v>3174383.4944810127</v>
      </c>
      <c r="J11" s="5">
        <f t="shared" si="12"/>
        <v>3763172.6337296828</v>
      </c>
      <c r="K11" s="5">
        <f t="shared" si="12"/>
        <v>4461171.2150952006</v>
      </c>
      <c r="L11" s="5">
        <f t="shared" si="12"/>
        <v>5288635.5603274712</v>
      </c>
    </row>
    <row r="12" spans="1:16" ht="16" x14ac:dyDescent="0.2">
      <c r="A12" s="3" t="s">
        <v>105</v>
      </c>
      <c r="B12" s="16">
        <v>277208</v>
      </c>
      <c r="C12" s="83">
        <f>C11*'Income Statement'!$J$38</f>
        <v>247363.32290870472</v>
      </c>
      <c r="D12" s="83">
        <f>D11*'Income Statement'!$J$38</f>
        <v>293244.62182243896</v>
      </c>
      <c r="E12" s="83">
        <f>E11*'Income Statement'!$J$38</f>
        <v>347636.04893649818</v>
      </c>
      <c r="F12" s="83">
        <f>F11*'Income Statement'!$J$38</f>
        <v>412116.07486310537</v>
      </c>
      <c r="G12" s="83">
        <f>G11*'Income Statement'!$J$38</f>
        <v>488555.94717565371</v>
      </c>
      <c r="H12" s="83">
        <f>H11*'Income Statement'!$J$38</f>
        <v>579173.99509345985</v>
      </c>
      <c r="I12" s="83">
        <f>I11*'Income Statement'!$J$38</f>
        <v>686600.0066762371</v>
      </c>
      <c r="J12" s="83">
        <f>J11*'Income Statement'!$J$38</f>
        <v>813951.54679162777</v>
      </c>
      <c r="K12" s="83">
        <f>K11*'Income Statement'!$J$38</f>
        <v>964924.43064727599</v>
      </c>
      <c r="L12" s="83">
        <f>L11*'Income Statement'!$J$38</f>
        <v>1143899.9784815528</v>
      </c>
    </row>
    <row r="13" spans="1:16" ht="14" x14ac:dyDescent="0.15">
      <c r="A13" s="1" t="s">
        <v>106</v>
      </c>
      <c r="B13" s="5">
        <f>B11-B12</f>
        <v>898367</v>
      </c>
      <c r="C13" s="5">
        <f t="shared" ref="C13:G13" si="13">C11-C12</f>
        <v>896280.78100351489</v>
      </c>
      <c r="D13" s="5">
        <f t="shared" si="13"/>
        <v>1062524.2076372795</v>
      </c>
      <c r="E13" s="5">
        <f t="shared" si="13"/>
        <v>1259602.7001172544</v>
      </c>
      <c r="F13" s="5">
        <f t="shared" si="13"/>
        <v>1493235.5900584846</v>
      </c>
      <c r="G13" s="5">
        <f t="shared" si="13"/>
        <v>1770203.038791317</v>
      </c>
      <c r="H13" s="5">
        <f t="shared" ref="H13" si="14">H11-H12</f>
        <v>2098542.8015570408</v>
      </c>
      <c r="I13" s="5">
        <f t="shared" ref="I13" si="15">I11-I12</f>
        <v>2487783.4878047756</v>
      </c>
      <c r="J13" s="5">
        <f t="shared" ref="J13" si="16">J11-J12</f>
        <v>2949221.0869380552</v>
      </c>
      <c r="K13" s="5">
        <f t="shared" ref="K13" si="17">K11-K12</f>
        <v>3496246.7844479247</v>
      </c>
      <c r="L13" s="5">
        <f t="shared" ref="L13" si="18">L11-L12</f>
        <v>4144735.5818459187</v>
      </c>
    </row>
    <row r="14" spans="1:16" ht="16" x14ac:dyDescent="0.2">
      <c r="A14" s="1"/>
      <c r="B14" s="6"/>
      <c r="C14" s="76"/>
      <c r="D14" s="76"/>
      <c r="E14" s="76"/>
      <c r="F14" s="76"/>
      <c r="G14" s="76"/>
      <c r="H14" s="76"/>
    </row>
    <row r="15" spans="1:16" ht="15.75" customHeight="1" x14ac:dyDescent="0.2">
      <c r="A15" s="8" t="s">
        <v>188</v>
      </c>
      <c r="B15" s="6"/>
    </row>
    <row r="16" spans="1:16" ht="15.75" customHeight="1" x14ac:dyDescent="0.2">
      <c r="A16" s="11" t="s">
        <v>54</v>
      </c>
      <c r="B16" s="81">
        <v>2025</v>
      </c>
      <c r="C16" s="82">
        <v>2026</v>
      </c>
      <c r="D16" s="82">
        <v>2027</v>
      </c>
      <c r="E16" s="82">
        <v>2028</v>
      </c>
      <c r="F16" s="82">
        <v>2029</v>
      </c>
      <c r="G16" s="82">
        <v>2030</v>
      </c>
      <c r="H16" s="82">
        <v>2031</v>
      </c>
      <c r="I16" s="82">
        <v>2032</v>
      </c>
      <c r="J16" s="82">
        <v>2033</v>
      </c>
      <c r="K16" s="82">
        <v>2034</v>
      </c>
      <c r="L16" s="82">
        <v>2035</v>
      </c>
    </row>
    <row r="17" spans="1:12" ht="15.75" customHeight="1" x14ac:dyDescent="0.15">
      <c r="A17" s="2" t="s">
        <v>6</v>
      </c>
      <c r="B17" s="5"/>
      <c r="D17" s="15"/>
      <c r="E17" s="11"/>
    </row>
    <row r="18" spans="1:12" ht="15.75" customHeight="1" x14ac:dyDescent="0.15">
      <c r="A18" s="19" t="s">
        <v>7</v>
      </c>
      <c r="B18" s="4">
        <v>1889188</v>
      </c>
      <c r="C18" s="27">
        <f>'Income Statement'!$J$43*Proforma!C3</f>
        <v>1970228.05542643</v>
      </c>
      <c r="D18" s="27">
        <f>'Income Statement'!$J$43*Proforma!D3</f>
        <v>2335668.7411201955</v>
      </c>
      <c r="E18" s="27">
        <f>'Income Statement'!$J$43*Proforma!E3</f>
        <v>2768891.8819427029</v>
      </c>
      <c r="F18" s="27">
        <f>'Income Statement'!$J$43*Proforma!F3</f>
        <v>3282469.8635180579</v>
      </c>
      <c r="G18" s="27">
        <f>'Income Statement'!$J$43*Proforma!G3</f>
        <v>3891307.0153337317</v>
      </c>
      <c r="H18" s="27">
        <f>'Income Statement'!$J$43*Proforma!H3</f>
        <v>4613072.1429857882</v>
      </c>
      <c r="I18" s="27">
        <f>'Income Statement'!$J$43*Proforma!I3</f>
        <v>5468711.287116576</v>
      </c>
      <c r="J18" s="27">
        <f>'Income Statement'!$J$43*Proforma!J3</f>
        <v>6483055.5896052402</v>
      </c>
      <c r="K18" s="27">
        <f>'Income Statement'!$J$43*Proforma!K3</f>
        <v>7685541.9076387947</v>
      </c>
      <c r="L18" s="27">
        <f>'Income Statement'!$J$43*Proforma!L3</f>
        <v>9111067.088300081</v>
      </c>
    </row>
    <row r="19" spans="1:12" ht="15.75" customHeight="1" x14ac:dyDescent="0.15">
      <c r="A19" s="19" t="s">
        <v>8</v>
      </c>
      <c r="B19" s="4">
        <v>332872</v>
      </c>
      <c r="C19" s="27">
        <f>C3*('Balance Sheet'!$J$51/365)</f>
        <v>971564.44333060738</v>
      </c>
      <c r="D19" s="27">
        <f>D3*('Balance Sheet'!$J$51/365)</f>
        <v>1151771.5901066049</v>
      </c>
      <c r="E19" s="27">
        <f>E3*('Balance Sheet'!$J$51/365)</f>
        <v>1365403.813285996</v>
      </c>
      <c r="F19" s="27">
        <f>F3*('Balance Sheet'!$J$51/365)</f>
        <v>1618660.843304341</v>
      </c>
      <c r="G19" s="27">
        <f>G3*('Balance Sheet'!$J$51/365)</f>
        <v>1918892.34536503</v>
      </c>
      <c r="H19" s="27">
        <f>H3*('Balance Sheet'!$J$51/365)</f>
        <v>2274811.2109660688</v>
      </c>
      <c r="I19" s="27">
        <f>I3*('Balance Sheet'!$J$51/365)</f>
        <v>2696746.4110408537</v>
      </c>
      <c r="J19" s="27">
        <f>J3*('Balance Sheet'!$J$51/365)</f>
        <v>3196942.7486570459</v>
      </c>
      <c r="K19" s="27">
        <f>K3*('Balance Sheet'!$J$51/365)</f>
        <v>3789916.2102698847</v>
      </c>
      <c r="L19" s="27">
        <f>L3*('Balance Sheet'!$J$51/365)</f>
        <v>4492875.2280284576</v>
      </c>
    </row>
    <row r="20" spans="1:12" ht="15.75" customHeight="1" x14ac:dyDescent="0.15">
      <c r="A20" s="19" t="s">
        <v>9</v>
      </c>
      <c r="B20" s="4">
        <v>495226</v>
      </c>
      <c r="C20" s="27">
        <f>C4 * ('Balance Sheet'!$J$52/365)</f>
        <v>603246.01508258295</v>
      </c>
      <c r="D20" s="27">
        <f>D4 * ('Balance Sheet'!$J$52/365)</f>
        <v>715136.93897164369</v>
      </c>
      <c r="E20" s="27">
        <f>E4 * ('Balance Sheet'!$J$52/365)</f>
        <v>847781.54964143457</v>
      </c>
      <c r="F20" s="27">
        <f>F4 * ('Balance Sheet'!$J$52/365)</f>
        <v>1005029.2702625046</v>
      </c>
      <c r="G20" s="27">
        <f>G4 * ('Balance Sheet'!$J$52/365)</f>
        <v>1191443.5204582983</v>
      </c>
      <c r="H20" s="27">
        <f>H4 * ('Balance Sheet'!$J$52/365)</f>
        <v>1412434.1493768566</v>
      </c>
      <c r="I20" s="27">
        <f>I4 * ('Balance Sheet'!$J$52/365)</f>
        <v>1674414.4326359199</v>
      </c>
      <c r="J20" s="27">
        <f>J4 * ('Balance Sheet'!$J$52/365)</f>
        <v>1984987.1892834092</v>
      </c>
      <c r="K20" s="27">
        <f>K4 * ('Balance Sheet'!$J$52/365)</f>
        <v>2353165.419994913</v>
      </c>
      <c r="L20" s="27">
        <f>L4 * ('Balance Sheet'!$J$52/365)</f>
        <v>2789633.8695560358</v>
      </c>
    </row>
    <row r="21" spans="1:12" ht="13" x14ac:dyDescent="0.15">
      <c r="A21" s="19" t="s">
        <v>189</v>
      </c>
      <c r="B21" s="4">
        <v>106576</v>
      </c>
      <c r="C21" s="27">
        <f>'Balance Sheet'!$J$53*Proforma!C4</f>
        <v>142160.55781677403</v>
      </c>
      <c r="D21" s="27">
        <f>'Balance Sheet'!$J$53*Proforma!D4</f>
        <v>168528.69910076665</v>
      </c>
      <c r="E21" s="27">
        <f>'Balance Sheet'!$J$53*Proforma!E4</f>
        <v>199787.64051561354</v>
      </c>
      <c r="F21" s="27">
        <f>'Balance Sheet'!$J$53*Proforma!F4</f>
        <v>236844.53458535273</v>
      </c>
      <c r="G21" s="27">
        <f>'Balance Sheet'!$J$53*Proforma!G4</f>
        <v>280774.79376692697</v>
      </c>
      <c r="H21" s="27">
        <f>'Balance Sheet'!$J$53*Proforma!H4</f>
        <v>332853.29954046477</v>
      </c>
      <c r="I21" s="27">
        <f>'Balance Sheet'!$J$53*Proforma!I4</f>
        <v>394591.400205757</v>
      </c>
      <c r="J21" s="27">
        <f>'Balance Sheet'!$J$53*Proforma!J4</f>
        <v>467780.77108234062</v>
      </c>
      <c r="K21" s="27">
        <f>'Balance Sheet'!$J$53*Proforma!K4</f>
        <v>554545.40996151336</v>
      </c>
      <c r="L21" s="27">
        <f>'Balance Sheet'!$J$53*Proforma!L4</f>
        <v>657403.2767483124</v>
      </c>
    </row>
    <row r="22" spans="1:12" ht="15.75" customHeight="1" x14ac:dyDescent="0.15">
      <c r="A22" s="19" t="s">
        <v>12</v>
      </c>
      <c r="B22" s="14" t="s">
        <v>190</v>
      </c>
      <c r="D22" s="15"/>
      <c r="E22" s="11"/>
    </row>
    <row r="23" spans="1:12" s="15" customFormat="1" ht="15.75" customHeight="1" x14ac:dyDescent="0.15">
      <c r="A23" s="21" t="s">
        <v>13</v>
      </c>
      <c r="B23" s="36">
        <f>SUM(B18:B21)</f>
        <v>2823862</v>
      </c>
      <c r="C23" s="36">
        <f t="shared" ref="C23:L23" si="19">SUM(C18:C21)</f>
        <v>3687199.0716563943</v>
      </c>
      <c r="D23" s="36">
        <f t="shared" si="19"/>
        <v>4371105.9692992102</v>
      </c>
      <c r="E23" s="36">
        <f t="shared" si="19"/>
        <v>5181864.8853857471</v>
      </c>
      <c r="F23" s="36">
        <f t="shared" si="19"/>
        <v>6143004.511670257</v>
      </c>
      <c r="G23" s="36">
        <f t="shared" si="19"/>
        <v>7282417.6749239862</v>
      </c>
      <c r="H23" s="36">
        <f t="shared" si="19"/>
        <v>8633170.8028691784</v>
      </c>
      <c r="I23" s="36">
        <f t="shared" si="19"/>
        <v>10234463.530999107</v>
      </c>
      <c r="J23" s="36">
        <f t="shared" si="19"/>
        <v>12132766.298628034</v>
      </c>
      <c r="K23" s="36">
        <f t="shared" si="19"/>
        <v>14383168.947865106</v>
      </c>
      <c r="L23" s="36">
        <f t="shared" si="19"/>
        <v>17050979.462632887</v>
      </c>
    </row>
    <row r="24" spans="1:12" ht="15.75" customHeight="1" x14ac:dyDescent="0.15">
      <c r="A24" s="19" t="s">
        <v>14</v>
      </c>
      <c r="B24" s="26">
        <v>728563</v>
      </c>
      <c r="C24" s="27">
        <f>C3*'Balance Sheet'!$J$58</f>
        <v>998730.71970970265</v>
      </c>
      <c r="D24" s="27">
        <f>D3*'Balance Sheet'!$J$58</f>
        <v>1183976.7058425858</v>
      </c>
      <c r="E24" s="27">
        <f>E3*'Balance Sheet'!$J$58</f>
        <v>1403582.3794278775</v>
      </c>
      <c r="F24" s="27">
        <f>F3*'Balance Sheet'!$J$58</f>
        <v>1663920.8238800832</v>
      </c>
      <c r="G24" s="27">
        <f>G3*'Balance Sheet'!$J$58</f>
        <v>1972547.2111371998</v>
      </c>
      <c r="H24" s="27">
        <f>H3*'Balance Sheet'!$J$58</f>
        <v>2338418.0571115687</v>
      </c>
      <c r="I24" s="27">
        <f>I3*'Balance Sheet'!$J$58</f>
        <v>2772151.1449517878</v>
      </c>
      <c r="J24" s="27">
        <f>J3*'Balance Sheet'!$J$58</f>
        <v>3286333.6592387832</v>
      </c>
      <c r="K24" s="27">
        <f>K3*'Balance Sheet'!$J$58</f>
        <v>3895887.4733482827</v>
      </c>
      <c r="L24" s="27">
        <f>L3*'Balance Sheet'!$J$58</f>
        <v>4618502.1908298107</v>
      </c>
    </row>
    <row r="25" spans="1:12" ht="15.75" customHeight="1" x14ac:dyDescent="0.15">
      <c r="A25" s="19" t="s">
        <v>15</v>
      </c>
      <c r="B25" s="4">
        <v>402964</v>
      </c>
      <c r="C25" s="27">
        <f>'Balance Sheet'!$J$57*Proforma!C24</f>
        <v>547069.97732597589</v>
      </c>
      <c r="D25" s="27">
        <f>'Balance Sheet'!$J$57*Proforma!D24</f>
        <v>648541.29029700498</v>
      </c>
      <c r="E25" s="27">
        <f>'Balance Sheet'!$J$57*Proforma!E24</f>
        <v>768833.64588198357</v>
      </c>
      <c r="F25" s="27">
        <f>'Balance Sheet'!$J$57*Proforma!F24</f>
        <v>911437.99767857767</v>
      </c>
      <c r="G25" s="27">
        <f>'Balance Sheet'!$J$57*Proforma!G24</f>
        <v>1080492.806294082</v>
      </c>
      <c r="H25" s="27">
        <f>'Balance Sheet'!$J$57*Proforma!H24</f>
        <v>1280904.1398611644</v>
      </c>
      <c r="I25" s="27">
        <f>'Balance Sheet'!$J$57*Proforma!I24</f>
        <v>1518488.050967097</v>
      </c>
      <c r="J25" s="27">
        <f>'Balance Sheet'!$J$57*Proforma!J24</f>
        <v>1800139.361857146</v>
      </c>
      <c r="K25" s="27">
        <f>'Balance Sheet'!$J$57*Proforma!K24</f>
        <v>2134031.7561561558</v>
      </c>
      <c r="L25" s="27">
        <f>'Balance Sheet'!$J$57*Proforma!L24</f>
        <v>2529854.9838855909</v>
      </c>
    </row>
    <row r="26" spans="1:12" ht="15.75" customHeight="1" x14ac:dyDescent="0.15">
      <c r="A26" s="19" t="s">
        <v>16</v>
      </c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15.75" customHeight="1" x14ac:dyDescent="0.15">
      <c r="A27" s="19" t="s">
        <v>18</v>
      </c>
      <c r="B27" s="4">
        <v>237352</v>
      </c>
      <c r="C27" s="34">
        <f>'Balance Sheet'!$J$54</f>
        <v>214882.5</v>
      </c>
      <c r="D27" s="34">
        <f>'Balance Sheet'!$J$54</f>
        <v>214882.5</v>
      </c>
      <c r="E27" s="34">
        <f>'Balance Sheet'!$J$54</f>
        <v>214882.5</v>
      </c>
      <c r="F27" s="34">
        <f>'Balance Sheet'!$J$54</f>
        <v>214882.5</v>
      </c>
      <c r="G27" s="34">
        <f>'Balance Sheet'!$J$54</f>
        <v>214882.5</v>
      </c>
      <c r="H27" s="34">
        <f>'Balance Sheet'!$J$54</f>
        <v>214882.5</v>
      </c>
      <c r="I27" s="34">
        <f>'Balance Sheet'!$J$54</f>
        <v>214882.5</v>
      </c>
      <c r="J27" s="34">
        <f>'Balance Sheet'!$J$54</f>
        <v>214882.5</v>
      </c>
      <c r="K27" s="34">
        <f>'Balance Sheet'!$J$54</f>
        <v>214882.5</v>
      </c>
      <c r="L27" s="34">
        <f>'Balance Sheet'!$J$54</f>
        <v>214882.5</v>
      </c>
    </row>
    <row r="28" spans="1:12" ht="15.75" customHeight="1" x14ac:dyDescent="0.15">
      <c r="A28" s="19" t="s">
        <v>19</v>
      </c>
      <c r="B28" s="4">
        <v>13990</v>
      </c>
      <c r="C28" s="4">
        <f>'Balance Sheet'!$J$55</f>
        <v>13990</v>
      </c>
      <c r="D28" s="4">
        <f>'Balance Sheet'!$J$55</f>
        <v>13990</v>
      </c>
      <c r="E28" s="4">
        <f>'Balance Sheet'!$J$55</f>
        <v>13990</v>
      </c>
      <c r="F28" s="4">
        <f>'Balance Sheet'!$J$55</f>
        <v>13990</v>
      </c>
      <c r="G28" s="4">
        <f>'Balance Sheet'!$J$55</f>
        <v>13990</v>
      </c>
      <c r="H28" s="4">
        <f>'Balance Sheet'!$J$55</f>
        <v>13990</v>
      </c>
      <c r="I28" s="4">
        <f>'Balance Sheet'!$J$55</f>
        <v>13990</v>
      </c>
      <c r="J28" s="4">
        <f>'Balance Sheet'!$J$55</f>
        <v>13990</v>
      </c>
      <c r="K28" s="4">
        <f>'Balance Sheet'!$J$55</f>
        <v>13990</v>
      </c>
      <c r="L28" s="4">
        <f>'Balance Sheet'!$J$55</f>
        <v>13990</v>
      </c>
    </row>
    <row r="29" spans="1:12" ht="15.75" customHeight="1" x14ac:dyDescent="0.15">
      <c r="A29" s="19" t="s">
        <v>20</v>
      </c>
      <c r="B29" s="4">
        <v>15699</v>
      </c>
      <c r="C29" s="27">
        <f>'Balance Sheet'!$J$59</f>
        <v>34981.333333333336</v>
      </c>
      <c r="D29" s="27">
        <f>'Balance Sheet'!$J$59</f>
        <v>34981.333333333336</v>
      </c>
      <c r="E29" s="27">
        <f>'Balance Sheet'!$J$59</f>
        <v>34981.333333333336</v>
      </c>
      <c r="F29" s="27">
        <f>'Balance Sheet'!$J$59</f>
        <v>34981.333333333336</v>
      </c>
      <c r="G29" s="27">
        <f>'Balance Sheet'!$J$59</f>
        <v>34981.333333333336</v>
      </c>
      <c r="H29" s="27">
        <f>'Balance Sheet'!$J$59</f>
        <v>34981.333333333336</v>
      </c>
      <c r="I29" s="27">
        <f>'Balance Sheet'!$J$59</f>
        <v>34981.333333333336</v>
      </c>
      <c r="J29" s="27">
        <f>'Balance Sheet'!$J$59</f>
        <v>34981.333333333336</v>
      </c>
      <c r="K29" s="27">
        <f>'Balance Sheet'!$J$59</f>
        <v>34981.333333333336</v>
      </c>
      <c r="L29" s="27">
        <f>'Balance Sheet'!$J$59</f>
        <v>34981.333333333336</v>
      </c>
    </row>
    <row r="30" spans="1:12" ht="15.75" customHeight="1" x14ac:dyDescent="0.15">
      <c r="A30" s="19" t="s">
        <v>21</v>
      </c>
      <c r="B30" s="14" t="s">
        <v>191</v>
      </c>
      <c r="D30" s="15"/>
      <c r="E30" s="11"/>
    </row>
    <row r="31" spans="1:12" ht="15.75" customHeight="1" x14ac:dyDescent="0.15">
      <c r="A31" s="19" t="s">
        <v>23</v>
      </c>
      <c r="B31" s="4">
        <v>39546</v>
      </c>
      <c r="C31" s="27">
        <f>C3*'Balance Sheet'!$J$56</f>
        <v>73619.802670458041</v>
      </c>
      <c r="D31" s="27">
        <f>D3*'Balance Sheet'!$J$56</f>
        <v>87274.907770821141</v>
      </c>
      <c r="E31" s="27">
        <f>E3*'Balance Sheet'!$J$56</f>
        <v>103462.7810740089</v>
      </c>
      <c r="F31" s="27">
        <f>F3*'Balance Sheet'!$J$56</f>
        <v>122653.2040077065</v>
      </c>
      <c r="G31" s="27">
        <f>G3*'Balance Sheet'!$J$56</f>
        <v>145403.09372309397</v>
      </c>
      <c r="H31" s="27">
        <f>H3*'Balance Sheet'!$J$56</f>
        <v>172372.66515205312</v>
      </c>
      <c r="I31" s="27">
        <f>I3*'Balance Sheet'!$J$56</f>
        <v>204344.59082559877</v>
      </c>
      <c r="J31" s="27">
        <f>J3*'Balance Sheet'!$J$56</f>
        <v>242246.71448252548</v>
      </c>
      <c r="K31" s="27">
        <f>K3*'Balance Sheet'!$J$56</f>
        <v>287178.97763030382</v>
      </c>
      <c r="L31" s="27">
        <f>L3*'Balance Sheet'!$J$56</f>
        <v>340445.34048256691</v>
      </c>
    </row>
    <row r="32" spans="1:12" ht="15.75" customHeight="1" x14ac:dyDescent="0.15">
      <c r="A32" s="22" t="s">
        <v>24</v>
      </c>
      <c r="B32" s="35">
        <f t="shared" ref="B32:L32" si="20">B24-B25+B27+B28+B29+B31</f>
        <v>632186</v>
      </c>
      <c r="C32" s="35">
        <f t="shared" si="20"/>
        <v>789134.37838751823</v>
      </c>
      <c r="D32" s="35">
        <f t="shared" si="20"/>
        <v>886564.15664973529</v>
      </c>
      <c r="E32" s="35">
        <f t="shared" si="20"/>
        <v>1002065.3479532362</v>
      </c>
      <c r="F32" s="35">
        <f t="shared" si="20"/>
        <v>1138989.8635425454</v>
      </c>
      <c r="G32" s="35">
        <f t="shared" si="20"/>
        <v>1301311.3318995452</v>
      </c>
      <c r="H32" s="35">
        <f t="shared" si="20"/>
        <v>1493740.4157357907</v>
      </c>
      <c r="I32" s="35">
        <f t="shared" si="20"/>
        <v>1721861.5181436227</v>
      </c>
      <c r="J32" s="35">
        <f t="shared" si="20"/>
        <v>1992294.845197496</v>
      </c>
      <c r="K32" s="35">
        <f t="shared" si="20"/>
        <v>2312888.5281557641</v>
      </c>
      <c r="L32" s="35">
        <f t="shared" si="20"/>
        <v>2692946.3807601202</v>
      </c>
    </row>
    <row r="33" spans="1:12" s="49" customFormat="1" ht="15.75" customHeight="1" x14ac:dyDescent="0.15">
      <c r="A33" s="47" t="s">
        <v>25</v>
      </c>
      <c r="B33" s="48">
        <f t="shared" ref="B33:L33" si="21">B23+B32</f>
        <v>3456048</v>
      </c>
      <c r="C33" s="48">
        <f t="shared" si="21"/>
        <v>4476333.450043913</v>
      </c>
      <c r="D33" s="48">
        <f t="shared" si="21"/>
        <v>5257670.1259489451</v>
      </c>
      <c r="E33" s="48">
        <f t="shared" si="21"/>
        <v>6183930.2333389837</v>
      </c>
      <c r="F33" s="48">
        <f t="shared" si="21"/>
        <v>7281994.3752128026</v>
      </c>
      <c r="G33" s="48">
        <f t="shared" si="21"/>
        <v>8583729.0068235323</v>
      </c>
      <c r="H33" s="48">
        <f t="shared" si="21"/>
        <v>10126911.218604969</v>
      </c>
      <c r="I33" s="48">
        <f t="shared" si="21"/>
        <v>11956325.049142729</v>
      </c>
      <c r="J33" s="48">
        <f t="shared" si="21"/>
        <v>14125061.143825531</v>
      </c>
      <c r="K33" s="48">
        <f t="shared" si="21"/>
        <v>16696057.476020871</v>
      </c>
      <c r="L33" s="48">
        <f t="shared" si="21"/>
        <v>19743925.843393005</v>
      </c>
    </row>
    <row r="34" spans="1:12" ht="15.75" customHeight="1" x14ac:dyDescent="0.15">
      <c r="A34" s="23" t="s">
        <v>26</v>
      </c>
      <c r="D34" s="15"/>
      <c r="E34" s="11"/>
    </row>
    <row r="35" spans="1:12" ht="15.75" customHeight="1" x14ac:dyDescent="0.15">
      <c r="A35" s="19" t="s">
        <v>28</v>
      </c>
      <c r="B35" s="4">
        <v>417955</v>
      </c>
      <c r="C35" s="27">
        <f>C4*('Balance Sheet'!$J$63/365)</f>
        <v>504182.65954729903</v>
      </c>
      <c r="D35" s="27">
        <f>D4*('Balance Sheet'!$J$63/365)</f>
        <v>597699.17217253079</v>
      </c>
      <c r="E35" s="27">
        <f>E4*('Balance Sheet'!$J$63/365)</f>
        <v>708561.25979519985</v>
      </c>
      <c r="F35" s="27">
        <f>F4*('Balance Sheet'!$J$63/365)</f>
        <v>839986.20419309742</v>
      </c>
      <c r="G35" s="27">
        <f>G4*('Balance Sheet'!$J$63/365)</f>
        <v>995788.03311751108</v>
      </c>
      <c r="H35" s="27">
        <f>H4*('Balance Sheet'!$J$63/365)</f>
        <v>1180488.2055802101</v>
      </c>
      <c r="I35" s="27">
        <f>I4*('Balance Sheet'!$J$63/365)</f>
        <v>1399446.8272039716</v>
      </c>
      <c r="J35" s="27">
        <f>J4*('Balance Sheet'!$J$63/365)</f>
        <v>1659018.2035818682</v>
      </c>
      <c r="K35" s="27">
        <f>K4*('Balance Sheet'!$J$63/365)</f>
        <v>1966735.2458935904</v>
      </c>
      <c r="L35" s="27">
        <f>L4*('Balance Sheet'!$J$63/365)</f>
        <v>2331528.0803362471</v>
      </c>
    </row>
    <row r="36" spans="1:12" ht="15.75" customHeight="1" x14ac:dyDescent="0.15">
      <c r="A36" s="19" t="s">
        <v>29</v>
      </c>
      <c r="B36" s="4">
        <v>125417</v>
      </c>
      <c r="C36" s="27">
        <f>C4*'Balance Sheet'!$J$64</f>
        <v>143389.26981219405</v>
      </c>
      <c r="D36" s="27">
        <f>D4*'Balance Sheet'!$J$64</f>
        <v>169985.31433454007</v>
      </c>
      <c r="E36" s="27">
        <f>E4*'Balance Sheet'!$J$64</f>
        <v>201514.43080265354</v>
      </c>
      <c r="F36" s="27">
        <f>F4*'Balance Sheet'!$J$64</f>
        <v>238891.61237657641</v>
      </c>
      <c r="G36" s="27">
        <f>G4*'Balance Sheet'!$J$64</f>
        <v>283201.56644150836</v>
      </c>
      <c r="H36" s="27">
        <f>H4*'Balance Sheet'!$J$64</f>
        <v>335730.19344227132</v>
      </c>
      <c r="I36" s="27">
        <f>I4*'Balance Sheet'!$J$64</f>
        <v>398001.904456502</v>
      </c>
      <c r="J36" s="27">
        <f>J4*'Balance Sheet'!$J$64</f>
        <v>471823.86048408935</v>
      </c>
      <c r="K36" s="27">
        <f>K4*'Balance Sheet'!$J$64</f>
        <v>559338.41730257217</v>
      </c>
      <c r="L36" s="27">
        <f>L4*'Balance Sheet'!$J$64</f>
        <v>663085.29786847543</v>
      </c>
    </row>
    <row r="37" spans="1:12" ht="15.75" customHeight="1" x14ac:dyDescent="0.15">
      <c r="A37" s="19" t="s">
        <v>30</v>
      </c>
      <c r="B37" s="4">
        <v>54453</v>
      </c>
      <c r="C37" s="34">
        <f>'Balance Sheet'!$J$67*C3</f>
        <v>93291.110032034718</v>
      </c>
      <c r="D37" s="34">
        <f>'Balance Sheet'!$J$67*D3</f>
        <v>110594.87703775856</v>
      </c>
      <c r="E37" s="34">
        <f>'Balance Sheet'!$J$67*E3</f>
        <v>131108.17121585243</v>
      </c>
      <c r="F37" s="34">
        <f>'Balance Sheet'!$J$67*F3</f>
        <v>155426.30020463429</v>
      </c>
      <c r="G37" s="34">
        <f>'Balance Sheet'!$J$67*G3</f>
        <v>184254.99014496367</v>
      </c>
      <c r="H37" s="34">
        <f>'Balance Sheet'!$J$67*H3</f>
        <v>218430.86626022891</v>
      </c>
      <c r="I37" s="34">
        <f>'Balance Sheet'!$J$67*I3</f>
        <v>258945.73220327048</v>
      </c>
      <c r="J37" s="34">
        <f>'Balance Sheet'!$J$67*J3</f>
        <v>306975.35277090379</v>
      </c>
      <c r="K37" s="34">
        <f>'Balance Sheet'!$J$67*K3</f>
        <v>363913.57527703117</v>
      </c>
      <c r="L37" s="34">
        <f>'Balance Sheet'!$J$67*L3</f>
        <v>431412.77980628778</v>
      </c>
    </row>
    <row r="38" spans="1:12" ht="15.75" customHeight="1" x14ac:dyDescent="0.15">
      <c r="A38" s="19" t="s">
        <v>31</v>
      </c>
      <c r="B38" s="4">
        <v>142120</v>
      </c>
      <c r="C38" s="27">
        <f>C4*'Balance Sheet'!$J$65</f>
        <v>150729.2132742689</v>
      </c>
      <c r="D38" s="27">
        <f>D4*'Balance Sheet'!$J$65</f>
        <v>178686.68088890438</v>
      </c>
      <c r="E38" s="27">
        <f>E4*'Balance Sheet'!$J$65</f>
        <v>211829.73912956635</v>
      </c>
      <c r="F38" s="27">
        <f>F4*'Balance Sheet'!$J$65</f>
        <v>251120.21867818167</v>
      </c>
      <c r="G38" s="27">
        <f>G4*'Balance Sheet'!$J$65</f>
        <v>297698.35193162411</v>
      </c>
      <c r="H38" s="27">
        <f>H4*'Balance Sheet'!$J$65</f>
        <v>352915.86320406938</v>
      </c>
      <c r="I38" s="27">
        <f>I4*'Balance Sheet'!$J$65</f>
        <v>418375.19654687296</v>
      </c>
      <c r="J38" s="27">
        <f>J4*'Balance Sheet'!$J$65</f>
        <v>495976.01959994948</v>
      </c>
      <c r="K38" s="27">
        <f>K4*'Balance Sheet'!$J$65</f>
        <v>587970.35304326296</v>
      </c>
      <c r="L38" s="27">
        <f>L4*'Balance Sheet'!$J$65</f>
        <v>697027.92553693557</v>
      </c>
    </row>
    <row r="39" spans="1:12" ht="15.75" customHeight="1" x14ac:dyDescent="0.15">
      <c r="A39" s="19" t="s">
        <v>32</v>
      </c>
      <c r="B39" s="14" t="s">
        <v>192</v>
      </c>
    </row>
    <row r="40" spans="1:12" ht="15.75" customHeight="1" x14ac:dyDescent="0.15">
      <c r="A40" s="19" t="s">
        <v>33</v>
      </c>
      <c r="B40" s="14" t="s">
        <v>193</v>
      </c>
    </row>
    <row r="41" spans="1:12" ht="15.75" customHeight="1" x14ac:dyDescent="0.15">
      <c r="A41" s="21" t="s">
        <v>34</v>
      </c>
      <c r="B41" s="35">
        <f>SUM(B35:B38)</f>
        <v>739945</v>
      </c>
      <c r="C41" s="35">
        <f>SUM(C35:C38)</f>
        <v>891592.25266579667</v>
      </c>
      <c r="D41" s="35">
        <f t="shared" ref="D41:L41" si="22">SUM(D35:D38)</f>
        <v>1056966.0444337339</v>
      </c>
      <c r="E41" s="35">
        <f t="shared" si="22"/>
        <v>1253013.6009432722</v>
      </c>
      <c r="F41" s="35">
        <f t="shared" si="22"/>
        <v>1485424.3354524898</v>
      </c>
      <c r="G41" s="35">
        <f t="shared" si="22"/>
        <v>1760942.941635607</v>
      </c>
      <c r="H41" s="35">
        <f t="shared" si="22"/>
        <v>2087565.1284867798</v>
      </c>
      <c r="I41" s="35">
        <f t="shared" si="22"/>
        <v>2474769.660410617</v>
      </c>
      <c r="J41" s="35">
        <f t="shared" si="22"/>
        <v>2933793.4364368105</v>
      </c>
      <c r="K41" s="35">
        <f t="shared" si="22"/>
        <v>3477957.5915164566</v>
      </c>
      <c r="L41" s="35">
        <f t="shared" si="22"/>
        <v>4123054.0835479461</v>
      </c>
    </row>
    <row r="42" spans="1:12" ht="15.75" customHeight="1" x14ac:dyDescent="0.15">
      <c r="A42" s="18" t="s">
        <v>35</v>
      </c>
      <c r="B42" s="4">
        <v>222522</v>
      </c>
      <c r="C42" s="34">
        <f>'Balance Sheet'!$J$61</f>
        <v>204296</v>
      </c>
      <c r="D42" s="34">
        <f>'Balance Sheet'!$J$61</f>
        <v>204296</v>
      </c>
      <c r="E42" s="34">
        <f>'Balance Sheet'!$J$61</f>
        <v>204296</v>
      </c>
      <c r="F42" s="34">
        <f>'Balance Sheet'!$J$61</f>
        <v>204296</v>
      </c>
      <c r="G42" s="34">
        <f>'Balance Sheet'!$J$61</f>
        <v>204296</v>
      </c>
      <c r="H42" s="34">
        <f>'Balance Sheet'!$J$61</f>
        <v>204296</v>
      </c>
      <c r="I42" s="34">
        <f>'Balance Sheet'!$J$61</f>
        <v>204296</v>
      </c>
      <c r="J42" s="34">
        <f>'Balance Sheet'!$J$61</f>
        <v>204296</v>
      </c>
      <c r="K42" s="34">
        <f>'Balance Sheet'!$J$61</f>
        <v>204296</v>
      </c>
      <c r="L42" s="34">
        <f>'Balance Sheet'!$J$61</f>
        <v>204296</v>
      </c>
    </row>
    <row r="43" spans="1:12" ht="15.75" customHeight="1" x14ac:dyDescent="0.15">
      <c r="A43" s="19" t="s">
        <v>37</v>
      </c>
      <c r="B43" s="14" t="s">
        <v>194</v>
      </c>
    </row>
    <row r="44" spans="1:12" ht="15.75" customHeight="1" x14ac:dyDescent="0.15">
      <c r="A44" s="19" t="s">
        <v>39</v>
      </c>
      <c r="B44" s="14" t="s">
        <v>195</v>
      </c>
    </row>
    <row r="45" spans="1:12" ht="15.75" customHeight="1" x14ac:dyDescent="0.15">
      <c r="A45" s="19" t="s">
        <v>41</v>
      </c>
      <c r="B45" s="13">
        <v>51189</v>
      </c>
      <c r="C45" s="27">
        <f>C4*'Balance Sheet'!$J$69</f>
        <v>51785.506657854778</v>
      </c>
      <c r="D45" s="27">
        <f>D4*'Balance Sheet'!$J$69</f>
        <v>61390.755659321032</v>
      </c>
      <c r="E45" s="27">
        <f>E4*'Balance Sheet'!$J$69</f>
        <v>72777.599827746511</v>
      </c>
      <c r="F45" s="27">
        <f>F4*'Balance Sheet'!$J$69</f>
        <v>86276.491953938385</v>
      </c>
      <c r="G45" s="27">
        <f>G4*'Balance Sheet'!$J$69</f>
        <v>102279.17767961489</v>
      </c>
      <c r="H45" s="27">
        <f>H4*'Balance Sheet'!$J$69</f>
        <v>121250.06418206256</v>
      </c>
      <c r="I45" s="27">
        <f>I4*'Balance Sheet'!$J$69</f>
        <v>143739.69753849946</v>
      </c>
      <c r="J45" s="27">
        <f>J4*'Balance Sheet'!$J$69</f>
        <v>170400.73989103804</v>
      </c>
      <c r="K45" s="27">
        <f>K4*'Balance Sheet'!$J$69</f>
        <v>202006.91007879743</v>
      </c>
      <c r="L45" s="27">
        <f>L4*'Balance Sheet'!$J$69</f>
        <v>239475.43740524288</v>
      </c>
    </row>
    <row r="46" spans="1:12" ht="15.75" customHeight="1" x14ac:dyDescent="0.15">
      <c r="A46" s="21" t="s">
        <v>196</v>
      </c>
      <c r="B46" s="35">
        <f>B42+B45</f>
        <v>273711</v>
      </c>
      <c r="C46" s="35">
        <f>C42+C45</f>
        <v>256081.50665785477</v>
      </c>
      <c r="D46" s="35">
        <f t="shared" ref="D46:L46" si="23">D42+D45</f>
        <v>265686.75565932103</v>
      </c>
      <c r="E46" s="35">
        <f t="shared" si="23"/>
        <v>277073.59982774651</v>
      </c>
      <c r="F46" s="35">
        <f t="shared" si="23"/>
        <v>290572.49195393838</v>
      </c>
      <c r="G46" s="35">
        <f t="shared" si="23"/>
        <v>306575.17767961486</v>
      </c>
      <c r="H46" s="35">
        <f t="shared" si="23"/>
        <v>325546.06418206258</v>
      </c>
      <c r="I46" s="35">
        <f t="shared" si="23"/>
        <v>348035.69753849949</v>
      </c>
      <c r="J46" s="35">
        <f t="shared" si="23"/>
        <v>374696.73989103804</v>
      </c>
      <c r="K46" s="35">
        <f t="shared" si="23"/>
        <v>406302.91007879743</v>
      </c>
      <c r="L46" s="35">
        <f t="shared" si="23"/>
        <v>443771.43740524288</v>
      </c>
    </row>
    <row r="47" spans="1:12" ht="15.75" customHeight="1" x14ac:dyDescent="0.15">
      <c r="A47" s="19" t="s">
        <v>43</v>
      </c>
      <c r="B47" s="4">
        <v>1502</v>
      </c>
      <c r="C47" s="41">
        <f>B47+C58</f>
        <v>32455.309014678467</v>
      </c>
      <c r="D47" s="41">
        <f>B47+D58</f>
        <v>-391877.23072862113</v>
      </c>
      <c r="E47" s="41">
        <f>B47+E58</f>
        <v>-894915.5699649686</v>
      </c>
      <c r="F47" s="41">
        <f t="shared" ref="F47:L48" si="24">E47</f>
        <v>-894915.5699649686</v>
      </c>
      <c r="G47" s="41">
        <f t="shared" si="24"/>
        <v>-894915.5699649686</v>
      </c>
      <c r="H47" s="41">
        <f t="shared" si="24"/>
        <v>-894915.5699649686</v>
      </c>
      <c r="I47" s="41">
        <f t="shared" si="24"/>
        <v>-894915.5699649686</v>
      </c>
      <c r="J47" s="41">
        <f t="shared" si="24"/>
        <v>-894915.5699649686</v>
      </c>
      <c r="K47" s="41">
        <f t="shared" si="24"/>
        <v>-894915.5699649686</v>
      </c>
      <c r="L47" s="41">
        <f t="shared" si="24"/>
        <v>-894915.5699649686</v>
      </c>
    </row>
    <row r="48" spans="1:12" ht="15.75" customHeight="1" x14ac:dyDescent="0.15">
      <c r="A48" s="19" t="s">
        <v>44</v>
      </c>
      <c r="B48" s="4">
        <v>253466</v>
      </c>
      <c r="C48" s="25">
        <f>B48</f>
        <v>253466</v>
      </c>
      <c r="D48" s="25">
        <f>C48</f>
        <v>253466</v>
      </c>
      <c r="E48" s="25">
        <f>D48</f>
        <v>253466</v>
      </c>
      <c r="F48" s="25">
        <f t="shared" si="24"/>
        <v>253466</v>
      </c>
      <c r="G48" s="25">
        <f t="shared" si="24"/>
        <v>253466</v>
      </c>
      <c r="H48" s="25">
        <f t="shared" si="24"/>
        <v>253466</v>
      </c>
      <c r="I48" s="25">
        <f t="shared" si="24"/>
        <v>253466</v>
      </c>
      <c r="J48" s="25">
        <f t="shared" si="24"/>
        <v>253466</v>
      </c>
      <c r="K48" s="25">
        <f t="shared" si="24"/>
        <v>253466</v>
      </c>
      <c r="L48" s="25">
        <f t="shared" si="24"/>
        <v>253466</v>
      </c>
    </row>
    <row r="49" spans="1:12" ht="15.75" customHeight="1" x14ac:dyDescent="0.15">
      <c r="A49" s="19" t="s">
        <v>45</v>
      </c>
      <c r="B49" s="4">
        <v>2307699</v>
      </c>
      <c r="C49" s="25">
        <f>B49+C13</f>
        <v>3203979.7810035148</v>
      </c>
      <c r="D49" s="25">
        <f t="shared" ref="D49:L49" si="25">C49+D13</f>
        <v>4266503.9886407945</v>
      </c>
      <c r="E49" s="25">
        <f t="shared" si="25"/>
        <v>5526106.6887580492</v>
      </c>
      <c r="F49" s="25">
        <f t="shared" si="25"/>
        <v>7019342.2788165342</v>
      </c>
      <c r="G49" s="25">
        <f t="shared" si="25"/>
        <v>8789545.3176078517</v>
      </c>
      <c r="H49" s="25">
        <f t="shared" si="25"/>
        <v>10888088.119164892</v>
      </c>
      <c r="I49" s="25">
        <f t="shared" si="25"/>
        <v>13375871.606969668</v>
      </c>
      <c r="J49" s="25">
        <f t="shared" si="25"/>
        <v>16325092.693907723</v>
      </c>
      <c r="K49" s="25">
        <f t="shared" si="25"/>
        <v>19821339.478355646</v>
      </c>
      <c r="L49" s="25">
        <f t="shared" si="25"/>
        <v>23966075.060201563</v>
      </c>
    </row>
    <row r="50" spans="1:12" ht="15.75" customHeight="1" x14ac:dyDescent="0.15">
      <c r="A50" s="19" t="s">
        <v>46</v>
      </c>
      <c r="B50" s="14" t="s">
        <v>197</v>
      </c>
    </row>
    <row r="51" spans="1:12" ht="15.75" customHeight="1" x14ac:dyDescent="0.15">
      <c r="A51" s="21" t="s">
        <v>48</v>
      </c>
      <c r="B51" s="35">
        <f>SUM(B47:B49)</f>
        <v>2562667</v>
      </c>
      <c r="C51" s="35">
        <f>SUM(C47:C49)</f>
        <v>3489901.0900181932</v>
      </c>
      <c r="D51" s="35">
        <f t="shared" ref="D51:L51" si="26">SUM(D47:D49)</f>
        <v>4128092.7579121734</v>
      </c>
      <c r="E51" s="35">
        <f t="shared" si="26"/>
        <v>4884657.1187930806</v>
      </c>
      <c r="F51" s="35">
        <f t="shared" si="26"/>
        <v>6377892.7088515656</v>
      </c>
      <c r="G51" s="35">
        <f t="shared" si="26"/>
        <v>8148095.7476428831</v>
      </c>
      <c r="H51" s="35">
        <f t="shared" si="26"/>
        <v>10246638.549199924</v>
      </c>
      <c r="I51" s="35">
        <f t="shared" si="26"/>
        <v>12734422.037004698</v>
      </c>
      <c r="J51" s="35">
        <f t="shared" si="26"/>
        <v>15683643.123942755</v>
      </c>
      <c r="K51" s="35">
        <f t="shared" si="26"/>
        <v>19179889.908390678</v>
      </c>
      <c r="L51" s="35">
        <f t="shared" si="26"/>
        <v>23324625.490236595</v>
      </c>
    </row>
    <row r="52" spans="1:12" s="49" customFormat="1" ht="15.75" customHeight="1" x14ac:dyDescent="0.15">
      <c r="A52" s="47" t="s">
        <v>49</v>
      </c>
      <c r="B52" s="48">
        <f t="shared" ref="B52:L52" si="27">B51+B46+B41</f>
        <v>3576323</v>
      </c>
      <c r="C52" s="48">
        <f t="shared" si="27"/>
        <v>4637574.8493418442</v>
      </c>
      <c r="D52" s="48">
        <f t="shared" si="27"/>
        <v>5450745.5580052286</v>
      </c>
      <c r="E52" s="48">
        <f t="shared" si="27"/>
        <v>6414744.3195640994</v>
      </c>
      <c r="F52" s="48">
        <f t="shared" si="27"/>
        <v>8153889.5362579934</v>
      </c>
      <c r="G52" s="48">
        <f t="shared" si="27"/>
        <v>10215613.866958104</v>
      </c>
      <c r="H52" s="48">
        <f t="shared" si="27"/>
        <v>12659749.741868766</v>
      </c>
      <c r="I52" s="48">
        <f t="shared" si="27"/>
        <v>15557227.394953813</v>
      </c>
      <c r="J52" s="48">
        <f t="shared" si="27"/>
        <v>18992133.300270602</v>
      </c>
      <c r="K52" s="48">
        <f t="shared" si="27"/>
        <v>23064150.409985933</v>
      </c>
      <c r="L52" s="48">
        <f t="shared" si="27"/>
        <v>27891451.011189785</v>
      </c>
    </row>
    <row r="53" spans="1:12" ht="15.75" customHeight="1" x14ac:dyDescent="0.15">
      <c r="C53" s="25"/>
    </row>
    <row r="54" spans="1:12" ht="15.75" customHeight="1" x14ac:dyDescent="0.15">
      <c r="A54" t="s">
        <v>198</v>
      </c>
      <c r="B54" s="25">
        <f t="shared" ref="B54:L54" si="28">B52-B33</f>
        <v>120275</v>
      </c>
      <c r="C54" s="25">
        <f t="shared" si="28"/>
        <v>161241.39929793123</v>
      </c>
      <c r="D54" s="25">
        <f t="shared" si="28"/>
        <v>193075.43205628358</v>
      </c>
      <c r="E54" s="25">
        <f t="shared" si="28"/>
        <v>230814.08622511569</v>
      </c>
      <c r="F54" s="25">
        <f t="shared" si="28"/>
        <v>871895.16104519088</v>
      </c>
      <c r="G54" s="25">
        <f t="shared" si="28"/>
        <v>1631884.8601345718</v>
      </c>
      <c r="H54" s="25">
        <f t="shared" si="28"/>
        <v>2532838.5232637972</v>
      </c>
      <c r="I54" s="25">
        <f t="shared" si="28"/>
        <v>3600902.3458110839</v>
      </c>
      <c r="J54" s="25">
        <f t="shared" si="28"/>
        <v>4867072.1564450711</v>
      </c>
      <c r="K54" s="25">
        <f t="shared" si="28"/>
        <v>6368092.9339650627</v>
      </c>
      <c r="L54" s="25">
        <f t="shared" si="28"/>
        <v>8147525.1677967794</v>
      </c>
    </row>
    <row r="55" spans="1:12" ht="15.75" customHeight="1" x14ac:dyDescent="0.15">
      <c r="B55" s="25"/>
    </row>
    <row r="56" spans="1:12" ht="15.75" customHeight="1" x14ac:dyDescent="0.2">
      <c r="A56" s="37" t="s">
        <v>199</v>
      </c>
      <c r="B56" s="38"/>
      <c r="C56" s="38">
        <f>C3*'Income Statement'!$J$43</f>
        <v>1970228.05542643</v>
      </c>
      <c r="D56" s="38">
        <f>D3*'Income Statement'!$J$43</f>
        <v>2335668.7411201955</v>
      </c>
      <c r="E56" s="38">
        <f>E3*'Income Statement'!$J$43</f>
        <v>2768891.8819427029</v>
      </c>
      <c r="F56" s="38">
        <f>F3*'Income Statement'!$J$43</f>
        <v>3282469.8635180579</v>
      </c>
      <c r="G56" s="38">
        <f>G3*'Income Statement'!$J$43</f>
        <v>3891307.0153337317</v>
      </c>
      <c r="H56" s="38">
        <f>H3*'Income Statement'!$J$43</f>
        <v>4613072.1429857882</v>
      </c>
      <c r="I56" s="38">
        <f>I3*'Income Statement'!$J$43</f>
        <v>5468711.287116576</v>
      </c>
      <c r="J56" s="38">
        <f>J3*'Income Statement'!$J$43</f>
        <v>6483055.5896052402</v>
      </c>
      <c r="K56" s="38">
        <f>K3*'Income Statement'!$J$43</f>
        <v>7685541.9076387947</v>
      </c>
      <c r="L56" s="38">
        <f>L3*'Income Statement'!$J$43</f>
        <v>9111067.088300081</v>
      </c>
    </row>
    <row r="57" spans="1:12" ht="15.75" customHeight="1" x14ac:dyDescent="0.2">
      <c r="A57" s="37" t="s">
        <v>200</v>
      </c>
      <c r="B57" s="39"/>
      <c r="C57" s="33">
        <f t="shared" ref="C57:L57" si="29">C58</f>
        <v>30953.309014678467</v>
      </c>
      <c r="D57" s="33">
        <f t="shared" si="29"/>
        <v>-393379.23072862113</v>
      </c>
      <c r="E57" s="33">
        <f t="shared" si="29"/>
        <v>-896417.5699649686</v>
      </c>
      <c r="F57" s="33">
        <f t="shared" si="29"/>
        <v>-1492760.171677161</v>
      </c>
      <c r="G57" s="33">
        <f t="shared" si="29"/>
        <v>-2199713.2424048008</v>
      </c>
      <c r="H57" s="33">
        <f t="shared" si="29"/>
        <v>-3037792.9683480477</v>
      </c>
      <c r="I57" s="33">
        <f t="shared" si="29"/>
        <v>-4031320.9069340974</v>
      </c>
      <c r="J57" s="33">
        <f t="shared" si="29"/>
        <v>-5209129.812453296</v>
      </c>
      <c r="K57" s="33">
        <f t="shared" si="29"/>
        <v>-6605400.3792323153</v>
      </c>
      <c r="L57" s="33">
        <f t="shared" si="29"/>
        <v>-8260653.1851142608</v>
      </c>
    </row>
    <row r="58" spans="1:12" ht="15.75" customHeight="1" x14ac:dyDescent="0.2">
      <c r="A58" s="37" t="s">
        <v>201</v>
      </c>
      <c r="C58" s="44">
        <f>C56+C19+C20+(C24-C25)-C35-((C42+C45))-$B$47-C49</f>
        <v>30953.309014678467</v>
      </c>
      <c r="D58" s="44">
        <f>D56+D19+D20+(D24-D25)-D35-((D42+D45))-$B$47-D49</f>
        <v>-393379.23072862113</v>
      </c>
      <c r="E58" s="44">
        <f t="shared" ref="E58:L58" si="30">E56+E19+E20+(E24-E25)-E35-((E42+E45))-$B$47-E49</f>
        <v>-896417.5699649686</v>
      </c>
      <c r="F58" s="43">
        <f t="shared" si="30"/>
        <v>-1492760.171677161</v>
      </c>
      <c r="G58" s="43">
        <f t="shared" si="30"/>
        <v>-2199713.2424048008</v>
      </c>
      <c r="H58" s="43">
        <f t="shared" si="30"/>
        <v>-3037792.9683480477</v>
      </c>
      <c r="I58" s="43">
        <f t="shared" si="30"/>
        <v>-4031320.9069340974</v>
      </c>
      <c r="J58" s="43">
        <f t="shared" si="30"/>
        <v>-5209129.812453296</v>
      </c>
      <c r="K58" s="43">
        <f t="shared" si="30"/>
        <v>-6605400.3792323153</v>
      </c>
      <c r="L58" s="43">
        <f t="shared" si="30"/>
        <v>-8260653.1851142608</v>
      </c>
    </row>
    <row r="59" spans="1:12" ht="15.75" customHeight="1" x14ac:dyDescent="0.2">
      <c r="C59" s="42" t="s">
        <v>202</v>
      </c>
      <c r="F59" s="42" t="s">
        <v>203</v>
      </c>
    </row>
    <row r="61" spans="1:12" ht="15.75" customHeight="1" x14ac:dyDescent="0.15">
      <c r="C61" s="15" t="s">
        <v>204</v>
      </c>
      <c r="F61" s="15" t="s">
        <v>205</v>
      </c>
    </row>
    <row r="62" spans="1:12" ht="15.75" customHeight="1" x14ac:dyDescent="0.15">
      <c r="A62" s="33"/>
    </row>
    <row r="63" spans="1:12" ht="15.75" customHeight="1" x14ac:dyDescent="0.15">
      <c r="C63" s="11" t="s">
        <v>206</v>
      </c>
      <c r="F63" s="11" t="s">
        <v>207</v>
      </c>
    </row>
    <row r="65" spans="1:6" ht="15.75" customHeight="1" x14ac:dyDescent="0.15">
      <c r="C65" s="11" t="s">
        <v>208</v>
      </c>
      <c r="F65" s="11" t="s">
        <v>209</v>
      </c>
    </row>
    <row r="66" spans="1:6" ht="15.75" customHeight="1" x14ac:dyDescent="0.15">
      <c r="A66" t="s">
        <v>210</v>
      </c>
    </row>
    <row r="67" spans="1:6" ht="15.75" customHeight="1" x14ac:dyDescent="0.15">
      <c r="A67" t="s">
        <v>211</v>
      </c>
    </row>
    <row r="68" spans="1:6" ht="15.75" customHeight="1" x14ac:dyDescent="0.15">
      <c r="A68" t="s">
        <v>212</v>
      </c>
      <c r="C68" s="25"/>
    </row>
  </sheetData>
  <mergeCells count="3">
    <mergeCell ref="A1:G1"/>
    <mergeCell ref="B8:L8"/>
    <mergeCell ref="B10:L10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07ED-EE0C-5940-BC7C-73F6C872A9A6}">
  <dimension ref="A1:DK82"/>
  <sheetViews>
    <sheetView topLeftCell="A35" workbookViewId="0">
      <selection activeCell="A83" sqref="A83"/>
    </sheetView>
  </sheetViews>
  <sheetFormatPr baseColWidth="10" defaultColWidth="11.5" defaultRowHeight="14" x14ac:dyDescent="0.15"/>
  <cols>
    <col min="1" max="1" width="49.1640625" style="149" bestFit="1" customWidth="1"/>
    <col min="2" max="6" width="18.5" style="149" bestFit="1" customWidth="1"/>
    <col min="7" max="12" width="19.83203125" style="149" bestFit="1" customWidth="1"/>
    <col min="13" max="16384" width="11.5" style="149"/>
  </cols>
  <sheetData>
    <row r="1" spans="1:28" s="68" customFormat="1" ht="15.75" customHeight="1" x14ac:dyDescent="0.15">
      <c r="A1" s="552" t="s">
        <v>0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</row>
    <row r="2" spans="1:28" s="68" customFormat="1" ht="15.75" customHeight="1" x14ac:dyDescent="0.15">
      <c r="A2" s="552" t="s">
        <v>213</v>
      </c>
      <c r="B2" s="554"/>
      <c r="C2" s="554"/>
      <c r="D2" s="554"/>
      <c r="E2" s="554"/>
      <c r="F2" s="554"/>
      <c r="G2" s="554"/>
      <c r="H2" s="554"/>
      <c r="I2" s="554"/>
      <c r="J2" s="554"/>
      <c r="K2" s="554"/>
      <c r="L2" s="554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</row>
    <row r="3" spans="1:28" s="68" customFormat="1" ht="15.75" customHeight="1" x14ac:dyDescent="0.15">
      <c r="A3" s="552" t="s">
        <v>132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28" x14ac:dyDescent="0.15">
      <c r="A4" s="563" t="s">
        <v>214</v>
      </c>
      <c r="B4" s="564"/>
      <c r="C4" s="564"/>
      <c r="D4" s="564"/>
      <c r="E4" s="564"/>
      <c r="F4" s="564"/>
      <c r="G4" s="564"/>
      <c r="H4" s="262"/>
    </row>
    <row r="5" spans="1:28" x14ac:dyDescent="0.15">
      <c r="A5" s="263" t="s">
        <v>54</v>
      </c>
      <c r="B5" s="264">
        <v>2025</v>
      </c>
      <c r="C5" s="264">
        <v>2026</v>
      </c>
      <c r="D5" s="264">
        <v>2027</v>
      </c>
      <c r="E5" s="264">
        <v>2028</v>
      </c>
      <c r="F5" s="264">
        <v>2029</v>
      </c>
      <c r="G5" s="264">
        <v>2030</v>
      </c>
      <c r="H5" s="264">
        <v>2031</v>
      </c>
      <c r="I5" s="264">
        <v>2032</v>
      </c>
      <c r="J5" s="264">
        <v>2033</v>
      </c>
      <c r="K5" s="264">
        <v>2034</v>
      </c>
      <c r="L5" s="264">
        <v>2035</v>
      </c>
      <c r="M5" s="262"/>
    </row>
    <row r="6" spans="1:28" ht="15" x14ac:dyDescent="0.15">
      <c r="A6" s="265" t="s">
        <v>93</v>
      </c>
      <c r="B6" s="266">
        <v>4985612</v>
      </c>
      <c r="C6" s="266">
        <f>B6*(1+'Income Statement'!$J$33)</f>
        <v>5910350.3635945283</v>
      </c>
      <c r="D6" s="266">
        <f>C6*(1+'Income Statement'!$J$33)</f>
        <v>7006610.5064818468</v>
      </c>
      <c r="E6" s="266">
        <f>D6*(1+'Income Statement'!$J$33)</f>
        <v>8306206.5308231423</v>
      </c>
      <c r="F6" s="266">
        <f>E6*(1+'Income Statement'!$J$33)</f>
        <v>9846853.4634347409</v>
      </c>
      <c r="G6" s="266">
        <f>F6*(1+'Income Statement'!$J$33)</f>
        <v>11673261.767637266</v>
      </c>
      <c r="H6" s="266">
        <f>G6*(1+'Income Statement'!$K$33)</f>
        <v>12840587.944400994</v>
      </c>
      <c r="I6" s="266">
        <f>H6*(1+'Income Statement'!$L$33)</f>
        <v>13867834.979953075</v>
      </c>
      <c r="J6" s="266">
        <f>I6*(1+'Income Statement'!$M$33)</f>
        <v>14838583.428549791</v>
      </c>
      <c r="K6" s="266">
        <f>J6*(1+'Income Statement'!$N$33)</f>
        <v>15580512.599977281</v>
      </c>
      <c r="L6" s="266">
        <f>K6*(1+'Income Statement'!$O$33)</f>
        <v>16359538.229976146</v>
      </c>
      <c r="M6" s="279"/>
    </row>
    <row r="7" spans="1:28" ht="15" x14ac:dyDescent="0.15">
      <c r="A7" s="267" t="s">
        <v>94</v>
      </c>
      <c r="B7" s="268">
        <v>2099949</v>
      </c>
      <c r="C7" s="268">
        <f>'Income Statement'!$J$36*Proforma!C3</f>
        <v>2752309.9438142846</v>
      </c>
      <c r="D7" s="268">
        <f>'Income Statement'!$J$36*Proforma!D3</f>
        <v>3262812.2840581243</v>
      </c>
      <c r="E7" s="268">
        <f>'Income Statement'!$J$36*Proforma!E3</f>
        <v>3868003.3202390457</v>
      </c>
      <c r="F7" s="268">
        <f>'Income Statement'!$J$36*Proforma!F3</f>
        <v>4585446.0455726776</v>
      </c>
      <c r="G7" s="268">
        <f>'Income Statement'!$J$36*Proforma!G3</f>
        <v>5435961.0620909864</v>
      </c>
      <c r="H7" s="268">
        <f>'Income Statement'!$J$36*Proforma!H3</f>
        <v>6444230.8065319089</v>
      </c>
      <c r="I7" s="268">
        <f>'Income Statement'!$J$36*Proforma!I3</f>
        <v>7639515.8489013845</v>
      </c>
      <c r="J7" s="268">
        <f>'Income Statement'!$J$36*Proforma!J3</f>
        <v>9056504.0511055551</v>
      </c>
      <c r="K7" s="268">
        <f>'Income Statement'!$J$36*Proforma!K3</f>
        <v>10736317.228726791</v>
      </c>
      <c r="L7" s="268">
        <f>'Income Statement'!$J$36*L6</f>
        <v>7618248.8307155576</v>
      </c>
      <c r="M7" s="279"/>
    </row>
    <row r="8" spans="1:28" ht="15" x14ac:dyDescent="0.15">
      <c r="A8" s="265" t="s">
        <v>95</v>
      </c>
      <c r="B8" s="266">
        <f t="shared" ref="B8:L8" si="0">B6-B7</f>
        <v>2885663</v>
      </c>
      <c r="C8" s="266">
        <f t="shared" si="0"/>
        <v>3158040.4197802437</v>
      </c>
      <c r="D8" s="266">
        <f t="shared" si="0"/>
        <v>3743798.2224237225</v>
      </c>
      <c r="E8" s="266">
        <f t="shared" si="0"/>
        <v>4438203.2105840966</v>
      </c>
      <c r="F8" s="266">
        <f t="shared" si="0"/>
        <v>5261407.4178620633</v>
      </c>
      <c r="G8" s="266">
        <f t="shared" si="0"/>
        <v>6237300.7055462794</v>
      </c>
      <c r="H8" s="266">
        <f t="shared" si="0"/>
        <v>6396357.1378690852</v>
      </c>
      <c r="I8" s="266">
        <f t="shared" si="0"/>
        <v>6228319.1310516903</v>
      </c>
      <c r="J8" s="266">
        <f t="shared" si="0"/>
        <v>5782079.3774442356</v>
      </c>
      <c r="K8" s="266">
        <f t="shared" si="0"/>
        <v>4844195.3712504897</v>
      </c>
      <c r="L8" s="266">
        <f t="shared" si="0"/>
        <v>8741289.399260588</v>
      </c>
      <c r="M8" s="279"/>
    </row>
    <row r="9" spans="1:28" ht="15" x14ac:dyDescent="0.15">
      <c r="A9" s="267" t="s">
        <v>96</v>
      </c>
      <c r="B9" s="268">
        <v>1706571</v>
      </c>
      <c r="C9" s="268">
        <f>C6*'Income Statement'!$J$37</f>
        <v>2006863.0573790015</v>
      </c>
      <c r="D9" s="268">
        <f>D6*'Income Statement'!$J$37</f>
        <v>2379098.8550381395</v>
      </c>
      <c r="E9" s="268">
        <f>E6*'Income Statement'!$J$37</f>
        <v>2820377.4748018887</v>
      </c>
      <c r="F9" s="268">
        <f>F6*'Income Statement'!$J$37</f>
        <v>3343505.0769432443</v>
      </c>
      <c r="G9" s="268">
        <f>G6*'Income Statement'!$J$37</f>
        <v>3963663.1264510066</v>
      </c>
      <c r="H9" s="268">
        <f>H6*'Income Statement'!$J$37</f>
        <v>4360029.4390961081</v>
      </c>
      <c r="I9" s="268">
        <f>I6*'Income Statement'!$J$37</f>
        <v>4708831.7942237966</v>
      </c>
      <c r="J9" s="268">
        <f>J6*'Income Statement'!$J$37</f>
        <v>5038450.0198194627</v>
      </c>
      <c r="K9" s="268">
        <f>K6*'Income Statement'!$J$37</f>
        <v>5290372.5208104365</v>
      </c>
      <c r="L9" s="268">
        <f>L6*'Income Statement'!$J$37</f>
        <v>5554891.1468509585</v>
      </c>
      <c r="M9" s="279"/>
    </row>
    <row r="10" spans="1:28" x14ac:dyDescent="0.15">
      <c r="A10" s="269" t="s">
        <v>186</v>
      </c>
      <c r="B10" s="266">
        <f t="shared" ref="B10:L10" si="1">B8-B9</f>
        <v>1179092</v>
      </c>
      <c r="C10" s="266">
        <f t="shared" si="1"/>
        <v>1151177.3624012421</v>
      </c>
      <c r="D10" s="266">
        <f t="shared" si="1"/>
        <v>1364699.367385583</v>
      </c>
      <c r="E10" s="266">
        <f t="shared" si="1"/>
        <v>1617825.7357822079</v>
      </c>
      <c r="F10" s="266">
        <f t="shared" si="1"/>
        <v>1917902.340918819</v>
      </c>
      <c r="G10" s="266">
        <f t="shared" si="1"/>
        <v>2273637.5790952728</v>
      </c>
      <c r="H10" s="266">
        <f t="shared" si="1"/>
        <v>2036327.6987729771</v>
      </c>
      <c r="I10" s="266">
        <f t="shared" si="1"/>
        <v>1519487.3368278937</v>
      </c>
      <c r="J10" s="266">
        <f t="shared" si="1"/>
        <v>743629.35762477294</v>
      </c>
      <c r="K10" s="266">
        <f t="shared" si="1"/>
        <v>-446177.14955994673</v>
      </c>
      <c r="L10" s="266">
        <f t="shared" si="1"/>
        <v>3186398.2524096295</v>
      </c>
      <c r="M10" s="279"/>
    </row>
    <row r="11" spans="1:28" ht="15" x14ac:dyDescent="0.15">
      <c r="A11" s="270" t="s">
        <v>98</v>
      </c>
      <c r="B11" s="565" t="s">
        <v>99</v>
      </c>
      <c r="C11" s="565"/>
      <c r="D11" s="565"/>
      <c r="E11" s="565"/>
      <c r="F11" s="565"/>
      <c r="G11" s="565"/>
      <c r="H11" s="565"/>
      <c r="I11" s="565"/>
      <c r="J11" s="565"/>
      <c r="K11" s="565"/>
      <c r="L11" s="565"/>
      <c r="M11" s="279"/>
    </row>
    <row r="12" spans="1:28" ht="15" x14ac:dyDescent="0.15">
      <c r="A12" s="270" t="s">
        <v>100</v>
      </c>
      <c r="B12" s="136">
        <v>3517</v>
      </c>
      <c r="C12" s="136">
        <f>C6*'Income Statement'!$J$40</f>
        <v>7533.2584890224616</v>
      </c>
      <c r="D12" s="136">
        <f>D6*'Income Statement'!$J$40</f>
        <v>8930.5379258645626</v>
      </c>
      <c r="E12" s="136">
        <f>E6*'Income Statement'!$J$40</f>
        <v>10586.986728455473</v>
      </c>
      <c r="F12" s="136">
        <f>F6*'Income Statement'!$J$40</f>
        <v>12550.675997229077</v>
      </c>
      <c r="G12" s="136">
        <f>G6*'Income Statement'!$J$40</f>
        <v>14878.593128302</v>
      </c>
      <c r="H12" s="136">
        <f>H6*'Income Statement'!$J$40</f>
        <v>16366.452441132202</v>
      </c>
      <c r="I12" s="136">
        <f>I6*'Income Statement'!$J$40</f>
        <v>17675.768636422781</v>
      </c>
      <c r="J12" s="136">
        <f>J6*'Income Statement'!$J$40</f>
        <v>18913.072440972373</v>
      </c>
      <c r="K12" s="136">
        <f>K6*'Income Statement'!$J$40</f>
        <v>19858.726063020993</v>
      </c>
      <c r="L12" s="136">
        <f>L6*'Income Statement'!$J$40</f>
        <v>20851.662366172044</v>
      </c>
      <c r="M12" s="279"/>
    </row>
    <row r="13" spans="1:28" ht="15" x14ac:dyDescent="0.15">
      <c r="A13" s="267" t="s">
        <v>101</v>
      </c>
      <c r="B13" s="566" t="s">
        <v>102</v>
      </c>
      <c r="C13" s="566"/>
      <c r="D13" s="566"/>
      <c r="E13" s="566"/>
      <c r="F13" s="566"/>
      <c r="G13" s="566"/>
      <c r="H13" s="566"/>
      <c r="I13" s="566"/>
      <c r="J13" s="566"/>
      <c r="K13" s="566"/>
      <c r="L13" s="566"/>
      <c r="M13" s="279"/>
    </row>
    <row r="14" spans="1:28" ht="15" x14ac:dyDescent="0.15">
      <c r="A14" s="271" t="s">
        <v>187</v>
      </c>
      <c r="B14" s="266">
        <f t="shared" ref="B14:L14" si="2">B10-B12</f>
        <v>1175575</v>
      </c>
      <c r="C14" s="266">
        <f t="shared" si="2"/>
        <v>1143644.1039122196</v>
      </c>
      <c r="D14" s="266">
        <f t="shared" si="2"/>
        <v>1355768.8294597184</v>
      </c>
      <c r="E14" s="266">
        <f t="shared" si="2"/>
        <v>1607238.7490537525</v>
      </c>
      <c r="F14" s="266">
        <f t="shared" si="2"/>
        <v>1905351.6649215899</v>
      </c>
      <c r="G14" s="266">
        <f t="shared" si="2"/>
        <v>2258758.9859669707</v>
      </c>
      <c r="H14" s="266">
        <f t="shared" si="2"/>
        <v>2019961.2463318449</v>
      </c>
      <c r="I14" s="266">
        <f t="shared" si="2"/>
        <v>1501811.568191471</v>
      </c>
      <c r="J14" s="266">
        <f t="shared" si="2"/>
        <v>724716.28518380062</v>
      </c>
      <c r="K14" s="266">
        <f t="shared" si="2"/>
        <v>-466035.87562296772</v>
      </c>
      <c r="L14" s="266">
        <f t="shared" si="2"/>
        <v>3165546.5900434577</v>
      </c>
      <c r="M14" s="279"/>
    </row>
    <row r="15" spans="1:28" ht="15" x14ac:dyDescent="0.15">
      <c r="A15" s="267" t="s">
        <v>105</v>
      </c>
      <c r="B15" s="268">
        <v>277208</v>
      </c>
      <c r="C15" s="268">
        <f>C14*'Income Statement'!$J$38</f>
        <v>247363.32290870472</v>
      </c>
      <c r="D15" s="268">
        <f>D14*'Income Statement'!$J$38</f>
        <v>293244.62182243896</v>
      </c>
      <c r="E15" s="268">
        <f>E14*'Income Statement'!$J$38</f>
        <v>347636.04893649818</v>
      </c>
      <c r="F15" s="268">
        <f>F14*'Income Statement'!$J$38</f>
        <v>412116.07486310537</v>
      </c>
      <c r="G15" s="268">
        <f>G14*'Income Statement'!$J$38</f>
        <v>488555.94717565371</v>
      </c>
      <c r="H15" s="268">
        <f>H14*'Income Statement'!$J$38</f>
        <v>436905.4361668842</v>
      </c>
      <c r="I15" s="268">
        <f>I14*'Income Statement'!$J$38</f>
        <v>324832.78549660498</v>
      </c>
      <c r="J15" s="268">
        <f>J14*'Income Statement'!$J$38</f>
        <v>156751.762069922</v>
      </c>
      <c r="K15" s="268">
        <f>K14*'Income Statement'!$J$38</f>
        <v>-100800.74945904101</v>
      </c>
      <c r="L15" s="268">
        <f>L14*'Income Statement'!$J$38</f>
        <v>684688.63753751409</v>
      </c>
      <c r="M15" s="279"/>
    </row>
    <row r="16" spans="1:28" ht="15" x14ac:dyDescent="0.15">
      <c r="A16" s="265" t="s">
        <v>106</v>
      </c>
      <c r="B16" s="266">
        <f t="shared" ref="B16:L16" si="3">B14-B15</f>
        <v>898367</v>
      </c>
      <c r="C16" s="266">
        <f t="shared" si="3"/>
        <v>896280.78100351489</v>
      </c>
      <c r="D16" s="266">
        <f t="shared" si="3"/>
        <v>1062524.2076372795</v>
      </c>
      <c r="E16" s="266">
        <f t="shared" si="3"/>
        <v>1259602.7001172544</v>
      </c>
      <c r="F16" s="266">
        <f t="shared" si="3"/>
        <v>1493235.5900584846</v>
      </c>
      <c r="G16" s="266">
        <f t="shared" si="3"/>
        <v>1770203.038791317</v>
      </c>
      <c r="H16" s="266">
        <f t="shared" si="3"/>
        <v>1583055.8101649608</v>
      </c>
      <c r="I16" s="266">
        <f t="shared" si="3"/>
        <v>1176978.7826948659</v>
      </c>
      <c r="J16" s="266">
        <f t="shared" si="3"/>
        <v>567964.52311387868</v>
      </c>
      <c r="K16" s="266">
        <f t="shared" si="3"/>
        <v>-365235.12616392673</v>
      </c>
      <c r="L16" s="266">
        <f t="shared" si="3"/>
        <v>2480857.9525059434</v>
      </c>
      <c r="M16" s="279"/>
    </row>
    <row r="17" spans="1:13" x14ac:dyDescent="0.15">
      <c r="A17" s="265"/>
      <c r="B17" s="272"/>
      <c r="C17" s="136"/>
      <c r="D17" s="136"/>
      <c r="E17" s="136"/>
      <c r="F17" s="136"/>
      <c r="G17" s="136"/>
      <c r="H17" s="136"/>
      <c r="I17" s="279"/>
      <c r="J17" s="279"/>
      <c r="K17" s="279"/>
      <c r="L17" s="279"/>
      <c r="M17" s="279"/>
    </row>
    <row r="18" spans="1:13" x14ac:dyDescent="0.15">
      <c r="A18" s="219" t="s">
        <v>215</v>
      </c>
      <c r="B18" s="272"/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</row>
    <row r="19" spans="1:13" s="428" customFormat="1" x14ac:dyDescent="0.15">
      <c r="A19" s="427" t="s">
        <v>54</v>
      </c>
      <c r="B19" s="455">
        <v>2025</v>
      </c>
      <c r="C19" s="455">
        <v>2026</v>
      </c>
      <c r="D19" s="455">
        <v>2027</v>
      </c>
      <c r="E19" s="455">
        <v>2028</v>
      </c>
      <c r="F19" s="455">
        <v>2029</v>
      </c>
      <c r="G19" s="455">
        <v>2030</v>
      </c>
      <c r="H19" s="455">
        <v>2031</v>
      </c>
      <c r="I19" s="455">
        <v>2032</v>
      </c>
      <c r="J19" s="455">
        <v>2033</v>
      </c>
      <c r="K19" s="455">
        <v>2034</v>
      </c>
      <c r="L19" s="455">
        <v>2035</v>
      </c>
      <c r="M19" s="456"/>
    </row>
    <row r="20" spans="1:13" ht="15" x14ac:dyDescent="0.15">
      <c r="A20" s="273" t="s">
        <v>6</v>
      </c>
      <c r="B20" s="274"/>
      <c r="C20" s="457"/>
      <c r="D20" s="458"/>
      <c r="E20" s="457"/>
      <c r="F20" s="457"/>
      <c r="G20" s="457"/>
      <c r="H20" s="457"/>
      <c r="I20" s="457"/>
      <c r="J20" s="457"/>
      <c r="K20" s="457"/>
      <c r="L20" s="457"/>
      <c r="M20" s="279"/>
    </row>
    <row r="21" spans="1:13" x14ac:dyDescent="0.15">
      <c r="A21" s="275" t="s">
        <v>7</v>
      </c>
      <c r="B21" s="279">
        <f t="shared" ref="B21:L21" si="4">B55-B22-B23-B24-B35</f>
        <v>2009463</v>
      </c>
      <c r="C21" s="279">
        <f t="shared" si="4"/>
        <v>2131469.4547243617</v>
      </c>
      <c r="D21" s="279">
        <f t="shared" si="4"/>
        <v>2528744.1731764781</v>
      </c>
      <c r="E21" s="279">
        <f t="shared" si="4"/>
        <v>2999705.9681678195</v>
      </c>
      <c r="F21" s="279">
        <f t="shared" si="4"/>
        <v>4154365.0245632492</v>
      </c>
      <c r="G21" s="279">
        <f t="shared" si="4"/>
        <v>5523191.8754683034</v>
      </c>
      <c r="H21" s="279">
        <f t="shared" si="4"/>
        <v>6959748.3157385699</v>
      </c>
      <c r="I21" s="279">
        <f t="shared" si="4"/>
        <v>8080744.2108651726</v>
      </c>
      <c r="J21" s="279">
        <f t="shared" si="4"/>
        <v>8663871.9253438413</v>
      </c>
      <c r="K21" s="279">
        <f t="shared" si="4"/>
        <v>8451555.6601501387</v>
      </c>
      <c r="L21" s="279">
        <f t="shared" si="4"/>
        <v>10688629.425222505</v>
      </c>
      <c r="M21" s="279"/>
    </row>
    <row r="22" spans="1:13" x14ac:dyDescent="0.15">
      <c r="A22" s="275" t="s">
        <v>8</v>
      </c>
      <c r="B22" s="136">
        <v>332872</v>
      </c>
      <c r="C22" s="279">
        <f>C6*('Balance Sheet'!$J$51/365)</f>
        <v>971564.44333060738</v>
      </c>
      <c r="D22" s="279">
        <f>D6*('Balance Sheet'!$J$51/365)</f>
        <v>1151771.5901066049</v>
      </c>
      <c r="E22" s="279">
        <f>E6*('Balance Sheet'!$J$51/365)</f>
        <v>1365403.813285996</v>
      </c>
      <c r="F22" s="279">
        <f>F6*('Balance Sheet'!$J$51/365)</f>
        <v>1618660.843304341</v>
      </c>
      <c r="G22" s="279">
        <f>G6*('Balance Sheet'!$J$51/365)</f>
        <v>1918892.34536503</v>
      </c>
      <c r="H22" s="279">
        <f>H6*('Balance Sheet'!$J$51/365)</f>
        <v>2110781.5799015332</v>
      </c>
      <c r="I22" s="279">
        <f>I6*('Balance Sheet'!$J$51/365)</f>
        <v>2279644.1062936559</v>
      </c>
      <c r="J22" s="279">
        <f>J6*('Balance Sheet'!$J$51/365)</f>
        <v>2439219.1937342118</v>
      </c>
      <c r="K22" s="279">
        <f>K6*('Balance Sheet'!$J$51/365)</f>
        <v>2561180.1534209228</v>
      </c>
      <c r="L22" s="279">
        <f>L6*('Balance Sheet'!$J$51/365)</f>
        <v>2689239.1610919689</v>
      </c>
      <c r="M22" s="279"/>
    </row>
    <row r="23" spans="1:13" x14ac:dyDescent="0.15">
      <c r="A23" s="275" t="s">
        <v>9</v>
      </c>
      <c r="B23" s="136">
        <v>495226</v>
      </c>
      <c r="C23" s="279">
        <f>C7 * ('Balance Sheet'!$J$52/365)</f>
        <v>603246.01508258295</v>
      </c>
      <c r="D23" s="279">
        <f>D7 * ('Balance Sheet'!$J$52/365)</f>
        <v>715136.93897164369</v>
      </c>
      <c r="E23" s="279">
        <f>E7 * ('Balance Sheet'!$J$52/365)</f>
        <v>847781.54964143457</v>
      </c>
      <c r="F23" s="279">
        <f>F7 * ('Balance Sheet'!$J$52/365)</f>
        <v>1005029.2702625046</v>
      </c>
      <c r="G23" s="279">
        <f>G7 * ('Balance Sheet'!$J$52/365)</f>
        <v>1191443.5204582983</v>
      </c>
      <c r="H23" s="279">
        <f>H7 * ('Balance Sheet'!$J$52/365)</f>
        <v>1412434.1493768566</v>
      </c>
      <c r="I23" s="279">
        <f>I7 * ('Balance Sheet'!$J$52/365)</f>
        <v>1674414.4326359199</v>
      </c>
      <c r="J23" s="279">
        <f>J7 * ('Balance Sheet'!$J$52/365)</f>
        <v>1984987.1892834092</v>
      </c>
      <c r="K23" s="279">
        <f>K7 * ('Balance Sheet'!$J$52/365)</f>
        <v>2353165.419994913</v>
      </c>
      <c r="L23" s="279">
        <f>L7 * ('Balance Sheet'!$J$52/365)</f>
        <v>1669753.1683760125</v>
      </c>
      <c r="M23" s="279"/>
    </row>
    <row r="24" spans="1:13" x14ac:dyDescent="0.15">
      <c r="A24" s="275" t="s">
        <v>189</v>
      </c>
      <c r="B24" s="136">
        <v>106576</v>
      </c>
      <c r="C24" s="279">
        <f>'Balance Sheet'!$J$53*Proforma!C4</f>
        <v>142160.55781677403</v>
      </c>
      <c r="D24" s="279">
        <f>'Balance Sheet'!$J$53*Proforma!D4</f>
        <v>168528.69910076665</v>
      </c>
      <c r="E24" s="279">
        <f>'Balance Sheet'!$J$53*Proforma!E4</f>
        <v>199787.64051561354</v>
      </c>
      <c r="F24" s="279">
        <f>'Balance Sheet'!$J$53*Proforma!F4</f>
        <v>236844.53458535273</v>
      </c>
      <c r="G24" s="279">
        <f>'Balance Sheet'!$J$53*Proforma!G4</f>
        <v>280774.79376692697</v>
      </c>
      <c r="H24" s="279">
        <f>'Balance Sheet'!$J$53*Proforma!H4</f>
        <v>332853.29954046477</v>
      </c>
      <c r="I24" s="279">
        <f>'Balance Sheet'!$J$53*Proforma!I4</f>
        <v>394591.400205757</v>
      </c>
      <c r="J24" s="279">
        <f>'Balance Sheet'!$J$53*Proforma!J4</f>
        <v>467780.77108234062</v>
      </c>
      <c r="K24" s="279">
        <f>'Balance Sheet'!$J$53*Proforma!K4</f>
        <v>554545.40996151336</v>
      </c>
      <c r="L24" s="279">
        <f>'Balance Sheet'!$J$53*Proforma!L4</f>
        <v>657403.2767483124</v>
      </c>
      <c r="M24" s="279"/>
    </row>
    <row r="25" spans="1:13" x14ac:dyDescent="0.15">
      <c r="A25" s="275" t="s">
        <v>12</v>
      </c>
      <c r="B25" s="562" t="s">
        <v>216</v>
      </c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279"/>
    </row>
    <row r="26" spans="1:13" s="269" customFormat="1" x14ac:dyDescent="0.15">
      <c r="A26" s="277" t="s">
        <v>13</v>
      </c>
      <c r="B26" s="278">
        <f t="shared" ref="B26:L26" si="5">SUM(B21:B24)</f>
        <v>2944137</v>
      </c>
      <c r="C26" s="278">
        <f t="shared" si="5"/>
        <v>3848440.470954326</v>
      </c>
      <c r="D26" s="278">
        <f t="shared" si="5"/>
        <v>4564181.4013554929</v>
      </c>
      <c r="E26" s="278">
        <f t="shared" si="5"/>
        <v>5412678.9716108637</v>
      </c>
      <c r="F26" s="278">
        <f t="shared" si="5"/>
        <v>7014899.6727154478</v>
      </c>
      <c r="G26" s="278">
        <f t="shared" si="5"/>
        <v>8914302.535058558</v>
      </c>
      <c r="H26" s="278">
        <f t="shared" si="5"/>
        <v>10815817.344557423</v>
      </c>
      <c r="I26" s="278">
        <f t="shared" si="5"/>
        <v>12429394.150000507</v>
      </c>
      <c r="J26" s="278">
        <f t="shared" si="5"/>
        <v>13555859.079443803</v>
      </c>
      <c r="K26" s="278">
        <f t="shared" si="5"/>
        <v>13920446.643527489</v>
      </c>
      <c r="L26" s="278">
        <f t="shared" si="5"/>
        <v>15705025.031438798</v>
      </c>
      <c r="M26" s="459"/>
    </row>
    <row r="27" spans="1:13" x14ac:dyDescent="0.15">
      <c r="A27" s="275" t="s">
        <v>14</v>
      </c>
      <c r="B27" s="279">
        <v>728563</v>
      </c>
      <c r="C27" s="279">
        <f>C6*'Balance Sheet'!$J$58</f>
        <v>998730.71970970265</v>
      </c>
      <c r="D27" s="279">
        <f>D6*'Balance Sheet'!$J$58</f>
        <v>1183976.7058425858</v>
      </c>
      <c r="E27" s="279">
        <f>E6*'Balance Sheet'!$J$58</f>
        <v>1403582.3794278775</v>
      </c>
      <c r="F27" s="279">
        <f>F6*'Balance Sheet'!$J$58</f>
        <v>1663920.8238800832</v>
      </c>
      <c r="G27" s="279">
        <f>G6*'Balance Sheet'!$J$58</f>
        <v>1972547.2111371998</v>
      </c>
      <c r="H27" s="279">
        <f>H6*'Balance Sheet'!$J$58</f>
        <v>2169801.9322509202</v>
      </c>
      <c r="I27" s="279">
        <f>I6*'Balance Sheet'!$J$58</f>
        <v>2343386.0868309941</v>
      </c>
      <c r="J27" s="279">
        <f>J6*'Balance Sheet'!$J$58</f>
        <v>2507423.1129091633</v>
      </c>
      <c r="K27" s="279">
        <f>K6*'Balance Sheet'!$J$58</f>
        <v>2632794.2685546218</v>
      </c>
      <c r="L27" s="279">
        <f>L6*'Balance Sheet'!$J$58</f>
        <v>2764433.9819823531</v>
      </c>
      <c r="M27" s="279"/>
    </row>
    <row r="28" spans="1:13" x14ac:dyDescent="0.15">
      <c r="A28" s="275" t="s">
        <v>15</v>
      </c>
      <c r="B28" s="136">
        <v>402964</v>
      </c>
      <c r="C28" s="279">
        <f>'Balance Sheet'!$J$57*Proforma!C24</f>
        <v>547069.97732597589</v>
      </c>
      <c r="D28" s="279">
        <f>'Balance Sheet'!$J$57*Proforma!D24</f>
        <v>648541.29029700498</v>
      </c>
      <c r="E28" s="279">
        <f>'Balance Sheet'!$J$57*Proforma!E24</f>
        <v>768833.64588198357</v>
      </c>
      <c r="F28" s="279">
        <f>'Balance Sheet'!$J$57*Proforma!F24</f>
        <v>911437.99767857767</v>
      </c>
      <c r="G28" s="279">
        <f>'Balance Sheet'!$J$57*Proforma!G24</f>
        <v>1080492.806294082</v>
      </c>
      <c r="H28" s="279">
        <f>'Balance Sheet'!$J$57*Proforma!H24</f>
        <v>1280904.1398611644</v>
      </c>
      <c r="I28" s="279">
        <f>'Balance Sheet'!$J$57*Proforma!I24</f>
        <v>1518488.050967097</v>
      </c>
      <c r="J28" s="279">
        <f>'Balance Sheet'!$J$57*Proforma!J24</f>
        <v>1800139.361857146</v>
      </c>
      <c r="K28" s="279">
        <f>'Balance Sheet'!$J$57*Proforma!K24</f>
        <v>2134031.7561561558</v>
      </c>
      <c r="L28" s="279">
        <f>'Balance Sheet'!$J$57*Proforma!L24</f>
        <v>2529854.9838855909</v>
      </c>
      <c r="M28" s="279"/>
    </row>
    <row r="29" spans="1:13" ht="15" x14ac:dyDescent="0.2">
      <c r="A29" s="275" t="s">
        <v>16</v>
      </c>
      <c r="B29" s="567" t="s">
        <v>17</v>
      </c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279"/>
    </row>
    <row r="30" spans="1:13" x14ac:dyDescent="0.15">
      <c r="A30" s="275" t="s">
        <v>18</v>
      </c>
      <c r="B30" s="136">
        <v>237352</v>
      </c>
      <c r="C30" s="279">
        <f>'Balance Sheet'!$J$54</f>
        <v>214882.5</v>
      </c>
      <c r="D30" s="279">
        <f>'Balance Sheet'!$J$54</f>
        <v>214882.5</v>
      </c>
      <c r="E30" s="279">
        <f>'Balance Sheet'!$J$54</f>
        <v>214882.5</v>
      </c>
      <c r="F30" s="279">
        <f>'Balance Sheet'!$J$54</f>
        <v>214882.5</v>
      </c>
      <c r="G30" s="279">
        <f>'Balance Sheet'!$J$54</f>
        <v>214882.5</v>
      </c>
      <c r="H30" s="279">
        <f>'Balance Sheet'!$J$54</f>
        <v>214882.5</v>
      </c>
      <c r="I30" s="279">
        <f>'Balance Sheet'!$J$54</f>
        <v>214882.5</v>
      </c>
      <c r="J30" s="279">
        <f>'Balance Sheet'!$J$54</f>
        <v>214882.5</v>
      </c>
      <c r="K30" s="279">
        <f>'Balance Sheet'!$J$54</f>
        <v>214882.5</v>
      </c>
      <c r="L30" s="279">
        <f>'Balance Sheet'!$J$54</f>
        <v>214882.5</v>
      </c>
      <c r="M30" s="279"/>
    </row>
    <row r="31" spans="1:13" x14ac:dyDescent="0.15">
      <c r="A31" s="275" t="s">
        <v>19</v>
      </c>
      <c r="B31" s="136">
        <v>13990</v>
      </c>
      <c r="C31" s="136">
        <f>'Balance Sheet'!$J$55</f>
        <v>13990</v>
      </c>
      <c r="D31" s="136">
        <f>'Balance Sheet'!$J$55</f>
        <v>13990</v>
      </c>
      <c r="E31" s="136">
        <f>'Balance Sheet'!$J$55</f>
        <v>13990</v>
      </c>
      <c r="F31" s="136">
        <f>'Balance Sheet'!$J$55</f>
        <v>13990</v>
      </c>
      <c r="G31" s="136">
        <f>'Balance Sheet'!$J$55</f>
        <v>13990</v>
      </c>
      <c r="H31" s="136">
        <f>'Balance Sheet'!$J$55</f>
        <v>13990</v>
      </c>
      <c r="I31" s="136">
        <f>'Balance Sheet'!$J$55</f>
        <v>13990</v>
      </c>
      <c r="J31" s="136">
        <f>'Balance Sheet'!$J$55</f>
        <v>13990</v>
      </c>
      <c r="K31" s="136">
        <f>'Balance Sheet'!$J$55</f>
        <v>13990</v>
      </c>
      <c r="L31" s="136">
        <f>'Balance Sheet'!$J$55</f>
        <v>13990</v>
      </c>
      <c r="M31" s="279"/>
    </row>
    <row r="32" spans="1:13" x14ac:dyDescent="0.15">
      <c r="A32" s="275" t="s">
        <v>20</v>
      </c>
      <c r="B32" s="136">
        <v>15699</v>
      </c>
      <c r="C32" s="279">
        <f>'Balance Sheet'!$J$59</f>
        <v>34981.333333333336</v>
      </c>
      <c r="D32" s="279">
        <f>'Balance Sheet'!$J$59</f>
        <v>34981.333333333336</v>
      </c>
      <c r="E32" s="279">
        <f>'Balance Sheet'!$J$59</f>
        <v>34981.333333333336</v>
      </c>
      <c r="F32" s="279">
        <f>'Balance Sheet'!$J$59</f>
        <v>34981.333333333336</v>
      </c>
      <c r="G32" s="279">
        <f>'Balance Sheet'!$J$59</f>
        <v>34981.333333333336</v>
      </c>
      <c r="H32" s="279">
        <f>'Balance Sheet'!$J$59</f>
        <v>34981.333333333336</v>
      </c>
      <c r="I32" s="279">
        <f>'Balance Sheet'!$J$59</f>
        <v>34981.333333333336</v>
      </c>
      <c r="J32" s="279">
        <f>'Balance Sheet'!$J$59</f>
        <v>34981.333333333336</v>
      </c>
      <c r="K32" s="279">
        <f>'Balance Sheet'!$J$59</f>
        <v>34981.333333333336</v>
      </c>
      <c r="L32" s="279">
        <f>'Balance Sheet'!$J$59</f>
        <v>34981.333333333336</v>
      </c>
      <c r="M32" s="279"/>
    </row>
    <row r="33" spans="1:93" x14ac:dyDescent="0.15">
      <c r="A33" s="275" t="s">
        <v>21</v>
      </c>
      <c r="B33" s="562" t="s">
        <v>22</v>
      </c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279"/>
    </row>
    <row r="34" spans="1:93" x14ac:dyDescent="0.15">
      <c r="A34" s="275" t="s">
        <v>23</v>
      </c>
      <c r="B34" s="136">
        <v>39546</v>
      </c>
      <c r="C34" s="279">
        <f>C6*'Balance Sheet'!$J$56</f>
        <v>73619.802670458041</v>
      </c>
      <c r="D34" s="279">
        <f>D6*'Balance Sheet'!$J$56</f>
        <v>87274.907770821141</v>
      </c>
      <c r="E34" s="279">
        <f>E6*'Balance Sheet'!$J$56</f>
        <v>103462.7810740089</v>
      </c>
      <c r="F34" s="279">
        <f>F6*'Balance Sheet'!$J$56</f>
        <v>122653.2040077065</v>
      </c>
      <c r="G34" s="279">
        <f>G6*'Balance Sheet'!$J$56</f>
        <v>145403.09372309397</v>
      </c>
      <c r="H34" s="279">
        <f>H6*'Balance Sheet'!$J$56</f>
        <v>159943.4030954034</v>
      </c>
      <c r="I34" s="279">
        <f>I6*'Balance Sheet'!$J$56</f>
        <v>172738.87534303567</v>
      </c>
      <c r="J34" s="279">
        <f>J6*'Balance Sheet'!$J$56</f>
        <v>184830.5966170482</v>
      </c>
      <c r="K34" s="279">
        <f>K6*'Balance Sheet'!$J$56</f>
        <v>194072.12644790061</v>
      </c>
      <c r="L34" s="279">
        <f>L6*'Balance Sheet'!$J$56</f>
        <v>203775.73277029564</v>
      </c>
      <c r="M34" s="279"/>
    </row>
    <row r="35" spans="1:93" x14ac:dyDescent="0.15">
      <c r="A35" s="280" t="s">
        <v>24</v>
      </c>
      <c r="B35" s="145">
        <f t="shared" ref="B35:L35" si="6">B27-B28+B30+B31+B32+B34</f>
        <v>632186</v>
      </c>
      <c r="C35" s="145">
        <f t="shared" si="6"/>
        <v>789134.37838751823</v>
      </c>
      <c r="D35" s="145">
        <f t="shared" si="6"/>
        <v>886564.15664973529</v>
      </c>
      <c r="E35" s="145">
        <f t="shared" si="6"/>
        <v>1002065.3479532362</v>
      </c>
      <c r="F35" s="145">
        <f t="shared" si="6"/>
        <v>1138989.8635425454</v>
      </c>
      <c r="G35" s="145">
        <f t="shared" si="6"/>
        <v>1301311.3318995452</v>
      </c>
      <c r="H35" s="145">
        <f t="shared" si="6"/>
        <v>1312695.0288184925</v>
      </c>
      <c r="I35" s="145">
        <f t="shared" si="6"/>
        <v>1261490.744540266</v>
      </c>
      <c r="J35" s="145">
        <f t="shared" si="6"/>
        <v>1155968.181002399</v>
      </c>
      <c r="K35" s="145">
        <f t="shared" si="6"/>
        <v>956688.47217969992</v>
      </c>
      <c r="L35" s="145">
        <f t="shared" si="6"/>
        <v>702208.56420039118</v>
      </c>
      <c r="M35" s="279"/>
    </row>
    <row r="36" spans="1:93" s="282" customFormat="1" x14ac:dyDescent="0.15">
      <c r="A36" s="287" t="s">
        <v>25</v>
      </c>
      <c r="B36" s="288">
        <f t="shared" ref="B36:L36" si="7">B26+B35</f>
        <v>3576323</v>
      </c>
      <c r="C36" s="288">
        <f t="shared" si="7"/>
        <v>4637574.8493418442</v>
      </c>
      <c r="D36" s="288">
        <f t="shared" si="7"/>
        <v>5450745.5580052286</v>
      </c>
      <c r="E36" s="288">
        <f t="shared" si="7"/>
        <v>6414744.3195641004</v>
      </c>
      <c r="F36" s="288">
        <f t="shared" si="7"/>
        <v>8153889.5362579934</v>
      </c>
      <c r="G36" s="288">
        <f t="shared" si="7"/>
        <v>10215613.866958104</v>
      </c>
      <c r="H36" s="288">
        <f t="shared" si="7"/>
        <v>12128512.373375915</v>
      </c>
      <c r="I36" s="288">
        <f t="shared" si="7"/>
        <v>13690884.894540774</v>
      </c>
      <c r="J36" s="288">
        <f t="shared" si="7"/>
        <v>14711827.260446202</v>
      </c>
      <c r="K36" s="288">
        <f t="shared" si="7"/>
        <v>14877135.115707189</v>
      </c>
      <c r="L36" s="288">
        <f t="shared" si="7"/>
        <v>16407233.59563919</v>
      </c>
      <c r="M36" s="460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  <c r="AA36" s="281"/>
      <c r="AB36" s="281"/>
      <c r="AC36" s="281"/>
      <c r="AD36" s="281"/>
      <c r="AE36" s="281"/>
      <c r="AF36" s="281"/>
      <c r="AG36" s="281"/>
      <c r="AH36" s="281"/>
      <c r="AI36" s="281"/>
      <c r="AJ36" s="281"/>
      <c r="AK36" s="281"/>
      <c r="AL36" s="281"/>
      <c r="AM36" s="281"/>
      <c r="AN36" s="281"/>
      <c r="AO36" s="281"/>
      <c r="AP36" s="281"/>
      <c r="AQ36" s="281"/>
      <c r="AR36" s="281"/>
      <c r="AS36" s="281"/>
      <c r="AT36" s="281"/>
      <c r="AU36" s="281"/>
      <c r="AV36" s="281"/>
      <c r="AW36" s="281"/>
      <c r="AX36" s="281"/>
      <c r="AY36" s="281"/>
      <c r="AZ36" s="281"/>
      <c r="BA36" s="281"/>
      <c r="BB36" s="281"/>
      <c r="BC36" s="281"/>
      <c r="BD36" s="281"/>
      <c r="BE36" s="281"/>
      <c r="BF36" s="281"/>
      <c r="BG36" s="281"/>
      <c r="BH36" s="281"/>
      <c r="BI36" s="281"/>
      <c r="BJ36" s="281"/>
      <c r="BK36" s="281"/>
      <c r="BL36" s="281"/>
      <c r="BM36" s="281"/>
      <c r="BN36" s="281"/>
      <c r="BO36" s="281"/>
      <c r="BP36" s="281"/>
      <c r="BQ36" s="281"/>
      <c r="BR36" s="281"/>
      <c r="BS36" s="281"/>
      <c r="BT36" s="281"/>
      <c r="BU36" s="281"/>
      <c r="BV36" s="281"/>
      <c r="BW36" s="281"/>
      <c r="BX36" s="281"/>
      <c r="BY36" s="281"/>
      <c r="BZ36" s="281"/>
      <c r="CA36" s="281"/>
      <c r="CB36" s="281"/>
      <c r="CC36" s="281"/>
      <c r="CD36" s="281"/>
      <c r="CE36" s="281"/>
      <c r="CF36" s="281"/>
      <c r="CG36" s="281"/>
      <c r="CH36" s="281"/>
      <c r="CI36" s="281"/>
      <c r="CJ36" s="281"/>
      <c r="CK36" s="281"/>
      <c r="CL36" s="281"/>
      <c r="CM36" s="281"/>
      <c r="CN36" s="281"/>
      <c r="CO36" s="281"/>
    </row>
    <row r="37" spans="1:93" x14ac:dyDescent="0.15">
      <c r="A37" s="283" t="s">
        <v>26</v>
      </c>
      <c r="B37" s="457"/>
      <c r="C37" s="457"/>
      <c r="D37" s="458"/>
      <c r="E37" s="457"/>
      <c r="F37" s="457"/>
      <c r="G37" s="457"/>
      <c r="H37" s="457"/>
      <c r="I37" s="457"/>
      <c r="J37" s="457"/>
      <c r="K37" s="457"/>
      <c r="L37" s="457"/>
      <c r="M37" s="279"/>
    </row>
    <row r="38" spans="1:93" x14ac:dyDescent="0.15">
      <c r="A38" s="275" t="s">
        <v>28</v>
      </c>
      <c r="B38" s="136">
        <v>417955</v>
      </c>
      <c r="C38" s="279">
        <f>C7*('Balance Sheet'!$J$63/365)</f>
        <v>504182.65954729903</v>
      </c>
      <c r="D38" s="279">
        <f>D7*('Balance Sheet'!$J$63/365)</f>
        <v>597699.17217253079</v>
      </c>
      <c r="E38" s="279">
        <f>E7*('Balance Sheet'!$J$63/365)</f>
        <v>708561.25979519985</v>
      </c>
      <c r="F38" s="279">
        <f>F7*('Balance Sheet'!$J$63/365)</f>
        <v>839986.20419309742</v>
      </c>
      <c r="G38" s="279">
        <f>G7*('Balance Sheet'!$J$63/365)</f>
        <v>995788.03311751108</v>
      </c>
      <c r="H38" s="279">
        <f>H7*('Balance Sheet'!$J$63/365)</f>
        <v>1180488.2055802101</v>
      </c>
      <c r="I38" s="279">
        <f>I7*('Balance Sheet'!$J$63/365)</f>
        <v>1399446.8272039716</v>
      </c>
      <c r="J38" s="279">
        <f>J7*('Balance Sheet'!$J$63/365)</f>
        <v>1659018.2035818682</v>
      </c>
      <c r="K38" s="279">
        <f>K7*('Balance Sheet'!$J$63/365)</f>
        <v>1966735.2458935904</v>
      </c>
      <c r="L38" s="279">
        <f>L7*('Balance Sheet'!$J$63/365)</f>
        <v>1395551.0225858656</v>
      </c>
      <c r="M38" s="279"/>
    </row>
    <row r="39" spans="1:93" x14ac:dyDescent="0.15">
      <c r="A39" s="275" t="s">
        <v>29</v>
      </c>
      <c r="B39" s="136">
        <v>125417</v>
      </c>
      <c r="C39" s="279">
        <f>C7*'Balance Sheet'!$J$64</f>
        <v>143389.26981219405</v>
      </c>
      <c r="D39" s="279">
        <f>D7*'Balance Sheet'!$J$64</f>
        <v>169985.31433454007</v>
      </c>
      <c r="E39" s="279">
        <f>E7*'Balance Sheet'!$J$64</f>
        <v>201514.43080265354</v>
      </c>
      <c r="F39" s="279">
        <f>F7*'Balance Sheet'!$J$64</f>
        <v>238891.61237657641</v>
      </c>
      <c r="G39" s="279">
        <f>G7*'Balance Sheet'!$J$64</f>
        <v>283201.56644150836</v>
      </c>
      <c r="H39" s="279">
        <f>H7*'Balance Sheet'!$J$64</f>
        <v>335730.19344227132</v>
      </c>
      <c r="I39" s="279">
        <f>I7*'Balance Sheet'!$J$64</f>
        <v>398001.904456502</v>
      </c>
      <c r="J39" s="279">
        <f>J7*'Balance Sheet'!$J$64</f>
        <v>471823.86048408935</v>
      </c>
      <c r="K39" s="279">
        <f>K7*'Balance Sheet'!$J$64</f>
        <v>559338.41730257217</v>
      </c>
      <c r="L39" s="279">
        <f>L7*'Balance Sheet'!$J$64</f>
        <v>396893.93977556116</v>
      </c>
      <c r="M39" s="279"/>
    </row>
    <row r="40" spans="1:93" x14ac:dyDescent="0.15">
      <c r="A40" s="275" t="s">
        <v>30</v>
      </c>
      <c r="B40" s="136">
        <v>54453</v>
      </c>
      <c r="C40" s="279">
        <f>'Balance Sheet'!$J$67*C6</f>
        <v>93291.110032034718</v>
      </c>
      <c r="D40" s="279">
        <f>'Balance Sheet'!$J$67*D6</f>
        <v>110594.87703775856</v>
      </c>
      <c r="E40" s="279">
        <f>'Balance Sheet'!$J$67*E6</f>
        <v>131108.17121585243</v>
      </c>
      <c r="F40" s="279">
        <f>'Balance Sheet'!$J$67*F6</f>
        <v>155426.30020463429</v>
      </c>
      <c r="G40" s="279">
        <f>'Balance Sheet'!$J$67*G6</f>
        <v>184254.99014496367</v>
      </c>
      <c r="H40" s="279">
        <f>'Balance Sheet'!$J$67*H6</f>
        <v>202680.48915946006</v>
      </c>
      <c r="I40" s="279">
        <f>'Balance Sheet'!$J$67*I6</f>
        <v>218894.92829221688</v>
      </c>
      <c r="J40" s="279">
        <f>'Balance Sheet'!$J$67*J6</f>
        <v>234217.57327267207</v>
      </c>
      <c r="K40" s="279">
        <f>'Balance Sheet'!$J$67*K6</f>
        <v>245928.4519363057</v>
      </c>
      <c r="L40" s="279">
        <f>'Balance Sheet'!$J$67*L6</f>
        <v>258224.87453312098</v>
      </c>
      <c r="M40" s="279"/>
    </row>
    <row r="41" spans="1:93" x14ac:dyDescent="0.15">
      <c r="A41" s="275" t="s">
        <v>31</v>
      </c>
      <c r="B41" s="136">
        <v>142120</v>
      </c>
      <c r="C41" s="279">
        <f>C7*'Balance Sheet'!$J$65</f>
        <v>150729.2132742689</v>
      </c>
      <c r="D41" s="279">
        <f>D7*'Balance Sheet'!$J$65</f>
        <v>178686.68088890438</v>
      </c>
      <c r="E41" s="279">
        <f>E7*'Balance Sheet'!$J$65</f>
        <v>211829.73912956635</v>
      </c>
      <c r="F41" s="279">
        <f>F7*'Balance Sheet'!$J$65</f>
        <v>251120.21867818167</v>
      </c>
      <c r="G41" s="279">
        <f>G7*'Balance Sheet'!$J$65</f>
        <v>297698.35193162411</v>
      </c>
      <c r="H41" s="279">
        <f>H7*'Balance Sheet'!$J$65</f>
        <v>352915.86320406938</v>
      </c>
      <c r="I41" s="279">
        <f>I7*'Balance Sheet'!$J$65</f>
        <v>418375.19654687296</v>
      </c>
      <c r="J41" s="279">
        <f>J7*'Balance Sheet'!$J$65</f>
        <v>495976.01959994948</v>
      </c>
      <c r="K41" s="279">
        <f>K7*'Balance Sheet'!$J$65</f>
        <v>587970.35304326296</v>
      </c>
      <c r="L41" s="279">
        <f>L7*'Balance Sheet'!$J$65</f>
        <v>417210.51633814728</v>
      </c>
      <c r="M41" s="279"/>
    </row>
    <row r="42" spans="1:93" x14ac:dyDescent="0.15">
      <c r="A42" s="275" t="s">
        <v>32</v>
      </c>
      <c r="B42" s="562" t="s">
        <v>217</v>
      </c>
      <c r="C42" s="562"/>
      <c r="D42" s="562"/>
      <c r="E42" s="562"/>
      <c r="F42" s="562"/>
      <c r="G42" s="562"/>
      <c r="H42" s="562"/>
      <c r="I42" s="562"/>
      <c r="J42" s="562"/>
      <c r="K42" s="562"/>
      <c r="L42" s="562"/>
      <c r="M42" s="279"/>
    </row>
    <row r="43" spans="1:93" x14ac:dyDescent="0.15">
      <c r="A43" s="275" t="s">
        <v>33</v>
      </c>
      <c r="B43" s="562" t="s">
        <v>218</v>
      </c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279"/>
    </row>
    <row r="44" spans="1:93" x14ac:dyDescent="0.15">
      <c r="A44" s="277" t="s">
        <v>34</v>
      </c>
      <c r="B44" s="145">
        <f t="shared" ref="B44:L44" si="8">SUM(B38:B41)</f>
        <v>739945</v>
      </c>
      <c r="C44" s="145">
        <f t="shared" si="8"/>
        <v>891592.25266579667</v>
      </c>
      <c r="D44" s="145">
        <f t="shared" si="8"/>
        <v>1056966.0444337339</v>
      </c>
      <c r="E44" s="145">
        <f t="shared" si="8"/>
        <v>1253013.6009432722</v>
      </c>
      <c r="F44" s="145">
        <f t="shared" si="8"/>
        <v>1485424.3354524898</v>
      </c>
      <c r="G44" s="145">
        <f t="shared" si="8"/>
        <v>1760942.941635607</v>
      </c>
      <c r="H44" s="145">
        <f t="shared" si="8"/>
        <v>2071814.751386011</v>
      </c>
      <c r="I44" s="145">
        <f t="shared" si="8"/>
        <v>2434718.8564995634</v>
      </c>
      <c r="J44" s="145">
        <f t="shared" si="8"/>
        <v>2861035.6569385789</v>
      </c>
      <c r="K44" s="145">
        <f t="shared" si="8"/>
        <v>3359972.4681757307</v>
      </c>
      <c r="L44" s="145">
        <f t="shared" si="8"/>
        <v>2467880.3532326953</v>
      </c>
      <c r="M44" s="279"/>
    </row>
    <row r="45" spans="1:93" x14ac:dyDescent="0.15">
      <c r="A45" s="284" t="s">
        <v>35</v>
      </c>
      <c r="B45" s="136">
        <v>222522</v>
      </c>
      <c r="C45" s="279">
        <f>'Balance Sheet'!$J$61</f>
        <v>204296</v>
      </c>
      <c r="D45" s="279">
        <f>'Balance Sheet'!$J$61</f>
        <v>204296</v>
      </c>
      <c r="E45" s="279">
        <f>'Balance Sheet'!$J$61</f>
        <v>204296</v>
      </c>
      <c r="F45" s="279">
        <f>'Balance Sheet'!$J$61</f>
        <v>204296</v>
      </c>
      <c r="G45" s="279">
        <f>'Balance Sheet'!$J$61</f>
        <v>204296</v>
      </c>
      <c r="H45" s="279">
        <f>'Balance Sheet'!$J$61</f>
        <v>204296</v>
      </c>
      <c r="I45" s="279">
        <f>'Balance Sheet'!$J$61</f>
        <v>204296</v>
      </c>
      <c r="J45" s="279">
        <f>'Balance Sheet'!$J$61</f>
        <v>204296</v>
      </c>
      <c r="K45" s="279">
        <f>'Balance Sheet'!$J$61</f>
        <v>204296</v>
      </c>
      <c r="L45" s="279">
        <f>'Balance Sheet'!$J$61</f>
        <v>204296</v>
      </c>
      <c r="M45" s="279"/>
    </row>
    <row r="46" spans="1:93" x14ac:dyDescent="0.15">
      <c r="A46" s="275" t="s">
        <v>37</v>
      </c>
      <c r="B46" s="562" t="s">
        <v>38</v>
      </c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279"/>
    </row>
    <row r="47" spans="1:93" x14ac:dyDescent="0.15">
      <c r="A47" s="275" t="s">
        <v>39</v>
      </c>
      <c r="B47" s="562" t="s">
        <v>40</v>
      </c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279"/>
    </row>
    <row r="48" spans="1:93" x14ac:dyDescent="0.15">
      <c r="A48" s="275" t="s">
        <v>41</v>
      </c>
      <c r="B48" s="136">
        <v>51189</v>
      </c>
      <c r="C48" s="279">
        <f>C7*'Balance Sheet'!$J$69</f>
        <v>51785.506657854778</v>
      </c>
      <c r="D48" s="279">
        <f>D7*'Balance Sheet'!$J$69</f>
        <v>61390.755659321032</v>
      </c>
      <c r="E48" s="279">
        <f>E7*'Balance Sheet'!$J$69</f>
        <v>72777.599827746511</v>
      </c>
      <c r="F48" s="279">
        <f>F7*'Balance Sheet'!$J$69</f>
        <v>86276.491953938385</v>
      </c>
      <c r="G48" s="279">
        <f>G7*'Balance Sheet'!$J$69</f>
        <v>102279.17767961489</v>
      </c>
      <c r="H48" s="279">
        <f>H7*'Balance Sheet'!$J$69</f>
        <v>121250.06418206256</v>
      </c>
      <c r="I48" s="279">
        <f>I7*'Balance Sheet'!$J$69</f>
        <v>143739.69753849946</v>
      </c>
      <c r="J48" s="279">
        <f>J7*'Balance Sheet'!$J$69</f>
        <v>170400.73989103804</v>
      </c>
      <c r="K48" s="279">
        <f>K7*'Balance Sheet'!$J$69</f>
        <v>202006.91007879743</v>
      </c>
      <c r="L48" s="279">
        <f>L7*'Balance Sheet'!$J$69</f>
        <v>143339.55244788929</v>
      </c>
      <c r="M48" s="279"/>
    </row>
    <row r="49" spans="1:115" x14ac:dyDescent="0.15">
      <c r="A49" s="277" t="s">
        <v>196</v>
      </c>
      <c r="B49" s="145">
        <f t="shared" ref="B49:L49" si="9">B45+B48</f>
        <v>273711</v>
      </c>
      <c r="C49" s="145">
        <f t="shared" si="9"/>
        <v>256081.50665785477</v>
      </c>
      <c r="D49" s="145">
        <f t="shared" si="9"/>
        <v>265686.75565932103</v>
      </c>
      <c r="E49" s="145">
        <f t="shared" si="9"/>
        <v>277073.59982774651</v>
      </c>
      <c r="F49" s="145">
        <f t="shared" si="9"/>
        <v>290572.49195393838</v>
      </c>
      <c r="G49" s="145">
        <f t="shared" si="9"/>
        <v>306575.17767961486</v>
      </c>
      <c r="H49" s="145">
        <f t="shared" si="9"/>
        <v>325546.06418206258</v>
      </c>
      <c r="I49" s="145">
        <f t="shared" si="9"/>
        <v>348035.69753849949</v>
      </c>
      <c r="J49" s="145">
        <f t="shared" si="9"/>
        <v>374696.73989103804</v>
      </c>
      <c r="K49" s="145">
        <f t="shared" si="9"/>
        <v>406302.91007879743</v>
      </c>
      <c r="L49" s="145">
        <f t="shared" si="9"/>
        <v>347635.55244788929</v>
      </c>
      <c r="M49" s="279"/>
    </row>
    <row r="50" spans="1:115" x14ac:dyDescent="0.15">
      <c r="A50" s="275" t="s">
        <v>43</v>
      </c>
      <c r="B50" s="285">
        <v>1502</v>
      </c>
      <c r="C50" s="461">
        <f>B50+C61</f>
        <v>32455.309014678467</v>
      </c>
      <c r="D50" s="461">
        <f>B50+D61</f>
        <v>-391877.23072862113</v>
      </c>
      <c r="E50" s="461">
        <f>B50+E61</f>
        <v>-894915.5699649686</v>
      </c>
      <c r="F50" s="461">
        <f t="shared" ref="F50:L51" si="10">E50</f>
        <v>-894915.5699649686</v>
      </c>
      <c r="G50" s="461">
        <f t="shared" si="10"/>
        <v>-894915.5699649686</v>
      </c>
      <c r="H50" s="461">
        <f t="shared" si="10"/>
        <v>-894915.5699649686</v>
      </c>
      <c r="I50" s="461">
        <f t="shared" si="10"/>
        <v>-894915.5699649686</v>
      </c>
      <c r="J50" s="461">
        <f t="shared" si="10"/>
        <v>-894915.5699649686</v>
      </c>
      <c r="K50" s="461">
        <f t="shared" si="10"/>
        <v>-894915.5699649686</v>
      </c>
      <c r="L50" s="461">
        <f t="shared" si="10"/>
        <v>-894915.5699649686</v>
      </c>
      <c r="M50" s="279"/>
    </row>
    <row r="51" spans="1:115" x14ac:dyDescent="0.15">
      <c r="A51" s="275" t="s">
        <v>44</v>
      </c>
      <c r="B51" s="136">
        <v>253466</v>
      </c>
      <c r="C51" s="279">
        <f>B51</f>
        <v>253466</v>
      </c>
      <c r="D51" s="279">
        <f>C51</f>
        <v>253466</v>
      </c>
      <c r="E51" s="279">
        <f>D51</f>
        <v>253466</v>
      </c>
      <c r="F51" s="279">
        <f t="shared" si="10"/>
        <v>253466</v>
      </c>
      <c r="G51" s="279">
        <f t="shared" si="10"/>
        <v>253466</v>
      </c>
      <c r="H51" s="279">
        <f t="shared" si="10"/>
        <v>253466</v>
      </c>
      <c r="I51" s="279">
        <f t="shared" si="10"/>
        <v>253466</v>
      </c>
      <c r="J51" s="279">
        <f t="shared" si="10"/>
        <v>253466</v>
      </c>
      <c r="K51" s="279">
        <f t="shared" si="10"/>
        <v>253466</v>
      </c>
      <c r="L51" s="279">
        <f t="shared" si="10"/>
        <v>253466</v>
      </c>
      <c r="M51" s="279"/>
    </row>
    <row r="52" spans="1:115" x14ac:dyDescent="0.15">
      <c r="A52" s="275" t="s">
        <v>45</v>
      </c>
      <c r="B52" s="136">
        <v>2307699</v>
      </c>
      <c r="C52" s="279">
        <f t="shared" ref="C52:L52" si="11">B52+C16</f>
        <v>3203979.7810035148</v>
      </c>
      <c r="D52" s="279">
        <f t="shared" si="11"/>
        <v>4266503.9886407945</v>
      </c>
      <c r="E52" s="279">
        <f t="shared" si="11"/>
        <v>5526106.6887580492</v>
      </c>
      <c r="F52" s="279">
        <f t="shared" si="11"/>
        <v>7019342.2788165342</v>
      </c>
      <c r="G52" s="279">
        <f t="shared" si="11"/>
        <v>8789545.3176078517</v>
      </c>
      <c r="H52" s="279">
        <f t="shared" si="11"/>
        <v>10372601.127772812</v>
      </c>
      <c r="I52" s="279">
        <f t="shared" si="11"/>
        <v>11549579.910467677</v>
      </c>
      <c r="J52" s="279">
        <f t="shared" si="11"/>
        <v>12117544.433581555</v>
      </c>
      <c r="K52" s="279">
        <f t="shared" si="11"/>
        <v>11752309.307417629</v>
      </c>
      <c r="L52" s="279">
        <f t="shared" si="11"/>
        <v>14233167.259923574</v>
      </c>
      <c r="M52" s="279"/>
    </row>
    <row r="53" spans="1:115" x14ac:dyDescent="0.15">
      <c r="A53" s="275" t="s">
        <v>46</v>
      </c>
      <c r="B53" s="562" t="s">
        <v>47</v>
      </c>
      <c r="C53" s="562"/>
      <c r="D53" s="562"/>
      <c r="E53" s="562"/>
      <c r="F53" s="562"/>
      <c r="G53" s="562"/>
      <c r="H53" s="562"/>
      <c r="I53" s="562"/>
      <c r="J53" s="562"/>
      <c r="K53" s="562"/>
      <c r="L53" s="562"/>
      <c r="M53" s="279"/>
    </row>
    <row r="54" spans="1:115" x14ac:dyDescent="0.15">
      <c r="A54" s="277" t="s">
        <v>48</v>
      </c>
      <c r="B54" s="145">
        <f t="shared" ref="B54:L54" si="12">SUM(B50:B52)</f>
        <v>2562667</v>
      </c>
      <c r="C54" s="145">
        <f t="shared" si="12"/>
        <v>3489901.0900181932</v>
      </c>
      <c r="D54" s="145">
        <f t="shared" si="12"/>
        <v>4128092.7579121734</v>
      </c>
      <c r="E54" s="145">
        <f t="shared" si="12"/>
        <v>4884657.1187930806</v>
      </c>
      <c r="F54" s="145">
        <f t="shared" si="12"/>
        <v>6377892.7088515656</v>
      </c>
      <c r="G54" s="145">
        <f t="shared" si="12"/>
        <v>8148095.7476428831</v>
      </c>
      <c r="H54" s="145">
        <f t="shared" si="12"/>
        <v>9731151.5578078441</v>
      </c>
      <c r="I54" s="145">
        <f t="shared" si="12"/>
        <v>10908130.340502709</v>
      </c>
      <c r="J54" s="145">
        <f t="shared" si="12"/>
        <v>11476094.863616586</v>
      </c>
      <c r="K54" s="145">
        <f t="shared" si="12"/>
        <v>11110859.73745266</v>
      </c>
      <c r="L54" s="145">
        <f t="shared" si="12"/>
        <v>13591717.689958606</v>
      </c>
      <c r="M54" s="279"/>
    </row>
    <row r="55" spans="1:115" s="282" customFormat="1" x14ac:dyDescent="0.15">
      <c r="A55" s="287" t="s">
        <v>49</v>
      </c>
      <c r="B55" s="288">
        <f t="shared" ref="B55:L55" si="13">B54+B49+B44</f>
        <v>3576323</v>
      </c>
      <c r="C55" s="288">
        <f t="shared" si="13"/>
        <v>4637574.8493418442</v>
      </c>
      <c r="D55" s="288">
        <f t="shared" si="13"/>
        <v>5450745.5580052286</v>
      </c>
      <c r="E55" s="288">
        <f t="shared" si="13"/>
        <v>6414744.3195640994</v>
      </c>
      <c r="F55" s="288">
        <f t="shared" si="13"/>
        <v>8153889.5362579934</v>
      </c>
      <c r="G55" s="288">
        <f t="shared" si="13"/>
        <v>10215613.866958104</v>
      </c>
      <c r="H55" s="288">
        <f t="shared" si="13"/>
        <v>12128512.373375917</v>
      </c>
      <c r="I55" s="288">
        <f t="shared" si="13"/>
        <v>13690884.894540772</v>
      </c>
      <c r="J55" s="288">
        <f t="shared" si="13"/>
        <v>14711827.260446202</v>
      </c>
      <c r="K55" s="288">
        <f t="shared" si="13"/>
        <v>14877135.115707189</v>
      </c>
      <c r="L55" s="288">
        <f t="shared" si="13"/>
        <v>16407233.59563919</v>
      </c>
      <c r="M55" s="460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  <c r="AK55" s="281"/>
      <c r="AL55" s="281"/>
      <c r="AM55" s="281"/>
      <c r="AN55" s="281"/>
      <c r="AO55" s="281"/>
      <c r="AP55" s="281"/>
      <c r="AQ55" s="281"/>
      <c r="AR55" s="281"/>
      <c r="AS55" s="281"/>
      <c r="AT55" s="281"/>
      <c r="AU55" s="281"/>
      <c r="AV55" s="281"/>
      <c r="AW55" s="281"/>
      <c r="AX55" s="281"/>
      <c r="AY55" s="281"/>
      <c r="AZ55" s="281"/>
      <c r="BA55" s="281"/>
      <c r="BB55" s="281"/>
      <c r="BC55" s="281"/>
      <c r="BD55" s="281"/>
      <c r="BE55" s="281"/>
      <c r="BF55" s="281"/>
      <c r="BG55" s="281"/>
      <c r="BH55" s="281"/>
      <c r="BI55" s="281"/>
      <c r="BJ55" s="281"/>
      <c r="BK55" s="281"/>
      <c r="BL55" s="281"/>
      <c r="BM55" s="281"/>
      <c r="BN55" s="281"/>
      <c r="BO55" s="281"/>
      <c r="BP55" s="281"/>
      <c r="BQ55" s="281"/>
      <c r="BR55" s="281"/>
      <c r="BS55" s="281"/>
      <c r="BT55" s="281"/>
      <c r="BU55" s="281"/>
      <c r="BV55" s="281"/>
      <c r="BW55" s="281"/>
      <c r="BX55" s="281"/>
      <c r="BY55" s="281"/>
      <c r="BZ55" s="281"/>
      <c r="CA55" s="281"/>
      <c r="CB55" s="281"/>
      <c r="CC55" s="281"/>
      <c r="CD55" s="281"/>
      <c r="CE55" s="281"/>
      <c r="CF55" s="281"/>
      <c r="CG55" s="281"/>
      <c r="CH55" s="281"/>
      <c r="CI55" s="281"/>
      <c r="CJ55" s="281"/>
      <c r="CK55" s="281"/>
      <c r="CL55" s="281"/>
      <c r="CM55" s="281"/>
      <c r="CN55" s="281"/>
      <c r="CO55" s="281"/>
      <c r="CP55" s="281"/>
      <c r="CQ55" s="281"/>
      <c r="CR55" s="281"/>
      <c r="CS55" s="281"/>
      <c r="CT55" s="281"/>
      <c r="CU55" s="281"/>
      <c r="CV55" s="281"/>
      <c r="CW55" s="281"/>
      <c r="CX55" s="281"/>
      <c r="CY55" s="281"/>
      <c r="CZ55" s="281"/>
      <c r="DA55" s="281"/>
      <c r="DB55" s="281"/>
      <c r="DC55" s="281"/>
      <c r="DD55" s="281"/>
      <c r="DE55" s="281"/>
      <c r="DF55" s="281"/>
      <c r="DG55" s="281"/>
      <c r="DH55" s="281"/>
      <c r="DI55" s="281"/>
      <c r="DJ55" s="281"/>
      <c r="DK55" s="281"/>
    </row>
    <row r="56" spans="1:115" ht="15.75" customHeight="1" x14ac:dyDescent="0.15">
      <c r="B56" s="279"/>
      <c r="C56" s="279"/>
      <c r="D56" s="279"/>
      <c r="E56" s="279"/>
      <c r="F56" s="279"/>
      <c r="G56" s="279"/>
      <c r="H56" s="279"/>
      <c r="I56" s="279"/>
      <c r="J56" s="279"/>
      <c r="K56" s="279"/>
      <c r="L56" s="279"/>
      <c r="M56" s="279"/>
    </row>
    <row r="57" spans="1:115" ht="15.75" hidden="1" customHeight="1" x14ac:dyDescent="0.15">
      <c r="A57" s="149" t="s">
        <v>198</v>
      </c>
      <c r="B57" s="279">
        <f t="shared" ref="B57:L57" si="14">B55-B36</f>
        <v>0</v>
      </c>
      <c r="C57" s="279">
        <f t="shared" si="14"/>
        <v>0</v>
      </c>
      <c r="D57" s="279">
        <f t="shared" si="14"/>
        <v>0</v>
      </c>
      <c r="E57" s="279">
        <f t="shared" si="14"/>
        <v>0</v>
      </c>
      <c r="F57" s="279">
        <f t="shared" si="14"/>
        <v>0</v>
      </c>
      <c r="G57" s="279">
        <f t="shared" si="14"/>
        <v>0</v>
      </c>
      <c r="H57" s="279">
        <f t="shared" si="14"/>
        <v>0</v>
      </c>
      <c r="I57" s="279">
        <f t="shared" si="14"/>
        <v>0</v>
      </c>
      <c r="J57" s="279">
        <f t="shared" si="14"/>
        <v>0</v>
      </c>
      <c r="K57" s="279">
        <f t="shared" si="14"/>
        <v>0</v>
      </c>
      <c r="L57" s="279">
        <f t="shared" si="14"/>
        <v>0</v>
      </c>
      <c r="M57" s="279"/>
    </row>
    <row r="58" spans="1:115" ht="15.75" customHeight="1" x14ac:dyDescent="0.15">
      <c r="B58" s="279"/>
      <c r="C58" s="279"/>
      <c r="D58" s="279"/>
      <c r="E58" s="279"/>
      <c r="F58" s="279"/>
      <c r="G58" s="279"/>
      <c r="H58" s="279"/>
      <c r="I58" s="279"/>
      <c r="J58" s="279"/>
      <c r="K58" s="279"/>
      <c r="L58" s="279"/>
      <c r="M58" s="279"/>
    </row>
    <row r="59" spans="1:115" x14ac:dyDescent="0.15">
      <c r="A59" s="289" t="s">
        <v>199</v>
      </c>
      <c r="B59" s="462"/>
      <c r="C59" s="462">
        <f>C6*'Income Statement'!$J$43</f>
        <v>1970228.05542643</v>
      </c>
      <c r="D59" s="462">
        <f>D6*'Income Statement'!$J$43</f>
        <v>2335668.7411201955</v>
      </c>
      <c r="E59" s="462">
        <f>E6*'Income Statement'!$J$43</f>
        <v>2768891.8819427029</v>
      </c>
      <c r="F59" s="462">
        <f>F6*'Income Statement'!$J$43</f>
        <v>3282469.8635180579</v>
      </c>
      <c r="G59" s="462">
        <f>G6*'Income Statement'!$J$43</f>
        <v>3891307.0153337317</v>
      </c>
      <c r="H59" s="462">
        <f>H6*'Income Statement'!$J$43</f>
        <v>4280437.7168671051</v>
      </c>
      <c r="I59" s="462">
        <f>I6*'Income Statement'!$J$43</f>
        <v>4622872.734216474</v>
      </c>
      <c r="J59" s="462">
        <f>J6*'Income Statement'!$J$43</f>
        <v>4946473.8256116277</v>
      </c>
      <c r="K59" s="462">
        <f>K6*'Income Statement'!$J$43</f>
        <v>5193797.5168922096</v>
      </c>
      <c r="L59" s="463">
        <f>L6*'Income Statement'!$J$43</f>
        <v>5453487.3927368196</v>
      </c>
      <c r="M59" s="279"/>
    </row>
    <row r="60" spans="1:115" x14ac:dyDescent="0.15">
      <c r="A60" s="290" t="s">
        <v>200</v>
      </c>
      <c r="B60" s="279"/>
      <c r="C60" s="279">
        <f t="shared" ref="C60:L60" si="15">C61</f>
        <v>30953.309014678467</v>
      </c>
      <c r="D60" s="279">
        <f t="shared" si="15"/>
        <v>-393379.23072862113</v>
      </c>
      <c r="E60" s="279">
        <f t="shared" si="15"/>
        <v>-896417.5699649686</v>
      </c>
      <c r="F60" s="279">
        <f t="shared" si="15"/>
        <v>-1492760.171677161</v>
      </c>
      <c r="G60" s="279">
        <f t="shared" si="15"/>
        <v>-2199713.2424048008</v>
      </c>
      <c r="H60" s="279">
        <f t="shared" si="15"/>
        <v>-3187586.1589998333</v>
      </c>
      <c r="I60" s="279">
        <f t="shared" si="15"/>
        <v>-3896735.126200201</v>
      </c>
      <c r="J60" s="279">
        <f t="shared" si="15"/>
        <v>-4074797.4173731962</v>
      </c>
      <c r="K60" s="279">
        <f t="shared" si="15"/>
        <v>-3519943.8606835045</v>
      </c>
      <c r="L60" s="464">
        <f t="shared" si="15"/>
        <v>-5930797.1146557648</v>
      </c>
      <c r="M60" s="279"/>
    </row>
    <row r="61" spans="1:115" x14ac:dyDescent="0.15">
      <c r="A61" s="291" t="s">
        <v>201</v>
      </c>
      <c r="B61" s="465"/>
      <c r="C61" s="465">
        <f t="shared" ref="C61:L61" si="16">C59+C22+C23+(C27-C28)-C38-((C45+C48))-$B$50-C52</f>
        <v>30953.309014678467</v>
      </c>
      <c r="D61" s="465">
        <f t="shared" si="16"/>
        <v>-393379.23072862113</v>
      </c>
      <c r="E61" s="465">
        <f t="shared" si="16"/>
        <v>-896417.5699649686</v>
      </c>
      <c r="F61" s="465">
        <f t="shared" si="16"/>
        <v>-1492760.171677161</v>
      </c>
      <c r="G61" s="465">
        <f t="shared" si="16"/>
        <v>-2199713.2424048008</v>
      </c>
      <c r="H61" s="465">
        <f t="shared" si="16"/>
        <v>-3187586.1589998333</v>
      </c>
      <c r="I61" s="465">
        <f t="shared" si="16"/>
        <v>-3896735.126200201</v>
      </c>
      <c r="J61" s="465">
        <f t="shared" si="16"/>
        <v>-4074797.4173731962</v>
      </c>
      <c r="K61" s="465">
        <f t="shared" si="16"/>
        <v>-3519943.8606835045</v>
      </c>
      <c r="L61" s="466">
        <f t="shared" si="16"/>
        <v>-5930797.1146557648</v>
      </c>
      <c r="M61" s="279"/>
    </row>
    <row r="62" spans="1:115" x14ac:dyDescent="0.15">
      <c r="B62" s="279"/>
      <c r="C62" s="459" t="s">
        <v>202</v>
      </c>
      <c r="D62" s="279"/>
      <c r="E62" s="279"/>
      <c r="F62" s="459" t="s">
        <v>203</v>
      </c>
      <c r="G62" s="279"/>
      <c r="H62" s="279"/>
      <c r="I62" s="279"/>
      <c r="J62" s="279"/>
      <c r="K62" s="279"/>
      <c r="L62" s="279"/>
      <c r="M62" s="279"/>
    </row>
    <row r="63" spans="1:115" x14ac:dyDescent="0.15">
      <c r="B63" s="279"/>
      <c r="C63" s="459" t="s">
        <v>219</v>
      </c>
      <c r="D63" s="279"/>
      <c r="E63" s="279"/>
      <c r="F63" s="459" t="s">
        <v>220</v>
      </c>
      <c r="G63" s="279"/>
      <c r="H63" s="279"/>
      <c r="I63" s="279"/>
      <c r="J63" s="279"/>
      <c r="K63" s="279"/>
      <c r="L63" s="279"/>
      <c r="M63" s="279"/>
    </row>
    <row r="64" spans="1:115" x14ac:dyDescent="0.15">
      <c r="C64" s="292" t="s">
        <v>221</v>
      </c>
      <c r="F64" s="292" t="s">
        <v>222</v>
      </c>
    </row>
    <row r="65" spans="1:12" ht="15.75" hidden="1" customHeight="1" x14ac:dyDescent="0.15">
      <c r="A65" s="286"/>
      <c r="C65" s="149" t="s">
        <v>223</v>
      </c>
      <c r="F65" s="149" t="s">
        <v>209</v>
      </c>
    </row>
    <row r="66" spans="1:12" ht="15.75" customHeight="1" x14ac:dyDescent="0.15"/>
    <row r="68" spans="1:12" ht="15.75" customHeight="1" x14ac:dyDescent="0.15"/>
    <row r="69" spans="1:12" ht="15.75" hidden="1" customHeight="1" x14ac:dyDescent="0.15">
      <c r="A69" s="149" t="s">
        <v>211</v>
      </c>
    </row>
    <row r="70" spans="1:12" ht="15.75" hidden="1" customHeight="1" x14ac:dyDescent="0.15">
      <c r="A70" s="149" t="s">
        <v>210</v>
      </c>
    </row>
    <row r="71" spans="1:12" ht="15.75" hidden="1" customHeight="1" x14ac:dyDescent="0.15">
      <c r="A71" s="149" t="s">
        <v>212</v>
      </c>
      <c r="C71" s="279"/>
    </row>
    <row r="72" spans="1:12" hidden="1" x14ac:dyDescent="0.15"/>
    <row r="73" spans="1:12" hidden="1" x14ac:dyDescent="0.15"/>
    <row r="74" spans="1:12" hidden="1" x14ac:dyDescent="0.15">
      <c r="A74" s="149" t="s">
        <v>224</v>
      </c>
      <c r="B74" s="276">
        <f t="shared" ref="B74:L74" si="17">(B44+B49)-B21</f>
        <v>-995807</v>
      </c>
      <c r="C74" s="276">
        <f t="shared" si="17"/>
        <v>-983795.69540071022</v>
      </c>
      <c r="D74" s="276">
        <f t="shared" si="17"/>
        <v>-1206091.3730834231</v>
      </c>
      <c r="E74" s="276">
        <f t="shared" si="17"/>
        <v>-1469618.7673968007</v>
      </c>
      <c r="F74" s="276">
        <f t="shared" si="17"/>
        <v>-2378368.1971568209</v>
      </c>
      <c r="G74" s="276">
        <f t="shared" si="17"/>
        <v>-3455673.7561530815</v>
      </c>
      <c r="H74" s="276">
        <f t="shared" si="17"/>
        <v>-4562387.5001704963</v>
      </c>
      <c r="I74" s="276">
        <f t="shared" si="17"/>
        <v>-5297989.6568271099</v>
      </c>
      <c r="J74" s="276">
        <f t="shared" si="17"/>
        <v>-5428139.5285142241</v>
      </c>
      <c r="K74" s="276">
        <f t="shared" si="17"/>
        <v>-4685280.2818956105</v>
      </c>
      <c r="L74" s="276">
        <f t="shared" si="17"/>
        <v>-7873113.5195419202</v>
      </c>
    </row>
    <row r="75" spans="1:12" hidden="1" x14ac:dyDescent="0.15"/>
    <row r="76" spans="1:12" hidden="1" x14ac:dyDescent="0.15">
      <c r="A76" s="149" t="s">
        <v>225</v>
      </c>
      <c r="B76" s="149">
        <f t="shared" ref="B76:L76" si="18">B16/B74</f>
        <v>-0.90214971374975272</v>
      </c>
      <c r="C76" s="149">
        <f t="shared" si="18"/>
        <v>-0.91104360914940818</v>
      </c>
      <c r="D76" s="149">
        <f t="shared" si="18"/>
        <v>-0.88096493462256664</v>
      </c>
      <c r="E76" s="149">
        <f t="shared" si="18"/>
        <v>-0.85709486573068416</v>
      </c>
      <c r="F76" s="149">
        <f t="shared" si="18"/>
        <v>-0.62784037889656752</v>
      </c>
      <c r="G76" s="149">
        <f t="shared" si="18"/>
        <v>-0.51225988438270253</v>
      </c>
      <c r="H76" s="149">
        <f t="shared" si="18"/>
        <v>-0.34697969212518709</v>
      </c>
      <c r="I76" s="149">
        <f t="shared" si="18"/>
        <v>-0.22215573433182986</v>
      </c>
      <c r="J76" s="149">
        <f t="shared" si="18"/>
        <v>-0.10463336841846813</v>
      </c>
      <c r="K76" s="149">
        <f t="shared" si="18"/>
        <v>7.7953741118803849E-2</v>
      </c>
      <c r="L76" s="149">
        <f t="shared" si="18"/>
        <v>-0.31510506565772045</v>
      </c>
    </row>
    <row r="77" spans="1:12" hidden="1" x14ac:dyDescent="0.15"/>
    <row r="78" spans="1:12" hidden="1" x14ac:dyDescent="0.15"/>
    <row r="79" spans="1:12" hidden="1" x14ac:dyDescent="0.15"/>
    <row r="80" spans="1:12" hidden="1" x14ac:dyDescent="0.15">
      <c r="B80" s="149">
        <f t="shared" ref="B80:L80" si="19">(B12*(1-0.22))/(B44+B49)</f>
        <v>2.7063027299202096E-3</v>
      </c>
      <c r="C80" s="149">
        <f t="shared" si="19"/>
        <v>5.1198710205767346E-3</v>
      </c>
      <c r="D80" s="149">
        <f t="shared" si="19"/>
        <v>5.2665518733898123E-3</v>
      </c>
      <c r="E80" s="149">
        <f t="shared" si="19"/>
        <v>5.3969797564701518E-3</v>
      </c>
      <c r="F80" s="149">
        <f t="shared" si="19"/>
        <v>5.5121310617062234E-3</v>
      </c>
      <c r="G80" s="149">
        <f t="shared" si="19"/>
        <v>5.6131564370131507E-3</v>
      </c>
      <c r="H80" s="149">
        <f t="shared" si="19"/>
        <v>5.3249526817923535E-3</v>
      </c>
      <c r="I80" s="149">
        <f t="shared" si="19"/>
        <v>4.9544791927133031E-3</v>
      </c>
      <c r="J80" s="149">
        <f t="shared" si="19"/>
        <v>4.5591522087588916E-3</v>
      </c>
      <c r="K80" s="149">
        <f t="shared" si="19"/>
        <v>4.1127652052716053E-3</v>
      </c>
      <c r="L80" s="149">
        <f t="shared" si="19"/>
        <v>5.7766665827741733E-3</v>
      </c>
    </row>
    <row r="81" hidden="1" x14ac:dyDescent="0.15"/>
    <row r="82" hidden="1" x14ac:dyDescent="0.15"/>
  </sheetData>
  <mergeCells count="14">
    <mergeCell ref="A1:L1"/>
    <mergeCell ref="A2:L2"/>
    <mergeCell ref="A3:L3"/>
    <mergeCell ref="B29:L29"/>
    <mergeCell ref="B43:L43"/>
    <mergeCell ref="B46:L46"/>
    <mergeCell ref="B47:L47"/>
    <mergeCell ref="B53:L53"/>
    <mergeCell ref="A4:G4"/>
    <mergeCell ref="B11:L11"/>
    <mergeCell ref="B13:L13"/>
    <mergeCell ref="B25:L25"/>
    <mergeCell ref="B33:L33"/>
    <mergeCell ref="B42:L42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C5DB-B7C7-4972-A141-81D15655F923}">
  <dimension ref="A1:P68"/>
  <sheetViews>
    <sheetView workbookViewId="0"/>
  </sheetViews>
  <sheetFormatPr baseColWidth="10" defaultColWidth="11.5" defaultRowHeight="13" x14ac:dyDescent="0.15"/>
  <cols>
    <col min="1" max="1" width="49.1640625" bestFit="1" customWidth="1"/>
    <col min="2" max="2" width="12.6640625" bestFit="1" customWidth="1"/>
    <col min="3" max="6" width="15.6640625" bestFit="1" customWidth="1"/>
    <col min="7" max="12" width="17" bestFit="1" customWidth="1"/>
  </cols>
  <sheetData>
    <row r="1" spans="1:16" ht="16" x14ac:dyDescent="0.2">
      <c r="A1" s="558" t="s">
        <v>185</v>
      </c>
      <c r="B1" s="559"/>
      <c r="C1" s="559"/>
      <c r="D1" s="559"/>
      <c r="E1" s="559"/>
      <c r="F1" s="559"/>
      <c r="G1" s="559"/>
      <c r="H1" s="79"/>
    </row>
    <row r="2" spans="1:16" ht="16" x14ac:dyDescent="0.2">
      <c r="A2" s="80" t="s">
        <v>54</v>
      </c>
      <c r="B2" s="81">
        <v>2025</v>
      </c>
      <c r="C2" s="82">
        <v>2026</v>
      </c>
      <c r="D2" s="82">
        <v>2027</v>
      </c>
      <c r="E2" s="82">
        <v>2028</v>
      </c>
      <c r="F2" s="82">
        <v>2029</v>
      </c>
      <c r="G2" s="82">
        <v>2030</v>
      </c>
      <c r="H2" s="82">
        <v>2031</v>
      </c>
      <c r="I2" s="82">
        <v>2032</v>
      </c>
      <c r="J2" s="82">
        <v>2033</v>
      </c>
      <c r="K2" s="82">
        <v>2034</v>
      </c>
      <c r="L2" s="82">
        <v>2035</v>
      </c>
      <c r="M2" s="79"/>
      <c r="N2" s="79"/>
      <c r="O2" s="79"/>
      <c r="P2" s="79"/>
    </row>
    <row r="3" spans="1:16" ht="14" x14ac:dyDescent="0.15">
      <c r="A3" s="1" t="s">
        <v>93</v>
      </c>
      <c r="B3" s="5">
        <v>4985612</v>
      </c>
      <c r="C3" s="29">
        <f>B3*(1+'Income Statement'!$J$33)</f>
        <v>5910350.3635945283</v>
      </c>
      <c r="D3" s="29">
        <f>C3*(1+'Income Statement'!$J$33)</f>
        <v>7006610.5064818468</v>
      </c>
      <c r="E3" s="29">
        <f>D3*(1+'Income Statement'!$J$33)</f>
        <v>8306206.5308231423</v>
      </c>
      <c r="F3" s="29">
        <f>E3*(1+'Income Statement'!$J$33)</f>
        <v>9846853.4634347409</v>
      </c>
      <c r="G3" s="29">
        <f>F3*(1+'Income Statement'!$J$33)</f>
        <v>11673261.767637266</v>
      </c>
      <c r="H3" s="29">
        <f>G3*(1+'Income Statement'!$J$33)</f>
        <v>13838434.866710251</v>
      </c>
      <c r="I3" s="29">
        <f>H3*(1+'Income Statement'!$J$33)</f>
        <v>16405207.333831862</v>
      </c>
      <c r="J3" s="29">
        <f>I3*(1+'Income Statement'!$J$33)</f>
        <v>19448068.387663696</v>
      </c>
      <c r="K3" s="29">
        <f>J3*(1+'Income Statement'!$J$33)</f>
        <v>23055323.612475134</v>
      </c>
      <c r="L3" s="29">
        <f>K3*(1+'Income Statement'!$J$33)</f>
        <v>27331657.637173116</v>
      </c>
    </row>
    <row r="4" spans="1:16" ht="14" x14ac:dyDescent="0.15">
      <c r="A4" s="3" t="s">
        <v>94</v>
      </c>
      <c r="B4" s="16">
        <v>2099949</v>
      </c>
      <c r="C4" s="30">
        <f>'Income Statement'!$J$36*Proforma!C3</f>
        <v>2752309.9438142846</v>
      </c>
      <c r="D4" s="30">
        <f>'Income Statement'!$J$36*Proforma!D3</f>
        <v>3262812.2840581243</v>
      </c>
      <c r="E4" s="30">
        <f>'Income Statement'!$J$36*Proforma!E3</f>
        <v>3868003.3202390457</v>
      </c>
      <c r="F4" s="30">
        <f>'Income Statement'!$J$36*Proforma!F3</f>
        <v>4585446.0455726776</v>
      </c>
      <c r="G4" s="30">
        <f>'Income Statement'!$J$36*Proforma!G3</f>
        <v>5435961.0620909864</v>
      </c>
      <c r="H4" s="30">
        <f>'Income Statement'!$J$36*Proforma!H3</f>
        <v>6444230.8065319089</v>
      </c>
      <c r="I4" s="30">
        <f>'Income Statement'!$J$36*Proforma!I3</f>
        <v>7639515.8489013845</v>
      </c>
      <c r="J4" s="30">
        <f>'Income Statement'!$J$36*Proforma!J3</f>
        <v>9056504.0511055551</v>
      </c>
      <c r="K4" s="30">
        <f>'Income Statement'!$J$36*Proforma!K3</f>
        <v>10736317.228726791</v>
      </c>
      <c r="L4" s="30">
        <f>'Income Statement'!$J$36*Proforma!L3</f>
        <v>12727704.529849414</v>
      </c>
    </row>
    <row r="5" spans="1:16" ht="14" x14ac:dyDescent="0.15">
      <c r="A5" s="1" t="s">
        <v>95</v>
      </c>
      <c r="B5" s="5">
        <f t="shared" ref="B5:L5" si="0">B3-B4</f>
        <v>2885663</v>
      </c>
      <c r="C5" s="5">
        <f t="shared" si="0"/>
        <v>3158040.4197802437</v>
      </c>
      <c r="D5" s="5">
        <f t="shared" si="0"/>
        <v>3743798.2224237225</v>
      </c>
      <c r="E5" s="5">
        <f t="shared" si="0"/>
        <v>4438203.2105840966</v>
      </c>
      <c r="F5" s="5">
        <f t="shared" si="0"/>
        <v>5261407.4178620633</v>
      </c>
      <c r="G5" s="5">
        <f t="shared" si="0"/>
        <v>6237300.7055462794</v>
      </c>
      <c r="H5" s="5">
        <f t="shared" si="0"/>
        <v>7394204.0601783423</v>
      </c>
      <c r="I5" s="5">
        <f t="shared" si="0"/>
        <v>8765691.484930478</v>
      </c>
      <c r="J5" s="5">
        <f t="shared" si="0"/>
        <v>10391564.336558141</v>
      </c>
      <c r="K5" s="5">
        <f t="shared" si="0"/>
        <v>12319006.383748343</v>
      </c>
      <c r="L5" s="5">
        <f t="shared" si="0"/>
        <v>14603953.107323702</v>
      </c>
    </row>
    <row r="6" spans="1:16" ht="14" x14ac:dyDescent="0.15">
      <c r="A6" s="3" t="s">
        <v>96</v>
      </c>
      <c r="B6" s="16">
        <v>1706571</v>
      </c>
      <c r="C6" s="30">
        <f>C3*'Income Statement'!$J$37</f>
        <v>2006863.0573790015</v>
      </c>
      <c r="D6" s="30">
        <f>D3*'Income Statement'!$J$37</f>
        <v>2379098.8550381395</v>
      </c>
      <c r="E6" s="30">
        <f>E3*'Income Statement'!$J$37</f>
        <v>2820377.4748018887</v>
      </c>
      <c r="F6" s="30">
        <f>F3*'Income Statement'!$J$37</f>
        <v>3343505.0769432443</v>
      </c>
      <c r="G6" s="30">
        <f>G3*'Income Statement'!$J$37</f>
        <v>3963663.1264510066</v>
      </c>
      <c r="H6" s="30">
        <f>H3*'Income Statement'!$J$37</f>
        <v>4698848.9679072369</v>
      </c>
      <c r="I6" s="30">
        <f>I3*'Income Statement'!$J$37</f>
        <v>5570398.1188159669</v>
      </c>
      <c r="J6" s="30">
        <f>J3*'Income Statement'!$J$37</f>
        <v>6603603.4386370685</v>
      </c>
      <c r="K6" s="30">
        <f>K3*'Income Statement'!$J$37</f>
        <v>7828449.1421680376</v>
      </c>
      <c r="L6" s="30">
        <f>L3*'Income Statement'!$J$37</f>
        <v>9280480.9587657712</v>
      </c>
    </row>
    <row r="7" spans="1:16" x14ac:dyDescent="0.15">
      <c r="A7" s="15" t="s">
        <v>186</v>
      </c>
      <c r="B7" s="5">
        <f t="shared" ref="B7:L7" si="1">B5-B6</f>
        <v>1179092</v>
      </c>
      <c r="C7" s="5">
        <f t="shared" si="1"/>
        <v>1151177.3624012421</v>
      </c>
      <c r="D7" s="5">
        <f t="shared" si="1"/>
        <v>1364699.367385583</v>
      </c>
      <c r="E7" s="5">
        <f t="shared" si="1"/>
        <v>1617825.7357822079</v>
      </c>
      <c r="F7" s="5">
        <f t="shared" si="1"/>
        <v>1917902.340918819</v>
      </c>
      <c r="G7" s="5">
        <f t="shared" si="1"/>
        <v>2273637.5790952728</v>
      </c>
      <c r="H7" s="5">
        <f t="shared" si="1"/>
        <v>2695355.0922711054</v>
      </c>
      <c r="I7" s="5">
        <f t="shared" si="1"/>
        <v>3195293.3661145112</v>
      </c>
      <c r="J7" s="5">
        <f t="shared" si="1"/>
        <v>3787960.8979210723</v>
      </c>
      <c r="K7" s="5">
        <f t="shared" si="1"/>
        <v>4490557.2415803056</v>
      </c>
      <c r="L7" s="5">
        <f t="shared" si="1"/>
        <v>5323472.1485579312</v>
      </c>
    </row>
    <row r="8" spans="1:16" ht="14" x14ac:dyDescent="0.15">
      <c r="A8" s="3" t="s">
        <v>98</v>
      </c>
      <c r="B8" s="568" t="s">
        <v>99</v>
      </c>
      <c r="C8" s="568"/>
      <c r="D8" s="568"/>
      <c r="E8" s="568"/>
      <c r="F8" s="568"/>
      <c r="G8" s="568"/>
      <c r="H8" s="568"/>
      <c r="I8" s="568"/>
      <c r="J8" s="568"/>
      <c r="K8" s="568"/>
      <c r="L8" s="568"/>
    </row>
    <row r="9" spans="1:16" ht="14" x14ac:dyDescent="0.15">
      <c r="A9" s="3" t="s">
        <v>100</v>
      </c>
      <c r="B9" s="4">
        <v>3517</v>
      </c>
      <c r="C9" s="28">
        <f>C3*'Income Statement'!$J$40</f>
        <v>7533.2584890224616</v>
      </c>
      <c r="D9" s="28">
        <f>D3*'Income Statement'!$J$40</f>
        <v>8930.5379258645626</v>
      </c>
      <c r="E9" s="28">
        <f>E3*'Income Statement'!$J$40</f>
        <v>10586.986728455473</v>
      </c>
      <c r="F9" s="28">
        <f>F3*'Income Statement'!$J$40</f>
        <v>12550.675997229077</v>
      </c>
      <c r="G9" s="28">
        <f>G3*'Income Statement'!$J$40</f>
        <v>14878.593128302</v>
      </c>
      <c r="H9" s="28">
        <f>H3*'Income Statement'!$J$40</f>
        <v>17638.295620604811</v>
      </c>
      <c r="I9" s="28">
        <f>I3*'Income Statement'!$J$40</f>
        <v>20909.871633498438</v>
      </c>
      <c r="J9" s="28">
        <f>J3*'Income Statement'!$J$40</f>
        <v>24788.264191389626</v>
      </c>
      <c r="K9" s="28">
        <f>K3*'Income Statement'!$J$40</f>
        <v>29386.026485104921</v>
      </c>
      <c r="L9" s="28">
        <f>L3*'Income Statement'!$J$40</f>
        <v>34836.588230459638</v>
      </c>
    </row>
    <row r="10" spans="1:16" ht="14" x14ac:dyDescent="0.15">
      <c r="A10" s="3" t="s">
        <v>101</v>
      </c>
      <c r="B10" s="568" t="s">
        <v>102</v>
      </c>
      <c r="C10" s="568"/>
      <c r="D10" s="568"/>
      <c r="E10" s="568"/>
      <c r="F10" s="568"/>
      <c r="G10" s="568"/>
      <c r="H10" s="568"/>
      <c r="I10" s="568"/>
      <c r="J10" s="568"/>
      <c r="K10" s="568"/>
      <c r="L10" s="568"/>
    </row>
    <row r="11" spans="1:16" ht="14" x14ac:dyDescent="0.15">
      <c r="A11" s="17" t="s">
        <v>187</v>
      </c>
      <c r="B11" s="5">
        <f t="shared" ref="B11:L11" si="2">B7-B9</f>
        <v>1175575</v>
      </c>
      <c r="C11" s="5">
        <f t="shared" si="2"/>
        <v>1143644.1039122196</v>
      </c>
      <c r="D11" s="5">
        <f t="shared" si="2"/>
        <v>1355768.8294597184</v>
      </c>
      <c r="E11" s="5">
        <f t="shared" si="2"/>
        <v>1607238.7490537525</v>
      </c>
      <c r="F11" s="5">
        <f t="shared" si="2"/>
        <v>1905351.6649215899</v>
      </c>
      <c r="G11" s="5">
        <f t="shared" si="2"/>
        <v>2258758.9859669707</v>
      </c>
      <c r="H11" s="5">
        <f t="shared" si="2"/>
        <v>2677716.7966505005</v>
      </c>
      <c r="I11" s="5">
        <f t="shared" si="2"/>
        <v>3174383.4944810127</v>
      </c>
      <c r="J11" s="5">
        <f t="shared" si="2"/>
        <v>3763172.6337296828</v>
      </c>
      <c r="K11" s="5">
        <f t="shared" si="2"/>
        <v>4461171.2150952006</v>
      </c>
      <c r="L11" s="5">
        <f t="shared" si="2"/>
        <v>5288635.5603274712</v>
      </c>
    </row>
    <row r="12" spans="1:16" ht="16" x14ac:dyDescent="0.2">
      <c r="A12" s="3" t="s">
        <v>105</v>
      </c>
      <c r="B12" s="16">
        <v>277208</v>
      </c>
      <c r="C12" s="83">
        <f>C11*'Income Statement'!$J$38</f>
        <v>247363.32290870472</v>
      </c>
      <c r="D12" s="83">
        <f>D11*'Income Statement'!$J$38</f>
        <v>293244.62182243896</v>
      </c>
      <c r="E12" s="83">
        <f>E11*'Income Statement'!$J$38</f>
        <v>347636.04893649818</v>
      </c>
      <c r="F12" s="83">
        <f>F11*'Income Statement'!$J$38</f>
        <v>412116.07486310537</v>
      </c>
      <c r="G12" s="83">
        <f>G11*'Income Statement'!$J$38</f>
        <v>488555.94717565371</v>
      </c>
      <c r="H12" s="83">
        <f>H11*'Income Statement'!$J$38</f>
        <v>579173.99509345985</v>
      </c>
      <c r="I12" s="83">
        <f>I11*'Income Statement'!$J$38</f>
        <v>686600.0066762371</v>
      </c>
      <c r="J12" s="83">
        <f>J11*'Income Statement'!$J$38</f>
        <v>813951.54679162777</v>
      </c>
      <c r="K12" s="83">
        <f>K11*'Income Statement'!$J$38</f>
        <v>964924.43064727599</v>
      </c>
      <c r="L12" s="83">
        <f>L11*'Income Statement'!$J$38</f>
        <v>1143899.9784815528</v>
      </c>
    </row>
    <row r="13" spans="1:16" ht="14" x14ac:dyDescent="0.15">
      <c r="A13" s="1" t="s">
        <v>106</v>
      </c>
      <c r="B13" s="5">
        <f t="shared" ref="B13:L13" si="3">B11-B12</f>
        <v>898367</v>
      </c>
      <c r="C13" s="5">
        <f t="shared" si="3"/>
        <v>896280.78100351489</v>
      </c>
      <c r="D13" s="5">
        <f t="shared" si="3"/>
        <v>1062524.2076372795</v>
      </c>
      <c r="E13" s="5">
        <f t="shared" si="3"/>
        <v>1259602.7001172544</v>
      </c>
      <c r="F13" s="5">
        <f t="shared" si="3"/>
        <v>1493235.5900584846</v>
      </c>
      <c r="G13" s="5">
        <f t="shared" si="3"/>
        <v>1770203.038791317</v>
      </c>
      <c r="H13" s="5">
        <f t="shared" si="3"/>
        <v>2098542.8015570408</v>
      </c>
      <c r="I13" s="5">
        <f t="shared" si="3"/>
        <v>2487783.4878047756</v>
      </c>
      <c r="J13" s="5">
        <f t="shared" si="3"/>
        <v>2949221.0869380552</v>
      </c>
      <c r="K13" s="5">
        <f t="shared" si="3"/>
        <v>3496246.7844479247</v>
      </c>
      <c r="L13" s="5">
        <f t="shared" si="3"/>
        <v>4144735.5818459187</v>
      </c>
    </row>
    <row r="14" spans="1:16" ht="16" x14ac:dyDescent="0.2">
      <c r="A14" s="1"/>
      <c r="B14" s="6"/>
      <c r="C14" s="76"/>
      <c r="D14" s="76"/>
      <c r="E14" s="76"/>
      <c r="F14" s="76"/>
      <c r="G14" s="76"/>
      <c r="H14" s="76"/>
    </row>
    <row r="15" spans="1:16" ht="16" x14ac:dyDescent="0.2">
      <c r="A15" s="8" t="s">
        <v>188</v>
      </c>
      <c r="B15" s="6"/>
    </row>
    <row r="16" spans="1:16" ht="16" x14ac:dyDescent="0.2">
      <c r="A16" t="s">
        <v>54</v>
      </c>
      <c r="B16" s="81">
        <v>2025</v>
      </c>
      <c r="C16" s="82">
        <v>2026</v>
      </c>
      <c r="D16" s="82">
        <v>2027</v>
      </c>
      <c r="E16" s="82">
        <v>2028</v>
      </c>
      <c r="F16" s="82">
        <v>2029</v>
      </c>
      <c r="G16" s="82">
        <v>2030</v>
      </c>
      <c r="H16" s="82">
        <v>2031</v>
      </c>
      <c r="I16" s="82">
        <v>2032</v>
      </c>
      <c r="J16" s="82">
        <v>2033</v>
      </c>
      <c r="K16" s="82">
        <v>2034</v>
      </c>
      <c r="L16" s="82">
        <v>2035</v>
      </c>
    </row>
    <row r="17" spans="1:16" ht="14" x14ac:dyDescent="0.15">
      <c r="A17" s="2" t="s">
        <v>6</v>
      </c>
      <c r="B17" s="5"/>
      <c r="D17" s="15"/>
    </row>
    <row r="18" spans="1:16" x14ac:dyDescent="0.15">
      <c r="A18" s="19" t="s">
        <v>7</v>
      </c>
      <c r="B18" s="4">
        <f>1889188</f>
        <v>1889188</v>
      </c>
      <c r="C18" s="27">
        <f>I13</f>
        <v>2487783.4878047756</v>
      </c>
      <c r="D18" s="27">
        <f>('Income Statement'!$J$43*Proforma!D3)</f>
        <v>2335668.7411201955</v>
      </c>
      <c r="E18" s="27">
        <f>('Income Statement'!$J$43*Proforma!E3)</f>
        <v>2768891.8819427029</v>
      </c>
      <c r="F18" s="27">
        <f>('Income Statement'!$J$43*Proforma!F3)+693973</f>
        <v>3976442.8635180579</v>
      </c>
      <c r="G18" s="27">
        <f>('Income Statement'!$J$43*Proforma!G3)</f>
        <v>3891307.0153337317</v>
      </c>
      <c r="H18" s="27">
        <f>('Income Statement'!$J$43*Proforma!H3)+1893949</f>
        <v>6507021.1429857882</v>
      </c>
      <c r="I18" s="27">
        <f>('Income Statement'!$J$43*Proforma!I3)</f>
        <v>5468711.287116576</v>
      </c>
      <c r="J18" s="27">
        <f>('Income Statement'!$J$43*Proforma!J3)+3580353</f>
        <v>10063408.58960524</v>
      </c>
      <c r="K18" s="27">
        <f>('Income Statement'!$J$43*Proforma!K3)</f>
        <v>7685541.9076387947</v>
      </c>
      <c r="L18" s="27">
        <f>('Income Statement'!$J$43*Proforma!L3)+5950369</f>
        <v>15061436.088300081</v>
      </c>
    </row>
    <row r="19" spans="1:16" x14ac:dyDescent="0.15">
      <c r="A19" s="19" t="s">
        <v>8</v>
      </c>
      <c r="B19" s="4">
        <v>332872</v>
      </c>
      <c r="C19" s="27">
        <f>C3*('Balance Sheet'!$J$51/365)</f>
        <v>971564.44333060738</v>
      </c>
      <c r="D19" s="27">
        <f>D3*('Balance Sheet'!$J$51/365)</f>
        <v>1151771.5901066049</v>
      </c>
      <c r="E19" s="27">
        <f>E3*('Balance Sheet'!$J$51/365)</f>
        <v>1365403.813285996</v>
      </c>
      <c r="F19" s="27">
        <f>F3*('Balance Sheet'!$J$51/365)</f>
        <v>1618660.843304341</v>
      </c>
      <c r="G19" s="27">
        <f>G3*('Balance Sheet'!$J$51/365)</f>
        <v>1918892.34536503</v>
      </c>
      <c r="H19" s="27">
        <f>H3*('Balance Sheet'!$J$51/365)</f>
        <v>2274811.2109660688</v>
      </c>
      <c r="I19" s="27">
        <f>I3*('Balance Sheet'!$J$51/365)</f>
        <v>2696746.4110408537</v>
      </c>
      <c r="J19" s="27">
        <f>J3*('Balance Sheet'!$J$51/365)</f>
        <v>3196942.7486570459</v>
      </c>
      <c r="K19" s="27">
        <f>K3*('Balance Sheet'!$J$51/365)</f>
        <v>3789916.2102698847</v>
      </c>
      <c r="L19" s="27">
        <f>L3*('Balance Sheet'!$J$51/365)</f>
        <v>4492875.2280284576</v>
      </c>
    </row>
    <row r="20" spans="1:16" x14ac:dyDescent="0.15">
      <c r="A20" s="19" t="s">
        <v>9</v>
      </c>
      <c r="B20" s="4">
        <v>495226</v>
      </c>
      <c r="C20" s="27">
        <f>C4 * ('Balance Sheet'!$J$52/365)</f>
        <v>603246.01508258295</v>
      </c>
      <c r="D20" s="27">
        <f>D4 * ('Balance Sheet'!$J$52/365)</f>
        <v>715136.93897164369</v>
      </c>
      <c r="E20" s="27">
        <f>E4 * ('Balance Sheet'!$J$52/365)</f>
        <v>847781.54964143457</v>
      </c>
      <c r="F20" s="27">
        <f>F4 * ('Balance Sheet'!$J$52/365)</f>
        <v>1005029.2702625046</v>
      </c>
      <c r="G20" s="27">
        <f>G4 * ('Balance Sheet'!$J$52/365)</f>
        <v>1191443.5204582983</v>
      </c>
      <c r="H20" s="27">
        <f>H4 * ('Balance Sheet'!$J$52/365)</f>
        <v>1412434.1493768566</v>
      </c>
      <c r="I20" s="27">
        <f>I4 * ('Balance Sheet'!$J$52/365)</f>
        <v>1674414.4326359199</v>
      </c>
      <c r="J20" s="27">
        <f>J4 * ('Balance Sheet'!$J$52/365)</f>
        <v>1984987.1892834092</v>
      </c>
      <c r="K20" s="27">
        <f>K4 * ('Balance Sheet'!$J$52/365)</f>
        <v>2353165.419994913</v>
      </c>
      <c r="L20" s="27">
        <f>L4 * ('Balance Sheet'!$J$52/365)</f>
        <v>2789633.8695560358</v>
      </c>
    </row>
    <row r="21" spans="1:16" x14ac:dyDescent="0.15">
      <c r="A21" s="19" t="s">
        <v>189</v>
      </c>
      <c r="B21" s="4">
        <v>106576</v>
      </c>
      <c r="C21" s="27">
        <f>'Balance Sheet'!$J$53*Proforma!C4</f>
        <v>142160.55781677403</v>
      </c>
      <c r="D21" s="27">
        <f>'Balance Sheet'!$J$53*Proforma!D4</f>
        <v>168528.69910076665</v>
      </c>
      <c r="E21" s="27">
        <f>'Balance Sheet'!$J$53*Proforma!E4</f>
        <v>199787.64051561354</v>
      </c>
      <c r="F21" s="27">
        <f>'Balance Sheet'!$J$53*Proforma!F4</f>
        <v>236844.53458535273</v>
      </c>
      <c r="G21" s="27">
        <f>'Balance Sheet'!$J$53*Proforma!G4</f>
        <v>280774.79376692697</v>
      </c>
      <c r="H21" s="27">
        <f>'Balance Sheet'!$J$53*Proforma!H4</f>
        <v>332853.29954046477</v>
      </c>
      <c r="I21" s="27">
        <f>'Balance Sheet'!$J$53*Proforma!I4</f>
        <v>394591.400205757</v>
      </c>
      <c r="J21" s="27">
        <f>'Balance Sheet'!$J$53*Proforma!J4</f>
        <v>467780.77108234062</v>
      </c>
      <c r="K21" s="27">
        <f>'Balance Sheet'!$J$53*Proforma!K4</f>
        <v>554545.40996151336</v>
      </c>
      <c r="L21" s="27">
        <f>'Balance Sheet'!$J$53*Proforma!L4</f>
        <v>657403.2767483124</v>
      </c>
    </row>
    <row r="22" spans="1:16" x14ac:dyDescent="0.15">
      <c r="A22" s="19" t="s">
        <v>12</v>
      </c>
      <c r="B22" s="24" t="s">
        <v>190</v>
      </c>
      <c r="D22" s="15"/>
    </row>
    <row r="23" spans="1:16" x14ac:dyDescent="0.15">
      <c r="A23" s="21" t="s">
        <v>13</v>
      </c>
      <c r="B23" s="36">
        <f t="shared" ref="B23:L23" si="4">SUM(B18:B21)</f>
        <v>2823862</v>
      </c>
      <c r="C23" s="36">
        <f t="shared" si="4"/>
        <v>4204754.5040347399</v>
      </c>
      <c r="D23" s="36">
        <f t="shared" si="4"/>
        <v>4371105.9692992102</v>
      </c>
      <c r="E23" s="36">
        <f t="shared" si="4"/>
        <v>5181864.8853857471</v>
      </c>
      <c r="F23" s="36">
        <f t="shared" si="4"/>
        <v>6836977.511670257</v>
      </c>
      <c r="G23" s="36">
        <f t="shared" si="4"/>
        <v>7282417.6749239862</v>
      </c>
      <c r="H23" s="36">
        <f t="shared" si="4"/>
        <v>10527119.802869178</v>
      </c>
      <c r="I23" s="36">
        <f t="shared" si="4"/>
        <v>10234463.530999107</v>
      </c>
      <c r="J23" s="36">
        <f t="shared" si="4"/>
        <v>15713119.298628034</v>
      </c>
      <c r="K23" s="36">
        <f t="shared" si="4"/>
        <v>14383168.947865106</v>
      </c>
      <c r="L23" s="36">
        <f t="shared" si="4"/>
        <v>23001348.462632887</v>
      </c>
      <c r="M23" s="15"/>
      <c r="N23" s="15"/>
      <c r="O23" s="15"/>
      <c r="P23" s="15"/>
    </row>
    <row r="24" spans="1:16" x14ac:dyDescent="0.15">
      <c r="A24" s="19" t="s">
        <v>14</v>
      </c>
      <c r="B24" s="25">
        <v>728563</v>
      </c>
      <c r="C24" s="27">
        <f>C3*'Balance Sheet'!$J$58</f>
        <v>998730.71970970265</v>
      </c>
      <c r="D24" s="27">
        <f>D3*'Balance Sheet'!$J$58</f>
        <v>1183976.7058425858</v>
      </c>
      <c r="E24" s="27">
        <f>E3*'Balance Sheet'!$J$58</f>
        <v>1403582.3794278775</v>
      </c>
      <c r="F24" s="27">
        <f>F3*'Balance Sheet'!$J$58</f>
        <v>1663920.8238800832</v>
      </c>
      <c r="G24" s="27">
        <f>G3*'Balance Sheet'!$J$58</f>
        <v>1972547.2111371998</v>
      </c>
      <c r="H24" s="27">
        <f>H3*'Balance Sheet'!$J$58</f>
        <v>2338418.0571115687</v>
      </c>
      <c r="I24" s="27">
        <f>I3*'Balance Sheet'!$J$58</f>
        <v>2772151.1449517878</v>
      </c>
      <c r="J24" s="27">
        <f>J3*'Balance Sheet'!$J$58</f>
        <v>3286333.6592387832</v>
      </c>
      <c r="K24" s="27">
        <f>K3*'Balance Sheet'!$J$58</f>
        <v>3895887.4733482827</v>
      </c>
      <c r="L24" s="27">
        <f>L3*'Balance Sheet'!$J$58</f>
        <v>4618502.1908298107</v>
      </c>
    </row>
    <row r="25" spans="1:16" x14ac:dyDescent="0.15">
      <c r="A25" s="19" t="s">
        <v>15</v>
      </c>
      <c r="B25" s="4">
        <v>402964</v>
      </c>
      <c r="C25" s="27">
        <f>'Balance Sheet'!$J$57*Proforma!C24</f>
        <v>547069.97732597589</v>
      </c>
      <c r="D25" s="27">
        <f>'Balance Sheet'!$J$57*Proforma!D24</f>
        <v>648541.29029700498</v>
      </c>
      <c r="E25" s="27">
        <f>'Balance Sheet'!$J$57*Proforma!E24</f>
        <v>768833.64588198357</v>
      </c>
      <c r="F25" s="27">
        <f>'Balance Sheet'!$J$57*Proforma!F24</f>
        <v>911437.99767857767</v>
      </c>
      <c r="G25" s="27">
        <f>'Balance Sheet'!$J$57*Proforma!G24</f>
        <v>1080492.806294082</v>
      </c>
      <c r="H25" s="27">
        <f>'Balance Sheet'!$J$57*Proforma!H24</f>
        <v>1280904.1398611644</v>
      </c>
      <c r="I25" s="27">
        <f>'Balance Sheet'!$J$57*Proforma!I24</f>
        <v>1518488.050967097</v>
      </c>
      <c r="J25" s="27">
        <f>'Balance Sheet'!$J$57*Proforma!J24</f>
        <v>1800139.361857146</v>
      </c>
      <c r="K25" s="27">
        <f>'Balance Sheet'!$J$57*Proforma!K24</f>
        <v>2134031.7561561558</v>
      </c>
      <c r="L25" s="27">
        <f>'Balance Sheet'!$J$57*Proforma!L24</f>
        <v>2529854.9838855909</v>
      </c>
    </row>
    <row r="26" spans="1:16" x14ac:dyDescent="0.15">
      <c r="A26" s="19" t="s">
        <v>16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6" x14ac:dyDescent="0.15">
      <c r="A27" s="19" t="s">
        <v>18</v>
      </c>
      <c r="B27" s="4">
        <v>237352</v>
      </c>
      <c r="C27" s="34">
        <f>'Balance Sheet'!$J$54</f>
        <v>214882.5</v>
      </c>
      <c r="D27" s="34">
        <f>'Balance Sheet'!$J$54</f>
        <v>214882.5</v>
      </c>
      <c r="E27" s="34">
        <f>'Balance Sheet'!$J$54</f>
        <v>214882.5</v>
      </c>
      <c r="F27" s="34">
        <f>'Balance Sheet'!$J$54</f>
        <v>214882.5</v>
      </c>
      <c r="G27" s="34">
        <f>'Balance Sheet'!$J$54</f>
        <v>214882.5</v>
      </c>
      <c r="H27" s="34">
        <f>'Balance Sheet'!$J$54</f>
        <v>214882.5</v>
      </c>
      <c r="I27" s="34">
        <f>'Balance Sheet'!$J$54</f>
        <v>214882.5</v>
      </c>
      <c r="J27" s="34">
        <f>'Balance Sheet'!$J$54</f>
        <v>214882.5</v>
      </c>
      <c r="K27" s="34">
        <f>'Balance Sheet'!$J$54</f>
        <v>214882.5</v>
      </c>
      <c r="L27" s="34">
        <f>'Balance Sheet'!$J$54</f>
        <v>214882.5</v>
      </c>
    </row>
    <row r="28" spans="1:16" x14ac:dyDescent="0.15">
      <c r="A28" s="19" t="s">
        <v>19</v>
      </c>
      <c r="B28" s="4">
        <v>13990</v>
      </c>
      <c r="C28" s="4">
        <f>'Balance Sheet'!$J$55</f>
        <v>13990</v>
      </c>
      <c r="D28" s="4">
        <f>'Balance Sheet'!$J$55</f>
        <v>13990</v>
      </c>
      <c r="E28" s="4">
        <f>'Balance Sheet'!$J$55</f>
        <v>13990</v>
      </c>
      <c r="F28" s="4">
        <f>'Balance Sheet'!$J$55</f>
        <v>13990</v>
      </c>
      <c r="G28" s="4">
        <f>'Balance Sheet'!$J$55</f>
        <v>13990</v>
      </c>
      <c r="H28" s="4">
        <f>'Balance Sheet'!$J$55</f>
        <v>13990</v>
      </c>
      <c r="I28" s="4">
        <f>'Balance Sheet'!$J$55</f>
        <v>13990</v>
      </c>
      <c r="J28" s="4">
        <f>'Balance Sheet'!$J$55</f>
        <v>13990</v>
      </c>
      <c r="K28" s="4">
        <f>'Balance Sheet'!$J$55</f>
        <v>13990</v>
      </c>
      <c r="L28" s="4">
        <f>'Balance Sheet'!$J$55</f>
        <v>13990</v>
      </c>
    </row>
    <row r="29" spans="1:16" x14ac:dyDescent="0.15">
      <c r="A29" s="19" t="s">
        <v>20</v>
      </c>
      <c r="B29" s="4">
        <v>15699</v>
      </c>
      <c r="C29" s="27">
        <f>'Balance Sheet'!$J$59</f>
        <v>34981.333333333336</v>
      </c>
      <c r="D29" s="27">
        <f>'Balance Sheet'!$J$59</f>
        <v>34981.333333333336</v>
      </c>
      <c r="E29" s="27">
        <f>'Balance Sheet'!$J$59</f>
        <v>34981.333333333336</v>
      </c>
      <c r="F29" s="27">
        <f>'Balance Sheet'!$J$59</f>
        <v>34981.333333333336</v>
      </c>
      <c r="G29" s="27">
        <f>'Balance Sheet'!$J$59</f>
        <v>34981.333333333336</v>
      </c>
      <c r="H29" s="27">
        <f>'Balance Sheet'!$J$59</f>
        <v>34981.333333333336</v>
      </c>
      <c r="I29" s="27">
        <f>'Balance Sheet'!$J$59</f>
        <v>34981.333333333336</v>
      </c>
      <c r="J29" s="27">
        <f>'Balance Sheet'!$J$59</f>
        <v>34981.333333333336</v>
      </c>
      <c r="K29" s="27">
        <f>'Balance Sheet'!$J$59</f>
        <v>34981.333333333336</v>
      </c>
      <c r="L29" s="27">
        <f>'Balance Sheet'!$J$59</f>
        <v>34981.333333333336</v>
      </c>
    </row>
    <row r="30" spans="1:16" x14ac:dyDescent="0.15">
      <c r="A30" s="19" t="s">
        <v>21</v>
      </c>
      <c r="B30" s="24" t="s">
        <v>191</v>
      </c>
      <c r="D30" s="15"/>
    </row>
    <row r="31" spans="1:16" x14ac:dyDescent="0.15">
      <c r="A31" s="19" t="s">
        <v>23</v>
      </c>
      <c r="B31" s="4">
        <v>39546</v>
      </c>
      <c r="C31" s="27">
        <f>C3*'Balance Sheet'!$J$56</f>
        <v>73619.802670458041</v>
      </c>
      <c r="D31" s="27">
        <f>D3*'Balance Sheet'!$J$56</f>
        <v>87274.907770821141</v>
      </c>
      <c r="E31" s="27">
        <f>E3*'Balance Sheet'!$J$56</f>
        <v>103462.7810740089</v>
      </c>
      <c r="F31" s="27">
        <f>F3*'Balance Sheet'!$J$56</f>
        <v>122653.2040077065</v>
      </c>
      <c r="G31" s="27">
        <f>G3*'Balance Sheet'!$J$56</f>
        <v>145403.09372309397</v>
      </c>
      <c r="H31" s="27">
        <f>H3*'Balance Sheet'!$J$56</f>
        <v>172372.66515205312</v>
      </c>
      <c r="I31" s="27">
        <f>I3*'Balance Sheet'!$J$56</f>
        <v>204344.59082559877</v>
      </c>
      <c r="J31" s="27">
        <f>J3*'Balance Sheet'!$J$56</f>
        <v>242246.71448252548</v>
      </c>
      <c r="K31" s="27">
        <f>K3*'Balance Sheet'!$J$56</f>
        <v>287178.97763030382</v>
      </c>
      <c r="L31" s="27">
        <f>L3*'Balance Sheet'!$J$56</f>
        <v>340445.34048256691</v>
      </c>
    </row>
    <row r="32" spans="1:16" x14ac:dyDescent="0.15">
      <c r="A32" s="22" t="s">
        <v>24</v>
      </c>
      <c r="B32" s="35">
        <f t="shared" ref="B32:L32" si="5">B24-B25+B27+B28+B29+B31</f>
        <v>632186</v>
      </c>
      <c r="C32" s="35">
        <f t="shared" si="5"/>
        <v>789134.37838751823</v>
      </c>
      <c r="D32" s="35">
        <f t="shared" si="5"/>
        <v>886564.15664973529</v>
      </c>
      <c r="E32" s="35">
        <f t="shared" si="5"/>
        <v>1002065.3479532362</v>
      </c>
      <c r="F32" s="35">
        <f t="shared" si="5"/>
        <v>1138989.8635425454</v>
      </c>
      <c r="G32" s="35">
        <f t="shared" si="5"/>
        <v>1301311.3318995452</v>
      </c>
      <c r="H32" s="35">
        <f t="shared" si="5"/>
        <v>1493740.4157357907</v>
      </c>
      <c r="I32" s="35">
        <f t="shared" si="5"/>
        <v>1721861.5181436227</v>
      </c>
      <c r="J32" s="35">
        <f t="shared" si="5"/>
        <v>1992294.845197496</v>
      </c>
      <c r="K32" s="35">
        <f t="shared" si="5"/>
        <v>2312888.5281557641</v>
      </c>
      <c r="L32" s="35">
        <f t="shared" si="5"/>
        <v>2692946.3807601202</v>
      </c>
    </row>
    <row r="33" spans="1:12" s="52" customFormat="1" x14ac:dyDescent="0.15">
      <c r="A33" s="50" t="s">
        <v>25</v>
      </c>
      <c r="B33" s="51">
        <f t="shared" ref="B33:L33" si="6">B23+B32</f>
        <v>3456048</v>
      </c>
      <c r="C33" s="51">
        <f t="shared" si="6"/>
        <v>4993888.8824222581</v>
      </c>
      <c r="D33" s="51">
        <f t="shared" si="6"/>
        <v>5257670.1259489451</v>
      </c>
      <c r="E33" s="51">
        <f t="shared" si="6"/>
        <v>6183930.2333389837</v>
      </c>
      <c r="F33" s="51">
        <f t="shared" si="6"/>
        <v>7975967.3752128026</v>
      </c>
      <c r="G33" s="51">
        <f t="shared" si="6"/>
        <v>8583729.0068235323</v>
      </c>
      <c r="H33" s="51">
        <f t="shared" si="6"/>
        <v>12020860.218604969</v>
      </c>
      <c r="I33" s="51">
        <f t="shared" si="6"/>
        <v>11956325.049142729</v>
      </c>
      <c r="J33" s="51">
        <f t="shared" si="6"/>
        <v>17705414.143825531</v>
      </c>
      <c r="K33" s="51">
        <f t="shared" si="6"/>
        <v>16696057.476020871</v>
      </c>
      <c r="L33" s="51">
        <f t="shared" si="6"/>
        <v>25694294.843393005</v>
      </c>
    </row>
    <row r="34" spans="1:12" x14ac:dyDescent="0.15">
      <c r="A34" s="23" t="s">
        <v>26</v>
      </c>
      <c r="D34" s="15"/>
    </row>
    <row r="35" spans="1:12" x14ac:dyDescent="0.15">
      <c r="A35" s="19" t="s">
        <v>28</v>
      </c>
      <c r="B35" s="4">
        <v>417955</v>
      </c>
      <c r="C35" s="27">
        <f>C4*('Balance Sheet'!$J$63/365)</f>
        <v>504182.65954729903</v>
      </c>
      <c r="D35" s="27">
        <f>D4*('Balance Sheet'!$J$63/365)</f>
        <v>597699.17217253079</v>
      </c>
      <c r="E35" s="27">
        <f>E4*('Balance Sheet'!$J$63/365)</f>
        <v>708561.25979519985</v>
      </c>
      <c r="F35" s="27">
        <f>F4*('Balance Sheet'!$J$63/365)</f>
        <v>839986.20419309742</v>
      </c>
      <c r="G35" s="27">
        <f>G4*('Balance Sheet'!$J$63/365)</f>
        <v>995788.03311751108</v>
      </c>
      <c r="H35" s="27">
        <f>H4*('Balance Sheet'!$J$63/365)</f>
        <v>1180488.2055802101</v>
      </c>
      <c r="I35" s="27">
        <f>I4*('Balance Sheet'!$J$63/365)</f>
        <v>1399446.8272039716</v>
      </c>
      <c r="J35" s="27">
        <f>J4*('Balance Sheet'!$J$63/365)</f>
        <v>1659018.2035818682</v>
      </c>
      <c r="K35" s="27">
        <f>K4*('Balance Sheet'!$J$63/365)</f>
        <v>1966735.2458935904</v>
      </c>
      <c r="L35" s="27">
        <f>L4*('Balance Sheet'!$J$63/365)</f>
        <v>2331528.0803362471</v>
      </c>
    </row>
    <row r="36" spans="1:12" x14ac:dyDescent="0.15">
      <c r="A36" s="19" t="s">
        <v>29</v>
      </c>
      <c r="B36" s="4">
        <v>125417</v>
      </c>
      <c r="C36" s="27">
        <f>C4*'Balance Sheet'!$J$64</f>
        <v>143389.26981219405</v>
      </c>
      <c r="D36" s="27">
        <f>D4*'Balance Sheet'!$J$64</f>
        <v>169985.31433454007</v>
      </c>
      <c r="E36" s="27">
        <f>E4*'Balance Sheet'!$J$64</f>
        <v>201514.43080265354</v>
      </c>
      <c r="F36" s="27">
        <f>F4*'Balance Sheet'!$J$64</f>
        <v>238891.61237657641</v>
      </c>
      <c r="G36" s="27">
        <f>G4*'Balance Sheet'!$J$64</f>
        <v>283201.56644150836</v>
      </c>
      <c r="H36" s="27">
        <f>H4*'Balance Sheet'!$J$64</f>
        <v>335730.19344227132</v>
      </c>
      <c r="I36" s="27">
        <f>I4*'Balance Sheet'!$J$64</f>
        <v>398001.904456502</v>
      </c>
      <c r="J36" s="27">
        <f>J4*'Balance Sheet'!$J$64</f>
        <v>471823.86048408935</v>
      </c>
      <c r="K36" s="27">
        <f>K4*'Balance Sheet'!$J$64</f>
        <v>559338.41730257217</v>
      </c>
      <c r="L36" s="27">
        <f>L4*'Balance Sheet'!$J$64</f>
        <v>663085.29786847543</v>
      </c>
    </row>
    <row r="37" spans="1:12" x14ac:dyDescent="0.15">
      <c r="A37" s="19" t="s">
        <v>30</v>
      </c>
      <c r="B37" s="4">
        <v>54453</v>
      </c>
      <c r="C37" s="34">
        <f>'Balance Sheet'!$J$67*C3</f>
        <v>93291.110032034718</v>
      </c>
      <c r="D37" s="34">
        <f>'Balance Sheet'!$J$67*D3</f>
        <v>110594.87703775856</v>
      </c>
      <c r="E37" s="34">
        <f>'Balance Sheet'!$J$67*E3</f>
        <v>131108.17121585243</v>
      </c>
      <c r="F37" s="34">
        <f>'Balance Sheet'!$J$67*F3</f>
        <v>155426.30020463429</v>
      </c>
      <c r="G37" s="34">
        <f>'Balance Sheet'!$J$67*G3</f>
        <v>184254.99014496367</v>
      </c>
      <c r="H37" s="34">
        <f>'Balance Sheet'!$J$67*H3</f>
        <v>218430.86626022891</v>
      </c>
      <c r="I37" s="34">
        <f>'Balance Sheet'!$J$67*I3</f>
        <v>258945.73220327048</v>
      </c>
      <c r="J37" s="34">
        <f>'Balance Sheet'!$J$67*J3</f>
        <v>306975.35277090379</v>
      </c>
      <c r="K37" s="34">
        <f>'Balance Sheet'!$J$67*K3</f>
        <v>363913.57527703117</v>
      </c>
      <c r="L37" s="34">
        <f>'Balance Sheet'!$J$67*L3</f>
        <v>431412.77980628778</v>
      </c>
    </row>
    <row r="38" spans="1:12" x14ac:dyDescent="0.15">
      <c r="A38" s="19" t="s">
        <v>31</v>
      </c>
      <c r="B38" s="4">
        <v>142120</v>
      </c>
      <c r="C38" s="27">
        <f>C4*'Balance Sheet'!$J$65</f>
        <v>150729.2132742689</v>
      </c>
      <c r="D38" s="27">
        <f>D4*'Balance Sheet'!$J$65</f>
        <v>178686.68088890438</v>
      </c>
      <c r="E38" s="27">
        <f>E4*'Balance Sheet'!$J$65</f>
        <v>211829.73912956635</v>
      </c>
      <c r="F38" s="27">
        <f>F4*'Balance Sheet'!$J$65</f>
        <v>251120.21867818167</v>
      </c>
      <c r="G38" s="27">
        <f>G4*'Balance Sheet'!$J$65</f>
        <v>297698.35193162411</v>
      </c>
      <c r="H38" s="27">
        <f>H4*'Balance Sheet'!$J$65</f>
        <v>352915.86320406938</v>
      </c>
      <c r="I38" s="27">
        <f>I4*'Balance Sheet'!$J$65</f>
        <v>418375.19654687296</v>
      </c>
      <c r="J38" s="27">
        <f>J4*'Balance Sheet'!$J$65</f>
        <v>495976.01959994948</v>
      </c>
      <c r="K38" s="27">
        <f>K4*'Balance Sheet'!$J$65</f>
        <v>587970.35304326296</v>
      </c>
      <c r="L38" s="27">
        <f>L4*'Balance Sheet'!$J$65</f>
        <v>697027.92553693557</v>
      </c>
    </row>
    <row r="39" spans="1:12" x14ac:dyDescent="0.15">
      <c r="A39" s="19" t="s">
        <v>32</v>
      </c>
      <c r="B39" s="24" t="s">
        <v>192</v>
      </c>
    </row>
    <row r="40" spans="1:12" x14ac:dyDescent="0.15">
      <c r="A40" s="19" t="s">
        <v>33</v>
      </c>
      <c r="B40" s="24" t="s">
        <v>193</v>
      </c>
    </row>
    <row r="41" spans="1:12" x14ac:dyDescent="0.15">
      <c r="A41" s="21" t="s">
        <v>34</v>
      </c>
      <c r="B41" s="35">
        <f t="shared" ref="B41:L41" si="7">SUM(B35:B38)</f>
        <v>739945</v>
      </c>
      <c r="C41" s="35">
        <f t="shared" si="7"/>
        <v>891592.25266579667</v>
      </c>
      <c r="D41" s="35">
        <f t="shared" si="7"/>
        <v>1056966.0444337339</v>
      </c>
      <c r="E41" s="35">
        <f t="shared" si="7"/>
        <v>1253013.6009432722</v>
      </c>
      <c r="F41" s="35">
        <f t="shared" si="7"/>
        <v>1485424.3354524898</v>
      </c>
      <c r="G41" s="35">
        <f t="shared" si="7"/>
        <v>1760942.941635607</v>
      </c>
      <c r="H41" s="35">
        <f t="shared" si="7"/>
        <v>2087565.1284867798</v>
      </c>
      <c r="I41" s="35">
        <f t="shared" si="7"/>
        <v>2474769.660410617</v>
      </c>
      <c r="J41" s="35">
        <f t="shared" si="7"/>
        <v>2933793.4364368105</v>
      </c>
      <c r="K41" s="35">
        <f t="shared" si="7"/>
        <v>3477957.5915164566</v>
      </c>
      <c r="L41" s="35">
        <f t="shared" si="7"/>
        <v>4123054.0835479461</v>
      </c>
    </row>
    <row r="42" spans="1:12" x14ac:dyDescent="0.15">
      <c r="A42" s="18" t="s">
        <v>35</v>
      </c>
      <c r="B42" s="4">
        <v>222522</v>
      </c>
      <c r="C42" s="34">
        <f>'Balance Sheet'!$J$61</f>
        <v>204296</v>
      </c>
      <c r="D42" s="34">
        <f>'Balance Sheet'!$J$61</f>
        <v>204296</v>
      </c>
      <c r="E42" s="34">
        <f>'Balance Sheet'!$J$61</f>
        <v>204296</v>
      </c>
      <c r="F42" s="34">
        <f>'Balance Sheet'!$J$61</f>
        <v>204296</v>
      </c>
      <c r="G42" s="34">
        <f>'Balance Sheet'!$J$61</f>
        <v>204296</v>
      </c>
      <c r="H42" s="34">
        <f>'Balance Sheet'!$J$61</f>
        <v>204296</v>
      </c>
      <c r="I42" s="34">
        <f>'Balance Sheet'!$J$61</f>
        <v>204296</v>
      </c>
      <c r="J42" s="34">
        <f>'Balance Sheet'!$J$61</f>
        <v>204296</v>
      </c>
      <c r="K42" s="34">
        <f>'Balance Sheet'!$J$61</f>
        <v>204296</v>
      </c>
      <c r="L42" s="34">
        <f>'Balance Sheet'!$J$61</f>
        <v>204296</v>
      </c>
    </row>
    <row r="43" spans="1:12" x14ac:dyDescent="0.15">
      <c r="A43" s="19" t="s">
        <v>37</v>
      </c>
      <c r="B43" s="24" t="s">
        <v>194</v>
      </c>
    </row>
    <row r="44" spans="1:12" x14ac:dyDescent="0.15">
      <c r="A44" s="19" t="s">
        <v>39</v>
      </c>
      <c r="B44" s="24" t="s">
        <v>195</v>
      </c>
    </row>
    <row r="45" spans="1:12" x14ac:dyDescent="0.15">
      <c r="A45" s="19" t="s">
        <v>41</v>
      </c>
      <c r="B45" s="13">
        <f>51189</f>
        <v>51189</v>
      </c>
      <c r="C45" s="27">
        <f>(C4*'Balance Sheet'!$J$69)</f>
        <v>51785.506657854778</v>
      </c>
      <c r="D45" s="27">
        <f>(D4*'Balance Sheet'!$J$69)</f>
        <v>61390.755659321032</v>
      </c>
      <c r="E45" s="27">
        <f>E4*'Balance Sheet'!$J$69</f>
        <v>72777.599827746511</v>
      </c>
      <c r="F45" s="27">
        <f>(F4*'Balance Sheet'!$J$69)</f>
        <v>86276.491953938385</v>
      </c>
      <c r="G45" s="27">
        <f>(G4*'Balance Sheet'!$J$69)+62825</f>
        <v>165104.17767961489</v>
      </c>
      <c r="H45" s="27">
        <f>(H4*'Balance Sheet'!$J$69)</f>
        <v>121250.06418206256</v>
      </c>
      <c r="I45" s="27">
        <f>(I4*'Balance Sheet'!$J$69)+62825</f>
        <v>206564.69753849946</v>
      </c>
      <c r="J45" s="27">
        <f>(J4*'Balance Sheet'!$J$69)</f>
        <v>170400.73989103804</v>
      </c>
      <c r="K45" s="27">
        <f>(K4*'Balance Sheet'!$J$69)+62826</f>
        <v>264832.91007879743</v>
      </c>
      <c r="L45" s="27">
        <f>(L4*'Balance Sheet'!$J$69)</f>
        <v>239475.43740524288</v>
      </c>
    </row>
    <row r="46" spans="1:12" x14ac:dyDescent="0.15">
      <c r="A46" s="21" t="s">
        <v>196</v>
      </c>
      <c r="B46" s="35">
        <f t="shared" ref="B46:L46" si="8">B42+B45</f>
        <v>273711</v>
      </c>
      <c r="C46" s="35">
        <f t="shared" si="8"/>
        <v>256081.50665785477</v>
      </c>
      <c r="D46" s="35">
        <f t="shared" si="8"/>
        <v>265686.75565932103</v>
      </c>
      <c r="E46" s="35">
        <f t="shared" si="8"/>
        <v>277073.59982774651</v>
      </c>
      <c r="F46" s="35">
        <f t="shared" si="8"/>
        <v>290572.49195393838</v>
      </c>
      <c r="G46" s="35">
        <f t="shared" si="8"/>
        <v>369400.17767961486</v>
      </c>
      <c r="H46" s="35">
        <f t="shared" si="8"/>
        <v>325546.06418206258</v>
      </c>
      <c r="I46" s="35">
        <f t="shared" si="8"/>
        <v>410860.69753849949</v>
      </c>
      <c r="J46" s="35">
        <f t="shared" si="8"/>
        <v>374696.73989103804</v>
      </c>
      <c r="K46" s="35">
        <f t="shared" si="8"/>
        <v>469128.91007879743</v>
      </c>
      <c r="L46" s="35">
        <f t="shared" si="8"/>
        <v>443771.43740524288</v>
      </c>
    </row>
    <row r="47" spans="1:12" x14ac:dyDescent="0.15">
      <c r="A47" s="19" t="s">
        <v>43</v>
      </c>
      <c r="B47" s="4">
        <v>1502</v>
      </c>
      <c r="C47" s="41">
        <f>B47+C58</f>
        <v>1502</v>
      </c>
      <c r="D47" s="41">
        <f>B47+D58</f>
        <v>1502</v>
      </c>
      <c r="E47" s="41">
        <f>B47+E58</f>
        <v>1502</v>
      </c>
      <c r="F47" s="41">
        <f t="shared" ref="F47:L48" si="9">E47</f>
        <v>1502</v>
      </c>
      <c r="G47" s="41">
        <f t="shared" si="9"/>
        <v>1502</v>
      </c>
      <c r="H47" s="41">
        <f t="shared" si="9"/>
        <v>1502</v>
      </c>
      <c r="I47" s="41">
        <f t="shared" si="9"/>
        <v>1502</v>
      </c>
      <c r="J47" s="41">
        <f t="shared" si="9"/>
        <v>1502</v>
      </c>
      <c r="K47" s="41">
        <f t="shared" si="9"/>
        <v>1502</v>
      </c>
      <c r="L47" s="41">
        <f t="shared" si="9"/>
        <v>1502</v>
      </c>
    </row>
    <row r="48" spans="1:12" x14ac:dyDescent="0.15">
      <c r="A48" s="19" t="s">
        <v>44</v>
      </c>
      <c r="B48" s="4">
        <v>253466</v>
      </c>
      <c r="C48" s="25">
        <f>B48</f>
        <v>253466</v>
      </c>
      <c r="D48" s="25">
        <f>C48</f>
        <v>253466</v>
      </c>
      <c r="E48" s="25">
        <f>D48</f>
        <v>253466</v>
      </c>
      <c r="F48" s="25">
        <f t="shared" si="9"/>
        <v>253466</v>
      </c>
      <c r="G48" s="25">
        <f t="shared" si="9"/>
        <v>253466</v>
      </c>
      <c r="H48" s="25">
        <f t="shared" si="9"/>
        <v>253466</v>
      </c>
      <c r="I48" s="25">
        <f t="shared" si="9"/>
        <v>253466</v>
      </c>
      <c r="J48" s="25">
        <f t="shared" si="9"/>
        <v>253466</v>
      </c>
      <c r="K48" s="25">
        <f t="shared" si="9"/>
        <v>253466</v>
      </c>
      <c r="L48" s="25">
        <f t="shared" si="9"/>
        <v>253466</v>
      </c>
    </row>
    <row r="49" spans="1:12" x14ac:dyDescent="0.15">
      <c r="A49" s="19" t="s">
        <v>45</v>
      </c>
      <c r="B49" s="4">
        <v>2307699</v>
      </c>
      <c r="C49" s="25">
        <f t="shared" ref="C49:L49" si="10">B49+C13</f>
        <v>3203979.7810035148</v>
      </c>
      <c r="D49" s="25">
        <f t="shared" si="10"/>
        <v>4266503.9886407945</v>
      </c>
      <c r="E49" s="25">
        <f t="shared" si="10"/>
        <v>5526106.6887580492</v>
      </c>
      <c r="F49" s="25">
        <f t="shared" si="10"/>
        <v>7019342.2788165342</v>
      </c>
      <c r="G49" s="25">
        <f t="shared" si="10"/>
        <v>8789545.3176078517</v>
      </c>
      <c r="H49" s="25">
        <f t="shared" si="10"/>
        <v>10888088.119164892</v>
      </c>
      <c r="I49" s="25">
        <f t="shared" si="10"/>
        <v>13375871.606969668</v>
      </c>
      <c r="J49" s="25">
        <f t="shared" si="10"/>
        <v>16325092.693907723</v>
      </c>
      <c r="K49" s="25">
        <f t="shared" si="10"/>
        <v>19821339.478355646</v>
      </c>
      <c r="L49" s="25">
        <f t="shared" si="10"/>
        <v>23966075.060201563</v>
      </c>
    </row>
    <row r="50" spans="1:12" x14ac:dyDescent="0.15">
      <c r="A50" s="19" t="s">
        <v>46</v>
      </c>
      <c r="B50" s="24" t="s">
        <v>197</v>
      </c>
    </row>
    <row r="51" spans="1:12" x14ac:dyDescent="0.15">
      <c r="A51" s="21" t="s">
        <v>48</v>
      </c>
      <c r="B51" s="35">
        <f t="shared" ref="B51:L51" si="11">SUM(B47:B49)</f>
        <v>2562667</v>
      </c>
      <c r="C51" s="35">
        <f t="shared" si="11"/>
        <v>3458947.7810035148</v>
      </c>
      <c r="D51" s="35">
        <f t="shared" si="11"/>
        <v>4521471.9886407945</v>
      </c>
      <c r="E51" s="35">
        <f t="shared" si="11"/>
        <v>5781074.6887580492</v>
      </c>
      <c r="F51" s="35">
        <f t="shared" si="11"/>
        <v>7274310.2788165342</v>
      </c>
      <c r="G51" s="35">
        <f t="shared" si="11"/>
        <v>9044513.3176078517</v>
      </c>
      <c r="H51" s="35">
        <f t="shared" si="11"/>
        <v>11143056.119164892</v>
      </c>
      <c r="I51" s="35">
        <f t="shared" si="11"/>
        <v>13630839.606969668</v>
      </c>
      <c r="J51" s="35">
        <f t="shared" si="11"/>
        <v>16580060.693907723</v>
      </c>
      <c r="K51" s="35">
        <f t="shared" si="11"/>
        <v>20076307.478355646</v>
      </c>
      <c r="L51" s="35">
        <f t="shared" si="11"/>
        <v>24221043.060201563</v>
      </c>
    </row>
    <row r="52" spans="1:12" s="52" customFormat="1" x14ac:dyDescent="0.15">
      <c r="A52" s="50" t="s">
        <v>49</v>
      </c>
      <c r="B52" s="51">
        <f t="shared" ref="B52:L52" si="12">B51+B46+B41</f>
        <v>3576323</v>
      </c>
      <c r="C52" s="51">
        <f t="shared" si="12"/>
        <v>4606621.5403271662</v>
      </c>
      <c r="D52" s="51">
        <f t="shared" si="12"/>
        <v>5844124.7887338493</v>
      </c>
      <c r="E52" s="51">
        <f t="shared" si="12"/>
        <v>7311161.889529068</v>
      </c>
      <c r="F52" s="51">
        <f t="shared" si="12"/>
        <v>9050307.106222963</v>
      </c>
      <c r="G52" s="51">
        <f t="shared" si="12"/>
        <v>11174856.436923074</v>
      </c>
      <c r="H52" s="51">
        <f t="shared" si="12"/>
        <v>13556167.311833734</v>
      </c>
      <c r="I52" s="51">
        <f t="shared" si="12"/>
        <v>16516469.964918783</v>
      </c>
      <c r="J52" s="51">
        <f t="shared" si="12"/>
        <v>19888550.87023557</v>
      </c>
      <c r="K52" s="51">
        <f t="shared" si="12"/>
        <v>24023393.979950901</v>
      </c>
      <c r="L52" s="51">
        <f t="shared" si="12"/>
        <v>28787868.581154753</v>
      </c>
    </row>
    <row r="53" spans="1:12" x14ac:dyDescent="0.15">
      <c r="C53" s="25"/>
    </row>
    <row r="54" spans="1:12" x14ac:dyDescent="0.1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x14ac:dyDescent="0.15">
      <c r="A55" t="s">
        <v>226</v>
      </c>
      <c r="B55" s="25">
        <f t="shared" ref="B55:L55" si="13">B52-B33</f>
        <v>120275</v>
      </c>
      <c r="C55" s="25">
        <f t="shared" si="13"/>
        <v>-387267.34209509194</v>
      </c>
      <c r="D55" s="25">
        <f t="shared" si="13"/>
        <v>586454.66278490424</v>
      </c>
      <c r="E55" s="25">
        <f t="shared" si="13"/>
        <v>1127231.6561900843</v>
      </c>
      <c r="F55" s="25">
        <f t="shared" si="13"/>
        <v>1074339.7310101604</v>
      </c>
      <c r="G55" s="25">
        <f t="shared" si="13"/>
        <v>2591127.4300995413</v>
      </c>
      <c r="H55" s="25">
        <f t="shared" si="13"/>
        <v>1535307.0932287648</v>
      </c>
      <c r="I55" s="25">
        <f t="shared" si="13"/>
        <v>4560144.9157760534</v>
      </c>
      <c r="J55" s="25">
        <f t="shared" si="13"/>
        <v>2183136.7264100388</v>
      </c>
      <c r="K55" s="25">
        <f t="shared" si="13"/>
        <v>7327336.5039300304</v>
      </c>
      <c r="L55" s="25">
        <f t="shared" si="13"/>
        <v>3093573.7377617471</v>
      </c>
    </row>
    <row r="56" spans="1:12" ht="16" x14ac:dyDescent="0.2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</row>
    <row r="57" spans="1:12" ht="16" x14ac:dyDescent="0.2">
      <c r="A57" s="37"/>
      <c r="B57" s="39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16" x14ac:dyDescent="0.2">
      <c r="A58" s="37"/>
      <c r="B58" s="39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18" x14ac:dyDescent="0.2">
      <c r="C59" s="42"/>
      <c r="F59" s="42"/>
    </row>
    <row r="61" spans="1:12" x14ac:dyDescent="0.15">
      <c r="C61" s="15"/>
      <c r="F61" s="15"/>
    </row>
    <row r="62" spans="1:12" x14ac:dyDescent="0.15">
      <c r="A62" s="33"/>
    </row>
    <row r="63" spans="1:12" x14ac:dyDescent="0.15">
      <c r="C63" t="s">
        <v>206</v>
      </c>
      <c r="F63" t="s">
        <v>207</v>
      </c>
    </row>
    <row r="65" spans="1:6" x14ac:dyDescent="0.15">
      <c r="C65" t="s">
        <v>208</v>
      </c>
      <c r="F65" t="s">
        <v>209</v>
      </c>
    </row>
    <row r="66" spans="1:6" x14ac:dyDescent="0.15">
      <c r="A66" t="s">
        <v>210</v>
      </c>
    </row>
    <row r="67" spans="1:6" x14ac:dyDescent="0.15">
      <c r="A67" t="s">
        <v>211</v>
      </c>
    </row>
    <row r="68" spans="1:6" x14ac:dyDescent="0.15">
      <c r="A68" t="s">
        <v>212</v>
      </c>
      <c r="C68" s="25"/>
    </row>
  </sheetData>
  <mergeCells count="3">
    <mergeCell ref="A1:G1"/>
    <mergeCell ref="B8:L8"/>
    <mergeCell ref="B10:L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E19"/>
  <sheetViews>
    <sheetView topLeftCell="A21" workbookViewId="0">
      <selection activeCell="C21" sqref="C21"/>
    </sheetView>
  </sheetViews>
  <sheetFormatPr baseColWidth="10" defaultColWidth="12.6640625" defaultRowHeight="15.75" customHeight="1" x14ac:dyDescent="0.15"/>
  <cols>
    <col min="1" max="1" width="12.6640625" style="149"/>
    <col min="2" max="2" width="51.5" style="149" customWidth="1"/>
    <col min="3" max="14" width="16.33203125" style="149" bestFit="1" customWidth="1"/>
    <col min="15" max="18" width="17.5" style="149" bestFit="1" customWidth="1"/>
    <col min="19" max="16384" width="12.6640625" style="149"/>
  </cols>
  <sheetData>
    <row r="1" spans="1:31" s="68" customFormat="1" ht="15.75" customHeight="1" x14ac:dyDescent="0.15">
      <c r="A1" s="552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1:31" s="68" customFormat="1" ht="15.75" customHeight="1" x14ac:dyDescent="0.15">
      <c r="A2" s="552" t="s">
        <v>227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1" s="68" customFormat="1" ht="15.75" customHeight="1" x14ac:dyDescent="0.15">
      <c r="A3" s="569" t="s">
        <v>132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spans="1:31" ht="16" customHeight="1" x14ac:dyDescent="0.15">
      <c r="A4" s="504"/>
      <c r="B4" s="505"/>
      <c r="C4" s="574" t="s">
        <v>4</v>
      </c>
      <c r="D4" s="574"/>
      <c r="E4" s="574"/>
      <c r="F4" s="574"/>
      <c r="G4" s="574"/>
      <c r="H4" s="574"/>
      <c r="I4" s="575" t="s">
        <v>5</v>
      </c>
      <c r="J4" s="574"/>
      <c r="K4" s="574"/>
      <c r="L4" s="574"/>
      <c r="M4" s="574"/>
      <c r="N4" s="574"/>
      <c r="O4" s="574"/>
      <c r="P4" s="574"/>
      <c r="Q4" s="574"/>
      <c r="R4" s="576"/>
      <c r="S4" s="219"/>
      <c r="T4" s="219"/>
      <c r="U4" s="219"/>
      <c r="V4" s="219"/>
      <c r="W4" s="219"/>
      <c r="X4" s="219"/>
      <c r="Y4" s="219"/>
      <c r="Z4" s="219"/>
      <c r="AA4" s="219"/>
      <c r="AB4" s="219"/>
      <c r="AC4" s="219"/>
    </row>
    <row r="5" spans="1:31" ht="15.75" customHeight="1" x14ac:dyDescent="0.15">
      <c r="A5" s="570" t="s">
        <v>54</v>
      </c>
      <c r="B5" s="571"/>
      <c r="C5" s="429">
        <v>2020</v>
      </c>
      <c r="D5" s="430">
        <v>2021</v>
      </c>
      <c r="E5" s="429">
        <v>2022</v>
      </c>
      <c r="F5" s="429">
        <v>2023</v>
      </c>
      <c r="G5" s="430">
        <v>2024</v>
      </c>
      <c r="H5" s="431">
        <v>2025</v>
      </c>
      <c r="I5" s="429">
        <v>2026</v>
      </c>
      <c r="J5" s="429">
        <v>2027</v>
      </c>
      <c r="K5" s="429">
        <v>2028</v>
      </c>
      <c r="L5" s="430">
        <v>2029</v>
      </c>
      <c r="M5" s="429">
        <v>2030</v>
      </c>
      <c r="N5" s="429">
        <v>2031</v>
      </c>
      <c r="O5" s="430">
        <v>2032</v>
      </c>
      <c r="P5" s="430">
        <v>2033</v>
      </c>
      <c r="Q5" s="430">
        <v>2034</v>
      </c>
      <c r="R5" s="432">
        <v>2035</v>
      </c>
    </row>
    <row r="6" spans="1:31" ht="15.75" customHeight="1" x14ac:dyDescent="0.15">
      <c r="A6" s="572" t="s">
        <v>55</v>
      </c>
      <c r="B6" s="573"/>
      <c r="C6" s="136"/>
      <c r="D6" s="136"/>
      <c r="E6" s="136"/>
      <c r="F6" s="136"/>
      <c r="G6" s="136"/>
      <c r="H6" s="433"/>
      <c r="I6" s="279"/>
      <c r="J6" s="279"/>
      <c r="K6" s="279"/>
      <c r="L6" s="279"/>
      <c r="M6" s="279"/>
      <c r="N6" s="279"/>
      <c r="O6" s="279"/>
      <c r="P6" s="279"/>
      <c r="Q6" s="279"/>
      <c r="R6" s="434"/>
    </row>
    <row r="7" spans="1:31" ht="14" x14ac:dyDescent="0.15">
      <c r="A7" s="435"/>
      <c r="B7" s="436" t="s">
        <v>8</v>
      </c>
      <c r="C7" s="437">
        <f>'Balance Sheet'!D8</f>
        <v>185596</v>
      </c>
      <c r="D7" s="437">
        <f>'Balance Sheet'!E8</f>
        <v>215718</v>
      </c>
      <c r="E7" s="437">
        <f>'Balance Sheet'!F8</f>
        <v>302688</v>
      </c>
      <c r="F7" s="437">
        <f>'Balance Sheet'!G8</f>
        <v>301511</v>
      </c>
      <c r="G7" s="437">
        <f>'Balance Sheet'!H8</f>
        <v>296565</v>
      </c>
      <c r="H7" s="438">
        <f>'Balance Sheet'!I8</f>
        <v>332872</v>
      </c>
      <c r="I7" s="437">
        <f>'Balance Sheet'!J8</f>
        <v>971564.44333060738</v>
      </c>
      <c r="J7" s="437">
        <f>'Balance Sheet'!K8</f>
        <v>1151771.5901066049</v>
      </c>
      <c r="K7" s="437">
        <f>'Balance Sheet'!L8</f>
        <v>1365403.813285996</v>
      </c>
      <c r="L7" s="437">
        <f>'Balance Sheet'!M8</f>
        <v>1618660.843304341</v>
      </c>
      <c r="M7" s="437">
        <f>'Balance Sheet'!N8</f>
        <v>1918892.34536503</v>
      </c>
      <c r="N7" s="437">
        <f>'Balance Sheet'!O8</f>
        <v>2274811.2109660688</v>
      </c>
      <c r="O7" s="437">
        <f>'Balance Sheet'!P8</f>
        <v>2696746.4110408537</v>
      </c>
      <c r="P7" s="437">
        <f>'Balance Sheet'!Q8</f>
        <v>3196942.7486570459</v>
      </c>
      <c r="Q7" s="437">
        <f>'Balance Sheet'!R8</f>
        <v>3789916.2102698847</v>
      </c>
      <c r="R7" s="438">
        <f>'Balance Sheet'!S8</f>
        <v>4492875.2280284576</v>
      </c>
    </row>
    <row r="8" spans="1:31" ht="14" x14ac:dyDescent="0.15">
      <c r="A8" s="435"/>
      <c r="B8" s="436" t="s">
        <v>228</v>
      </c>
      <c r="C8" s="437">
        <f>'Balance Sheet'!D9</f>
        <v>311620</v>
      </c>
      <c r="D8" s="437">
        <f>'Balance Sheet'!E9</f>
        <v>278242</v>
      </c>
      <c r="E8" s="437">
        <f>'Balance Sheet'!F9</f>
        <v>506796</v>
      </c>
      <c r="F8" s="437">
        <f>'Balance Sheet'!G9</f>
        <v>532852</v>
      </c>
      <c r="G8" s="437">
        <f>'Balance Sheet'!H9</f>
        <v>474311</v>
      </c>
      <c r="H8" s="438">
        <f>'Balance Sheet'!I9</f>
        <v>495226</v>
      </c>
      <c r="I8" s="437">
        <f>'Balance Sheet'!J9</f>
        <v>603246.01508258295</v>
      </c>
      <c r="J8" s="437">
        <f>'Balance Sheet'!K9</f>
        <v>715136.93897164369</v>
      </c>
      <c r="K8" s="437">
        <f>'Balance Sheet'!L9</f>
        <v>847781.54964143457</v>
      </c>
      <c r="L8" s="437">
        <f>'Balance Sheet'!M9</f>
        <v>1005029.2702625046</v>
      </c>
      <c r="M8" s="437">
        <f>'Balance Sheet'!N9</f>
        <v>1191443.5204582983</v>
      </c>
      <c r="N8" s="437">
        <f>'Balance Sheet'!O9</f>
        <v>1412434.1493768566</v>
      </c>
      <c r="O8" s="437">
        <f>'Balance Sheet'!P9</f>
        <v>1674414.4326359199</v>
      </c>
      <c r="P8" s="437">
        <f>'Balance Sheet'!Q9</f>
        <v>1984987.1892834092</v>
      </c>
      <c r="Q8" s="437">
        <f>'Balance Sheet'!R9</f>
        <v>2353165.419994913</v>
      </c>
      <c r="R8" s="438">
        <f>'Balance Sheet'!S9</f>
        <v>2789633.8695560358</v>
      </c>
    </row>
    <row r="9" spans="1:31" ht="14" x14ac:dyDescent="0.15">
      <c r="A9" s="435"/>
      <c r="B9" s="436" t="s">
        <v>229</v>
      </c>
      <c r="C9" s="437">
        <f>'Balance Sheet'!D7</f>
        <v>649436</v>
      </c>
      <c r="D9" s="437">
        <f>'Balance Sheet'!E7</f>
        <v>1089361</v>
      </c>
      <c r="E9" s="437">
        <f>'Balance Sheet'!F7</f>
        <v>843527</v>
      </c>
      <c r="F9" s="437">
        <f>'Balance Sheet'!G7</f>
        <v>981795</v>
      </c>
      <c r="G9" s="437">
        <f>'Balance Sheet'!H7</f>
        <v>1502051</v>
      </c>
      <c r="H9" s="438">
        <f>'Balance Sheet'!I7</f>
        <v>1889188</v>
      </c>
      <c r="I9" s="437">
        <f>'Balance Sheet'!J7</f>
        <v>2131469.4547243617</v>
      </c>
      <c r="J9" s="437">
        <f>'Balance Sheet'!K7</f>
        <v>2335668.7411201955</v>
      </c>
      <c r="K9" s="437">
        <f>'Balance Sheet'!L7</f>
        <v>2768891.8819427029</v>
      </c>
      <c r="L9" s="437">
        <f>'Balance Sheet'!M7</f>
        <v>3282469.8635180579</v>
      </c>
      <c r="M9" s="437">
        <f>'Balance Sheet'!N7</f>
        <v>3891307.0153337317</v>
      </c>
      <c r="N9" s="437">
        <f>'Balance Sheet'!O7</f>
        <v>4613072.1429857882</v>
      </c>
      <c r="O9" s="437">
        <f>'Balance Sheet'!P7</f>
        <v>5468711.287116576</v>
      </c>
      <c r="P9" s="437">
        <f>'Balance Sheet'!Q7</f>
        <v>6483055.5896052402</v>
      </c>
      <c r="Q9" s="437">
        <f>'Balance Sheet'!R7</f>
        <v>7685541.9076387947</v>
      </c>
      <c r="R9" s="438">
        <f>'Balance Sheet'!S7</f>
        <v>9111067.088300081</v>
      </c>
    </row>
    <row r="10" spans="1:31" ht="14" x14ac:dyDescent="0.15">
      <c r="A10" s="439"/>
      <c r="B10" s="436" t="s">
        <v>230</v>
      </c>
      <c r="C10" s="440">
        <f>'Balance Sheet'!D13</f>
        <v>1194111</v>
      </c>
      <c r="D10" s="440">
        <f>'Balance Sheet'!E13</f>
        <v>1650799</v>
      </c>
      <c r="E10" s="440">
        <f>'Balance Sheet'!F13</f>
        <v>1752128</v>
      </c>
      <c r="F10" s="440">
        <f>'Balance Sheet'!G13</f>
        <v>1910253</v>
      </c>
      <c r="G10" s="440">
        <f>'Balance Sheet'!H13</f>
        <v>2443483</v>
      </c>
      <c r="H10" s="441">
        <f>'Balance Sheet'!I13</f>
        <v>2860475</v>
      </c>
      <c r="I10" s="440">
        <f>'Balance Sheet'!J13</f>
        <v>3687199.0716563943</v>
      </c>
      <c r="J10" s="440">
        <f>'Balance Sheet'!K13</f>
        <v>4371105.9692992102</v>
      </c>
      <c r="K10" s="440">
        <f>'Balance Sheet'!L13</f>
        <v>5181864.8853857471</v>
      </c>
      <c r="L10" s="440">
        <f>'Balance Sheet'!M13</f>
        <v>6143004.511670257</v>
      </c>
      <c r="M10" s="440">
        <f>'Balance Sheet'!N13</f>
        <v>7282417.6749239862</v>
      </c>
      <c r="N10" s="440">
        <f>'Balance Sheet'!O13</f>
        <v>8633170.8028691784</v>
      </c>
      <c r="O10" s="440">
        <f>'Balance Sheet'!P13</f>
        <v>10234463.530999107</v>
      </c>
      <c r="P10" s="440">
        <f>'Balance Sheet'!Q13</f>
        <v>12132766.298628034</v>
      </c>
      <c r="Q10" s="440">
        <f>'Balance Sheet'!R13</f>
        <v>14383168.947865106</v>
      </c>
      <c r="R10" s="441">
        <f>'Balance Sheet'!S13</f>
        <v>17050979.462632887</v>
      </c>
    </row>
    <row r="11" spans="1:31" ht="15.75" customHeight="1" x14ac:dyDescent="0.15">
      <c r="A11" s="572" t="s">
        <v>71</v>
      </c>
      <c r="B11" s="573"/>
      <c r="C11" s="136"/>
      <c r="D11" s="136"/>
      <c r="E11" s="136"/>
      <c r="F11" s="136"/>
      <c r="G11" s="136"/>
      <c r="H11" s="434"/>
      <c r="I11" s="279"/>
      <c r="J11" s="279"/>
      <c r="K11" s="279"/>
      <c r="L11" s="279"/>
      <c r="M11" s="279"/>
      <c r="N11" s="279"/>
      <c r="O11" s="279"/>
      <c r="P11" s="279"/>
      <c r="Q11" s="279"/>
      <c r="R11" s="434"/>
    </row>
    <row r="12" spans="1:31" ht="14" x14ac:dyDescent="0.15">
      <c r="A12" s="435"/>
      <c r="B12" s="436" t="s">
        <v>231</v>
      </c>
      <c r="C12" s="437">
        <f>'Balance Sheet'!D27</f>
        <v>42309</v>
      </c>
      <c r="D12" s="437">
        <f>'Balance Sheet'!E27</f>
        <v>79152</v>
      </c>
      <c r="E12" s="437">
        <f>'Balance Sheet'!F27</f>
        <v>67553</v>
      </c>
      <c r="F12" s="437">
        <f>'Balance Sheet'!G27</f>
        <v>63781</v>
      </c>
      <c r="G12" s="437">
        <f>'Balance Sheet'!H27</f>
        <v>123653</v>
      </c>
      <c r="H12" s="438">
        <f>'Balance Sheet'!I27</f>
        <v>125417</v>
      </c>
      <c r="I12" s="437">
        <f>'Balance Sheet'!J27</f>
        <v>143389.26981219405</v>
      </c>
      <c r="J12" s="437">
        <f>'Balance Sheet'!K27</f>
        <v>169985.31433454007</v>
      </c>
      <c r="K12" s="437">
        <f>'Balance Sheet'!L27</f>
        <v>201514.43080265354</v>
      </c>
      <c r="L12" s="437">
        <f>'Balance Sheet'!M27</f>
        <v>238891.61237657641</v>
      </c>
      <c r="M12" s="437">
        <f>'Balance Sheet'!N27</f>
        <v>283201.56644150836</v>
      </c>
      <c r="N12" s="437">
        <f>'Balance Sheet'!O27</f>
        <v>335730.19344227132</v>
      </c>
      <c r="O12" s="437">
        <f>'Balance Sheet'!P27</f>
        <v>398001.904456502</v>
      </c>
      <c r="P12" s="437">
        <f>'Balance Sheet'!Q27</f>
        <v>471823.86048408935</v>
      </c>
      <c r="Q12" s="437">
        <f>'Balance Sheet'!R27</f>
        <v>559338.41730257217</v>
      </c>
      <c r="R12" s="438">
        <f>'Balance Sheet'!S27</f>
        <v>663085.29786847543</v>
      </c>
    </row>
    <row r="13" spans="1:31" ht="14" x14ac:dyDescent="0.15">
      <c r="A13" s="435"/>
      <c r="B13" s="436" t="s">
        <v>232</v>
      </c>
      <c r="C13" s="437">
        <f>'Balance Sheet'!D29</f>
        <v>46281</v>
      </c>
      <c r="D13" s="437">
        <f>'Balance Sheet'!E29</f>
        <v>68995</v>
      </c>
      <c r="E13" s="437">
        <f>'Balance Sheet'!F29</f>
        <v>81400</v>
      </c>
      <c r="F13" s="437">
        <f>'Balance Sheet'!G29</f>
        <v>86753</v>
      </c>
      <c r="G13" s="437">
        <f>'Balance Sheet'!H29</f>
        <v>106785</v>
      </c>
      <c r="H13" s="438">
        <f>'Balance Sheet'!I29</f>
        <v>142120</v>
      </c>
      <c r="I13" s="437">
        <f>'Balance Sheet'!J29</f>
        <v>150729.2132742689</v>
      </c>
      <c r="J13" s="437">
        <f>'Balance Sheet'!K29</f>
        <v>178686.68088890438</v>
      </c>
      <c r="K13" s="437">
        <f>'Balance Sheet'!L29</f>
        <v>211829.73912956635</v>
      </c>
      <c r="L13" s="437">
        <f>'Balance Sheet'!M29</f>
        <v>251120.21867818167</v>
      </c>
      <c r="M13" s="437">
        <f>'Balance Sheet'!N29</f>
        <v>297698.35193162411</v>
      </c>
      <c r="N13" s="437">
        <f>'Balance Sheet'!O29</f>
        <v>352915.86320406938</v>
      </c>
      <c r="O13" s="437">
        <f>'Balance Sheet'!P29</f>
        <v>418375.19654687296</v>
      </c>
      <c r="P13" s="437">
        <f>'Balance Sheet'!Q29</f>
        <v>495976.01959994948</v>
      </c>
      <c r="Q13" s="437">
        <f>'Balance Sheet'!R29</f>
        <v>587970.35304326296</v>
      </c>
      <c r="R13" s="438">
        <f>'Balance Sheet'!S29</f>
        <v>697027.92553693557</v>
      </c>
    </row>
    <row r="14" spans="1:31" ht="14" x14ac:dyDescent="0.15">
      <c r="A14" s="439"/>
      <c r="B14" s="442" t="s">
        <v>233</v>
      </c>
      <c r="C14" s="440">
        <f>'Balance Sheet'!D32</f>
        <v>300946</v>
      </c>
      <c r="D14" s="440">
        <f>'Balance Sheet'!E32</f>
        <v>468368</v>
      </c>
      <c r="E14" s="440">
        <f>'Balance Sheet'!F32</f>
        <v>541684</v>
      </c>
      <c r="F14" s="440">
        <f>'Balance Sheet'!G32</f>
        <v>497380</v>
      </c>
      <c r="G14" s="440">
        <f>'Balance Sheet'!H32</f>
        <v>719993</v>
      </c>
      <c r="H14" s="441">
        <f>'Balance Sheet'!I32</f>
        <v>769941</v>
      </c>
      <c r="I14" s="440">
        <f>'Balance Sheet'!J32</f>
        <v>891592.25266579667</v>
      </c>
      <c r="J14" s="440">
        <f>'Balance Sheet'!K32</f>
        <v>1056966.0444337339</v>
      </c>
      <c r="K14" s="440">
        <f>'Balance Sheet'!L32</f>
        <v>1253013.6009432722</v>
      </c>
      <c r="L14" s="440">
        <f>'Balance Sheet'!M32</f>
        <v>1485424.3354524898</v>
      </c>
      <c r="M14" s="440">
        <f>'Balance Sheet'!N32</f>
        <v>1760942.941635607</v>
      </c>
      <c r="N14" s="440">
        <f>'Balance Sheet'!O32</f>
        <v>2087565.1284867798</v>
      </c>
      <c r="O14" s="440">
        <f>'Balance Sheet'!P32</f>
        <v>2474769.660410617</v>
      </c>
      <c r="P14" s="440">
        <f>'Balance Sheet'!Q32</f>
        <v>2933793.4364368105</v>
      </c>
      <c r="Q14" s="440">
        <f>'Balance Sheet'!R32</f>
        <v>3477957.5915164566</v>
      </c>
      <c r="R14" s="441">
        <f>'Balance Sheet'!S32</f>
        <v>4123054.0835479461</v>
      </c>
    </row>
    <row r="15" spans="1:31" ht="15.75" customHeight="1" x14ac:dyDescent="0.15">
      <c r="A15" s="572" t="s">
        <v>234</v>
      </c>
      <c r="B15" s="573"/>
      <c r="C15" s="136"/>
      <c r="D15" s="136"/>
      <c r="E15" s="136"/>
      <c r="F15" s="136"/>
      <c r="G15" s="136"/>
      <c r="H15" s="434"/>
      <c r="I15" s="279"/>
      <c r="J15" s="279"/>
      <c r="K15" s="279"/>
      <c r="L15" s="279"/>
      <c r="M15" s="279"/>
      <c r="N15" s="279"/>
      <c r="O15" s="279"/>
      <c r="P15" s="279"/>
      <c r="Q15" s="279"/>
      <c r="R15" s="434"/>
    </row>
    <row r="16" spans="1:31" ht="14" x14ac:dyDescent="0.15">
      <c r="A16" s="435"/>
      <c r="B16" s="436" t="s">
        <v>235</v>
      </c>
      <c r="C16" s="437">
        <f t="shared" ref="C16:R16" si="0">C10-C14</f>
        <v>893165</v>
      </c>
      <c r="D16" s="437">
        <f t="shared" si="0"/>
        <v>1182431</v>
      </c>
      <c r="E16" s="437">
        <f t="shared" si="0"/>
        <v>1210444</v>
      </c>
      <c r="F16" s="437">
        <f t="shared" si="0"/>
        <v>1412873</v>
      </c>
      <c r="G16" s="437">
        <f t="shared" si="0"/>
        <v>1723490</v>
      </c>
      <c r="H16" s="438">
        <f t="shared" si="0"/>
        <v>2090534</v>
      </c>
      <c r="I16" s="437">
        <f t="shared" si="0"/>
        <v>2795606.8189905975</v>
      </c>
      <c r="J16" s="437">
        <f t="shared" si="0"/>
        <v>3314139.9248654763</v>
      </c>
      <c r="K16" s="437">
        <f t="shared" si="0"/>
        <v>3928851.2844424751</v>
      </c>
      <c r="L16" s="437">
        <f t="shared" si="0"/>
        <v>4657580.1762177674</v>
      </c>
      <c r="M16" s="437">
        <f t="shared" si="0"/>
        <v>5521474.7332883794</v>
      </c>
      <c r="N16" s="437">
        <f t="shared" si="0"/>
        <v>6545605.6743823988</v>
      </c>
      <c r="O16" s="437">
        <f t="shared" si="0"/>
        <v>7759693.8705884907</v>
      </c>
      <c r="P16" s="437">
        <f t="shared" si="0"/>
        <v>9198972.8621912226</v>
      </c>
      <c r="Q16" s="437">
        <f t="shared" si="0"/>
        <v>10905211.356348649</v>
      </c>
      <c r="R16" s="438">
        <f t="shared" si="0"/>
        <v>12927925.379084941</v>
      </c>
    </row>
    <row r="17" spans="1:18" ht="14" x14ac:dyDescent="0.15">
      <c r="A17" s="439"/>
      <c r="B17" s="442" t="s">
        <v>236</v>
      </c>
      <c r="C17" s="443">
        <f>D16-C16</f>
        <v>289266</v>
      </c>
      <c r="D17" s="443">
        <f t="shared" ref="D17:R17" si="1">D16-C16</f>
        <v>289266</v>
      </c>
      <c r="E17" s="443">
        <f t="shared" si="1"/>
        <v>28013</v>
      </c>
      <c r="F17" s="443">
        <f t="shared" si="1"/>
        <v>202429</v>
      </c>
      <c r="G17" s="443">
        <f t="shared" si="1"/>
        <v>310617</v>
      </c>
      <c r="H17" s="443">
        <f t="shared" si="1"/>
        <v>367044</v>
      </c>
      <c r="I17" s="443">
        <f t="shared" si="1"/>
        <v>705072.8189905975</v>
      </c>
      <c r="J17" s="443">
        <f t="shared" si="1"/>
        <v>518533.10587487882</v>
      </c>
      <c r="K17" s="443">
        <f t="shared" si="1"/>
        <v>614711.35957699874</v>
      </c>
      <c r="L17" s="443">
        <f t="shared" si="1"/>
        <v>728728.89177529234</v>
      </c>
      <c r="M17" s="443">
        <f t="shared" si="1"/>
        <v>863894.55707061198</v>
      </c>
      <c r="N17" s="443">
        <f t="shared" si="1"/>
        <v>1024130.9410940195</v>
      </c>
      <c r="O17" s="443">
        <f t="shared" si="1"/>
        <v>1214088.1962060919</v>
      </c>
      <c r="P17" s="443">
        <f t="shared" si="1"/>
        <v>1439278.9916027319</v>
      </c>
      <c r="Q17" s="443">
        <f t="shared" si="1"/>
        <v>1706238.4941574261</v>
      </c>
      <c r="R17" s="444">
        <f t="shared" si="1"/>
        <v>2022714.0227362923</v>
      </c>
    </row>
    <row r="18" spans="1:18" ht="14" x14ac:dyDescent="0.15">
      <c r="C18" s="113"/>
      <c r="D18" s="113"/>
      <c r="E18" s="113"/>
      <c r="F18" s="113"/>
      <c r="G18" s="113"/>
    </row>
    <row r="19" spans="1:18" ht="14" x14ac:dyDescent="0.15">
      <c r="C19" s="113"/>
      <c r="D19" s="113"/>
      <c r="E19" s="113"/>
      <c r="F19" s="113"/>
      <c r="G19" s="113"/>
    </row>
  </sheetData>
  <mergeCells count="9">
    <mergeCell ref="A11:B11"/>
    <mergeCell ref="A15:B15"/>
    <mergeCell ref="C4:H4"/>
    <mergeCell ref="I4:R4"/>
    <mergeCell ref="A1:R1"/>
    <mergeCell ref="A2:R2"/>
    <mergeCell ref="A3:R3"/>
    <mergeCell ref="A5:B5"/>
    <mergeCell ref="A6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1F00-2EB2-E348-B979-8A18B87A8769}">
  <dimension ref="A1:AE10"/>
  <sheetViews>
    <sheetView topLeftCell="D1" workbookViewId="0">
      <selection activeCell="D19" sqref="D19"/>
    </sheetView>
  </sheetViews>
  <sheetFormatPr baseColWidth="10" defaultColWidth="14.6640625" defaultRowHeight="13" x14ac:dyDescent="0.15"/>
  <cols>
    <col min="1" max="1" width="16.6640625" style="11" bestFit="1" customWidth="1"/>
    <col min="2" max="2" width="0" style="11" hidden="1" customWidth="1"/>
    <col min="3" max="3" width="14.6640625" style="11" bestFit="1"/>
    <col min="4" max="4" width="20.1640625" style="11" bestFit="1" customWidth="1"/>
    <col min="5" max="18" width="14.6640625" style="11" bestFit="1"/>
    <col min="19" max="16384" width="14.6640625" style="11"/>
  </cols>
  <sheetData>
    <row r="1" spans="1:31" s="68" customFormat="1" ht="15.75" customHeight="1" x14ac:dyDescent="0.15">
      <c r="A1" s="552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1:31" s="68" customFormat="1" ht="15.75" customHeight="1" x14ac:dyDescent="0.15">
      <c r="A2" s="552" t="s">
        <v>237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1" s="68" customFormat="1" ht="15.75" customHeight="1" x14ac:dyDescent="0.15">
      <c r="A3" s="569" t="s">
        <v>238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spans="1:31" x14ac:dyDescent="0.15">
      <c r="C4" s="577" t="s">
        <v>4</v>
      </c>
      <c r="D4" s="577"/>
      <c r="E4" s="577"/>
      <c r="F4" s="577"/>
      <c r="G4" s="577"/>
      <c r="H4" s="577"/>
      <c r="I4" s="578" t="s">
        <v>5</v>
      </c>
      <c r="J4" s="577"/>
      <c r="K4" s="577"/>
      <c r="L4" s="577"/>
      <c r="M4" s="577"/>
      <c r="N4" s="577"/>
      <c r="O4" s="577"/>
      <c r="P4" s="577"/>
      <c r="Q4" s="577"/>
      <c r="R4" s="579"/>
    </row>
    <row r="5" spans="1:31" s="15" customFormat="1" x14ac:dyDescent="0.15">
      <c r="A5" s="506" t="s">
        <v>54</v>
      </c>
      <c r="B5" s="293"/>
      <c r="C5" s="293">
        <v>2020</v>
      </c>
      <c r="D5" s="294">
        <v>2021</v>
      </c>
      <c r="E5" s="293">
        <v>2022</v>
      </c>
      <c r="F5" s="293">
        <v>2023</v>
      </c>
      <c r="G5" s="294">
        <v>2024</v>
      </c>
      <c r="H5" s="295">
        <v>2025</v>
      </c>
      <c r="I5" s="293">
        <v>2026</v>
      </c>
      <c r="J5" s="293">
        <v>2027</v>
      </c>
      <c r="K5" s="293">
        <v>2028</v>
      </c>
      <c r="L5" s="294">
        <v>2029</v>
      </c>
      <c r="M5" s="293">
        <v>2030</v>
      </c>
      <c r="N5" s="293">
        <v>2031</v>
      </c>
      <c r="O5" s="294">
        <v>2032</v>
      </c>
      <c r="P5" s="294">
        <v>2033</v>
      </c>
      <c r="Q5" s="294">
        <v>2034</v>
      </c>
      <c r="R5" s="295">
        <v>2035</v>
      </c>
    </row>
    <row r="6" spans="1:31" x14ac:dyDescent="0.15">
      <c r="A6" s="53" t="s">
        <v>15</v>
      </c>
      <c r="B6" s="54"/>
      <c r="C6" s="25">
        <v>235939</v>
      </c>
      <c r="D6" s="25">
        <v>266905</v>
      </c>
      <c r="E6" s="25">
        <v>282571</v>
      </c>
      <c r="F6" s="25">
        <v>317508</v>
      </c>
      <c r="G6" s="25">
        <v>349138</v>
      </c>
      <c r="H6" s="445">
        <v>402964</v>
      </c>
      <c r="I6" s="25">
        <v>547069.97732597589</v>
      </c>
      <c r="J6" s="25">
        <v>648541.29029700498</v>
      </c>
      <c r="K6" s="25">
        <v>768833.64588198357</v>
      </c>
      <c r="L6" s="25">
        <v>911437.99767857767</v>
      </c>
      <c r="M6" s="25">
        <v>1080492.806294082</v>
      </c>
      <c r="N6" s="25">
        <v>1280904.1398611644</v>
      </c>
      <c r="O6" s="25">
        <v>1518488.050967097</v>
      </c>
      <c r="P6" s="25">
        <v>1800139.361857146</v>
      </c>
      <c r="Q6" s="25">
        <v>2134031.7561561558</v>
      </c>
      <c r="R6" s="298">
        <v>2529854.9838855909</v>
      </c>
    </row>
    <row r="7" spans="1:31" x14ac:dyDescent="0.15">
      <c r="A7" t="s">
        <v>16</v>
      </c>
      <c r="C7" s="25">
        <v>209037</v>
      </c>
      <c r="D7" s="25">
        <v>206210</v>
      </c>
      <c r="E7" s="25">
        <v>222449</v>
      </c>
      <c r="F7" s="25">
        <v>266679</v>
      </c>
      <c r="G7" s="25">
        <v>302122</v>
      </c>
      <c r="H7" s="298">
        <v>325599</v>
      </c>
      <c r="I7" s="25">
        <v>451660.74238372676</v>
      </c>
      <c r="J7" s="25">
        <v>535435.41554558079</v>
      </c>
      <c r="K7" s="25">
        <v>634748.73354589392</v>
      </c>
      <c r="L7" s="25">
        <v>752482.82620150549</v>
      </c>
      <c r="M7" s="25">
        <v>892054.40484311781</v>
      </c>
      <c r="N7" s="25">
        <v>1057513.9172504044</v>
      </c>
      <c r="O7" s="25">
        <v>1253663.0939846907</v>
      </c>
      <c r="P7" s="25">
        <v>1486194.2973816372</v>
      </c>
      <c r="Q7" s="25">
        <v>1761855.7171921269</v>
      </c>
      <c r="R7" s="298">
        <v>2088647.2069442198</v>
      </c>
    </row>
    <row r="8" spans="1:31" x14ac:dyDescent="0.15">
      <c r="A8" t="s">
        <v>239</v>
      </c>
      <c r="C8" s="25">
        <f>D7-C7</f>
        <v>-2827</v>
      </c>
      <c r="D8" s="25">
        <f t="shared" ref="D8:R8" si="0">D7-C7</f>
        <v>-2827</v>
      </c>
      <c r="E8" s="25">
        <f t="shared" si="0"/>
        <v>16239</v>
      </c>
      <c r="F8" s="25">
        <f t="shared" si="0"/>
        <v>44230</v>
      </c>
      <c r="G8" s="25">
        <f t="shared" si="0"/>
        <v>35443</v>
      </c>
      <c r="H8" s="298">
        <f t="shared" si="0"/>
        <v>23477</v>
      </c>
      <c r="I8" s="25">
        <f t="shared" si="0"/>
        <v>126061.74238372676</v>
      </c>
      <c r="J8" s="25">
        <f t="shared" si="0"/>
        <v>83774.673161854036</v>
      </c>
      <c r="K8" s="25">
        <f t="shared" si="0"/>
        <v>99313.318000313127</v>
      </c>
      <c r="L8" s="25">
        <f t="shared" si="0"/>
        <v>117734.09265561157</v>
      </c>
      <c r="M8" s="25">
        <f t="shared" si="0"/>
        <v>139571.57864161232</v>
      </c>
      <c r="N8" s="25">
        <f t="shared" si="0"/>
        <v>165459.51240728656</v>
      </c>
      <c r="O8" s="25">
        <f t="shared" si="0"/>
        <v>196149.17673428636</v>
      </c>
      <c r="P8" s="25">
        <f t="shared" si="0"/>
        <v>232531.20339694642</v>
      </c>
      <c r="Q8" s="25">
        <f t="shared" si="0"/>
        <v>275661.41981048975</v>
      </c>
      <c r="R8" s="298">
        <f t="shared" si="0"/>
        <v>326791.48975209286</v>
      </c>
    </row>
    <row r="9" spans="1:31" x14ac:dyDescent="0.15">
      <c r="A9" s="296" t="s">
        <v>240</v>
      </c>
      <c r="B9" s="297"/>
      <c r="C9" s="299">
        <f t="shared" ref="C9:Q9" si="1">C8+C6</f>
        <v>233112</v>
      </c>
      <c r="D9" s="300">
        <f t="shared" si="1"/>
        <v>264078</v>
      </c>
      <c r="E9" s="300">
        <f t="shared" si="1"/>
        <v>298810</v>
      </c>
      <c r="F9" s="300">
        <f t="shared" si="1"/>
        <v>361738</v>
      </c>
      <c r="G9" s="300">
        <f t="shared" si="1"/>
        <v>384581</v>
      </c>
      <c r="H9" s="446">
        <f t="shared" si="1"/>
        <v>426441</v>
      </c>
      <c r="I9" s="300">
        <f t="shared" si="1"/>
        <v>673131.71970970265</v>
      </c>
      <c r="J9" s="300">
        <f t="shared" si="1"/>
        <v>732315.96345885901</v>
      </c>
      <c r="K9" s="300">
        <f t="shared" si="1"/>
        <v>868146.9638822967</v>
      </c>
      <c r="L9" s="300">
        <f t="shared" si="1"/>
        <v>1029172.0903341892</v>
      </c>
      <c r="M9" s="300">
        <f t="shared" si="1"/>
        <v>1220064.3849356943</v>
      </c>
      <c r="N9" s="300">
        <f t="shared" si="1"/>
        <v>1446363.6522684509</v>
      </c>
      <c r="O9" s="300">
        <f t="shared" si="1"/>
        <v>1714637.2277013834</v>
      </c>
      <c r="P9" s="300">
        <f t="shared" si="1"/>
        <v>2032670.5652540924</v>
      </c>
      <c r="Q9" s="300">
        <f t="shared" si="1"/>
        <v>2409693.1759666456</v>
      </c>
      <c r="R9" s="301">
        <f>R6+R8</f>
        <v>2856646.4736376838</v>
      </c>
    </row>
    <row r="10" spans="1:31" x14ac:dyDescent="0.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</row>
  </sheetData>
  <mergeCells count="5">
    <mergeCell ref="A1:R1"/>
    <mergeCell ref="A2:R2"/>
    <mergeCell ref="A3:R3"/>
    <mergeCell ref="C4:H4"/>
    <mergeCell ref="I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16"/>
  <sheetViews>
    <sheetView topLeftCell="B1" workbookViewId="0">
      <selection activeCell="E15" sqref="E15"/>
    </sheetView>
  </sheetViews>
  <sheetFormatPr baseColWidth="10" defaultColWidth="12.6640625" defaultRowHeight="15.75" customHeight="1" x14ac:dyDescent="0.15"/>
  <cols>
    <col min="1" max="1" width="13.5" hidden="1" customWidth="1"/>
    <col min="2" max="2" width="26.33203125" bestFit="1" customWidth="1"/>
    <col min="3" max="3" width="17.33203125" customWidth="1"/>
    <col min="4" max="4" width="17.6640625" customWidth="1"/>
    <col min="5" max="5" width="17" customWidth="1"/>
    <col min="6" max="6" width="16.5" customWidth="1"/>
    <col min="7" max="7" width="15.6640625" customWidth="1"/>
    <col min="8" max="18" width="17.5" bestFit="1" customWidth="1"/>
  </cols>
  <sheetData>
    <row r="1" spans="1:31" s="68" customFormat="1" ht="15.75" customHeight="1" x14ac:dyDescent="0.15">
      <c r="A1" s="552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</row>
    <row r="2" spans="1:31" s="68" customFormat="1" ht="15.75" customHeight="1" x14ac:dyDescent="0.15">
      <c r="A2" s="552" t="s">
        <v>241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  <c r="O2" s="552"/>
      <c r="P2" s="552"/>
      <c r="Q2" s="552"/>
      <c r="R2" s="552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</row>
    <row r="3" spans="1:31" s="68" customFormat="1" ht="15.75" customHeight="1" x14ac:dyDescent="0.15">
      <c r="A3" s="569" t="s">
        <v>238</v>
      </c>
      <c r="B3" s="569"/>
      <c r="C3" s="569"/>
      <c r="D3" s="569"/>
      <c r="E3" s="569"/>
      <c r="F3" s="569"/>
      <c r="G3" s="569"/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</row>
    <row r="4" spans="1:31" ht="15.75" customHeight="1" x14ac:dyDescent="0.2">
      <c r="B4" s="302"/>
      <c r="C4" s="581" t="s">
        <v>4</v>
      </c>
      <c r="D4" s="581"/>
      <c r="E4" s="581"/>
      <c r="F4" s="581"/>
      <c r="G4" s="581"/>
      <c r="H4" s="581"/>
      <c r="I4" s="580" t="s">
        <v>5</v>
      </c>
      <c r="J4" s="580"/>
      <c r="K4" s="580"/>
      <c r="L4" s="580"/>
      <c r="M4" s="580"/>
      <c r="N4" s="580"/>
      <c r="O4" s="580"/>
      <c r="P4" s="580"/>
      <c r="Q4" s="580"/>
      <c r="R4" s="580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31" ht="16" x14ac:dyDescent="0.2">
      <c r="B5" s="306" t="s">
        <v>54</v>
      </c>
      <c r="C5" s="303">
        <v>2020</v>
      </c>
      <c r="D5" s="303">
        <v>2021</v>
      </c>
      <c r="E5" s="303">
        <v>2022</v>
      </c>
      <c r="F5" s="304">
        <v>2023</v>
      </c>
      <c r="G5" s="303">
        <v>2024</v>
      </c>
      <c r="H5" s="305">
        <v>2025</v>
      </c>
      <c r="I5" s="303">
        <v>2026</v>
      </c>
      <c r="J5" s="303">
        <v>2027</v>
      </c>
      <c r="K5" s="303">
        <v>2028</v>
      </c>
      <c r="L5" s="303">
        <v>2029</v>
      </c>
      <c r="M5" s="303">
        <v>2030</v>
      </c>
      <c r="N5" s="303">
        <v>2031</v>
      </c>
      <c r="O5" s="303">
        <v>2032</v>
      </c>
      <c r="P5" s="303">
        <v>2033</v>
      </c>
      <c r="Q5" s="303">
        <v>2034</v>
      </c>
      <c r="R5" s="303">
        <v>2035</v>
      </c>
    </row>
    <row r="6" spans="1:31" ht="16" x14ac:dyDescent="0.2">
      <c r="A6" s="9"/>
      <c r="B6" s="86" t="s">
        <v>242</v>
      </c>
      <c r="C6" s="447">
        <f>'Income Statement'!D10</f>
        <v>338135</v>
      </c>
      <c r="D6" s="447">
        <f>'Income Statement'!E10</f>
        <v>504205</v>
      </c>
      <c r="E6" s="447">
        <f>'Income Statement'!F10</f>
        <v>564707</v>
      </c>
      <c r="F6" s="447">
        <f>'Income Statement'!G10</f>
        <v>652751</v>
      </c>
      <c r="G6" s="447">
        <f>'Income Statement'!H10</f>
        <v>927514</v>
      </c>
      <c r="H6" s="448">
        <f>'Income Statement'!I10</f>
        <v>1179092</v>
      </c>
      <c r="I6" s="449">
        <f>Proforma!C7</f>
        <v>1151177.3624012421</v>
      </c>
      <c r="J6" s="449">
        <f>Proforma!D7</f>
        <v>1364699.367385583</v>
      </c>
      <c r="K6" s="449">
        <f>Proforma!E7</f>
        <v>1617825.7357822079</v>
      </c>
      <c r="L6" s="449">
        <f>Proforma!F7</f>
        <v>1917902.340918819</v>
      </c>
      <c r="M6" s="449">
        <f>Proforma!G7</f>
        <v>2273637.5790952728</v>
      </c>
      <c r="N6" s="449">
        <f>Proforma!H7</f>
        <v>2695355.0922711054</v>
      </c>
      <c r="O6" s="449">
        <f>Proforma!I7</f>
        <v>3195293.3661145112</v>
      </c>
      <c r="P6" s="449">
        <f>Proforma!J7</f>
        <v>3787960.8979210723</v>
      </c>
      <c r="Q6" s="449">
        <f>Proforma!K7</f>
        <v>4490557.2415803056</v>
      </c>
      <c r="R6" s="449">
        <f>Proforma!L7</f>
        <v>5323472.1485579312</v>
      </c>
    </row>
    <row r="7" spans="1:31" ht="16" x14ac:dyDescent="0.2">
      <c r="A7" s="10"/>
      <c r="B7" s="307" t="s">
        <v>243</v>
      </c>
      <c r="C7" s="450">
        <f>35%*C6</f>
        <v>118347.24999999999</v>
      </c>
      <c r="D7" s="450">
        <f t="shared" ref="D7:R7" si="0">35%*D6</f>
        <v>176471.75</v>
      </c>
      <c r="E7" s="450">
        <f t="shared" si="0"/>
        <v>197647.44999999998</v>
      </c>
      <c r="F7" s="450">
        <f t="shared" si="0"/>
        <v>228462.84999999998</v>
      </c>
      <c r="G7" s="450">
        <f t="shared" si="0"/>
        <v>324629.89999999997</v>
      </c>
      <c r="H7" s="451">
        <f t="shared" si="0"/>
        <v>412682.19999999995</v>
      </c>
      <c r="I7" s="450">
        <f t="shared" si="0"/>
        <v>402912.07684043475</v>
      </c>
      <c r="J7" s="450">
        <f t="shared" si="0"/>
        <v>477644.77858495404</v>
      </c>
      <c r="K7" s="450">
        <f t="shared" si="0"/>
        <v>566239.00752377277</v>
      </c>
      <c r="L7" s="450">
        <f t="shared" si="0"/>
        <v>671265.81932158663</v>
      </c>
      <c r="M7" s="450">
        <f t="shared" si="0"/>
        <v>795773.15268334548</v>
      </c>
      <c r="N7" s="450">
        <f t="shared" si="0"/>
        <v>943374.28229488677</v>
      </c>
      <c r="O7" s="450">
        <f t="shared" si="0"/>
        <v>1118352.6781400789</v>
      </c>
      <c r="P7" s="450">
        <f t="shared" si="0"/>
        <v>1325786.3142723753</v>
      </c>
      <c r="Q7" s="450">
        <f t="shared" si="0"/>
        <v>1571695.0345531069</v>
      </c>
      <c r="R7" s="450">
        <f t="shared" si="0"/>
        <v>1863215.2519952757</v>
      </c>
    </row>
    <row r="8" spans="1:31" ht="16" x14ac:dyDescent="0.2">
      <c r="A8" s="9"/>
      <c r="B8" s="86" t="s">
        <v>244</v>
      </c>
      <c r="C8" s="449">
        <f>C6-C7</f>
        <v>219787.75</v>
      </c>
      <c r="D8" s="449">
        <f t="shared" ref="D8:R8" si="1">D6-D7</f>
        <v>327733.25</v>
      </c>
      <c r="E8" s="449">
        <f t="shared" si="1"/>
        <v>367059.55000000005</v>
      </c>
      <c r="F8" s="449">
        <f t="shared" si="1"/>
        <v>424288.15</v>
      </c>
      <c r="G8" s="449">
        <f t="shared" si="1"/>
        <v>602884.10000000009</v>
      </c>
      <c r="H8" s="452">
        <f t="shared" si="1"/>
        <v>766409.8</v>
      </c>
      <c r="I8" s="449">
        <f t="shared" si="1"/>
        <v>748265.28556080745</v>
      </c>
      <c r="J8" s="449">
        <f t="shared" si="1"/>
        <v>887054.5888006289</v>
      </c>
      <c r="K8" s="449">
        <f t="shared" si="1"/>
        <v>1051586.7282584351</v>
      </c>
      <c r="L8" s="449">
        <f t="shared" si="1"/>
        <v>1246636.5215972322</v>
      </c>
      <c r="M8" s="449">
        <f t="shared" si="1"/>
        <v>1477864.4264119272</v>
      </c>
      <c r="N8" s="449">
        <f t="shared" si="1"/>
        <v>1751980.8099762187</v>
      </c>
      <c r="O8" s="449">
        <f t="shared" si="1"/>
        <v>2076940.6879744323</v>
      </c>
      <c r="P8" s="449">
        <f t="shared" si="1"/>
        <v>2462174.583648697</v>
      </c>
      <c r="Q8" s="449">
        <f t="shared" si="1"/>
        <v>2918862.2070271987</v>
      </c>
      <c r="R8" s="449">
        <f t="shared" si="1"/>
        <v>3460256.8965626555</v>
      </c>
    </row>
    <row r="9" spans="1:31" ht="16" x14ac:dyDescent="0.2">
      <c r="A9" s="9"/>
      <c r="B9" s="86" t="s">
        <v>245</v>
      </c>
      <c r="C9" s="449">
        <f>+'Balance Sheet'!D15</f>
        <v>235939</v>
      </c>
      <c r="D9" s="449">
        <f>+'Balance Sheet'!E15</f>
        <v>266905</v>
      </c>
      <c r="E9" s="449">
        <f>+'Balance Sheet'!F15</f>
        <v>282571</v>
      </c>
      <c r="F9" s="449">
        <f>+'Balance Sheet'!G15</f>
        <v>317508</v>
      </c>
      <c r="G9" s="449">
        <f>+'Balance Sheet'!H15</f>
        <v>349138</v>
      </c>
      <c r="H9" s="452">
        <f>+'Balance Sheet'!I15</f>
        <v>402964</v>
      </c>
      <c r="I9" s="449">
        <f>Proforma!C25</f>
        <v>547069.97732597589</v>
      </c>
      <c r="J9" s="449">
        <f>Proforma!D25</f>
        <v>648541.29029700498</v>
      </c>
      <c r="K9" s="449">
        <f>Proforma!E25</f>
        <v>768833.64588198357</v>
      </c>
      <c r="L9" s="449">
        <f>Proforma!F25</f>
        <v>911437.99767857767</v>
      </c>
      <c r="M9" s="449">
        <f>Proforma!G25</f>
        <v>1080492.806294082</v>
      </c>
      <c r="N9" s="449">
        <f>Proforma!H25</f>
        <v>1280904.1398611644</v>
      </c>
      <c r="O9" s="449">
        <f>Proforma!I25</f>
        <v>1518488.050967097</v>
      </c>
      <c r="P9" s="449">
        <f>Proforma!J25</f>
        <v>1800139.361857146</v>
      </c>
      <c r="Q9" s="449">
        <f>Proforma!K25</f>
        <v>2134031.7561561558</v>
      </c>
      <c r="R9" s="449">
        <f>Proforma!L25</f>
        <v>2529854.9838855909</v>
      </c>
    </row>
    <row r="10" spans="1:31" ht="16" x14ac:dyDescent="0.2">
      <c r="A10" s="9"/>
      <c r="B10" s="86" t="s">
        <v>246</v>
      </c>
      <c r="C10" s="449">
        <f>'Working Capital'!C17</f>
        <v>289266</v>
      </c>
      <c r="D10" s="449">
        <f>'Working Capital'!D17</f>
        <v>289266</v>
      </c>
      <c r="E10" s="449">
        <f>'Working Capital'!E17</f>
        <v>28013</v>
      </c>
      <c r="F10" s="449">
        <f>'Working Capital'!F17</f>
        <v>202429</v>
      </c>
      <c r="G10" s="449">
        <f>'Working Capital'!G17</f>
        <v>310617</v>
      </c>
      <c r="H10" s="452">
        <f>'Working Capital'!H17</f>
        <v>367044</v>
      </c>
      <c r="I10" s="449">
        <f>'Working Capital'!I17</f>
        <v>705072.8189905975</v>
      </c>
      <c r="J10" s="449">
        <f>'Working Capital'!J17</f>
        <v>518533.10587487882</v>
      </c>
      <c r="K10" s="449">
        <f>'Working Capital'!K17</f>
        <v>614711.35957699874</v>
      </c>
      <c r="L10" s="449">
        <f>'Working Capital'!L17</f>
        <v>728728.89177529234</v>
      </c>
      <c r="M10" s="449">
        <f>'Working Capital'!M17</f>
        <v>863894.55707061198</v>
      </c>
      <c r="N10" s="449">
        <f>'Working Capital'!N17</f>
        <v>1024130.9410940195</v>
      </c>
      <c r="O10" s="449">
        <f>'Working Capital'!O17</f>
        <v>1214088.1962060919</v>
      </c>
      <c r="P10" s="449">
        <f>'Working Capital'!P17</f>
        <v>1439278.9916027319</v>
      </c>
      <c r="Q10" s="449">
        <f>'Working Capital'!Q17</f>
        <v>1706238.4941574261</v>
      </c>
      <c r="R10" s="449">
        <f>'Working Capital'!R17</f>
        <v>2022714.0227362923</v>
      </c>
    </row>
    <row r="11" spans="1:31" ht="16" x14ac:dyDescent="0.2">
      <c r="A11" s="10"/>
      <c r="B11" s="307" t="s">
        <v>247</v>
      </c>
      <c r="C11" s="450">
        <f>'Capital Expenditure'!C9</f>
        <v>233112</v>
      </c>
      <c r="D11" s="450">
        <f>'Capital Expenditure'!D9</f>
        <v>264078</v>
      </c>
      <c r="E11" s="450">
        <f>'Capital Expenditure'!E9</f>
        <v>298810</v>
      </c>
      <c r="F11" s="450">
        <f>'Capital Expenditure'!F9</f>
        <v>361738</v>
      </c>
      <c r="G11" s="450">
        <f>'Capital Expenditure'!G9</f>
        <v>384581</v>
      </c>
      <c r="H11" s="451">
        <f>'Capital Expenditure'!H9</f>
        <v>426441</v>
      </c>
      <c r="I11" s="450">
        <f>'Capital Expenditure'!I9</f>
        <v>673131.71970970265</v>
      </c>
      <c r="J11" s="450">
        <f>'Capital Expenditure'!J9</f>
        <v>732315.96345885901</v>
      </c>
      <c r="K11" s="450">
        <f>'Capital Expenditure'!K9</f>
        <v>868146.9638822967</v>
      </c>
      <c r="L11" s="450">
        <f>'Capital Expenditure'!L9</f>
        <v>1029172.0903341892</v>
      </c>
      <c r="M11" s="450">
        <f>'Capital Expenditure'!M9</f>
        <v>1220064.3849356943</v>
      </c>
      <c r="N11" s="450">
        <f>'Capital Expenditure'!N9</f>
        <v>1446363.6522684509</v>
      </c>
      <c r="O11" s="450">
        <f>'Capital Expenditure'!O9</f>
        <v>1714637.2277013834</v>
      </c>
      <c r="P11" s="450">
        <f>'Capital Expenditure'!P9</f>
        <v>2032670.5652540924</v>
      </c>
      <c r="Q11" s="450">
        <f>'Capital Expenditure'!Q9</f>
        <v>2409693.1759666456</v>
      </c>
      <c r="R11" s="450">
        <f>'Capital Expenditure'!R9</f>
        <v>2856646.4736376838</v>
      </c>
    </row>
    <row r="12" spans="1:31" ht="16" x14ac:dyDescent="0.2">
      <c r="A12" s="9"/>
      <c r="B12" s="308" t="s">
        <v>248</v>
      </c>
      <c r="C12" s="453">
        <f t="shared" ref="C12:R12" si="2">C6*(1-0.35)+C9-C11-C10</f>
        <v>-66651.25</v>
      </c>
      <c r="D12" s="453">
        <f t="shared" si="2"/>
        <v>41294.25</v>
      </c>
      <c r="E12" s="453">
        <f t="shared" si="2"/>
        <v>322807.55000000005</v>
      </c>
      <c r="F12" s="453">
        <f t="shared" si="2"/>
        <v>177629.15000000002</v>
      </c>
      <c r="G12" s="453">
        <f t="shared" si="2"/>
        <v>256824.09999999998</v>
      </c>
      <c r="H12" s="454">
        <f t="shared" si="2"/>
        <v>375888.80000000005</v>
      </c>
      <c r="I12" s="453">
        <f t="shared" si="2"/>
        <v>-82869.275813516811</v>
      </c>
      <c r="J12" s="453">
        <f t="shared" si="2"/>
        <v>284746.80976389616</v>
      </c>
      <c r="K12" s="453">
        <f t="shared" si="2"/>
        <v>337562.05068112316</v>
      </c>
      <c r="L12" s="453">
        <f t="shared" si="2"/>
        <v>400173.53716632864</v>
      </c>
      <c r="M12" s="453">
        <f t="shared" si="2"/>
        <v>474398.29069970315</v>
      </c>
      <c r="N12" s="453">
        <f t="shared" si="2"/>
        <v>562390.35647491249</v>
      </c>
      <c r="O12" s="453">
        <f t="shared" si="2"/>
        <v>666703.31503405399</v>
      </c>
      <c r="P12" s="453">
        <f t="shared" si="2"/>
        <v>790364.38864901848</v>
      </c>
      <c r="Q12" s="453">
        <f t="shared" si="2"/>
        <v>936962.29305928294</v>
      </c>
      <c r="R12" s="453">
        <f t="shared" si="2"/>
        <v>1110751.3840742703</v>
      </c>
    </row>
    <row r="13" spans="1:31" ht="16" x14ac:dyDescent="0.2">
      <c r="A13" s="76"/>
      <c r="B13" s="76"/>
      <c r="C13" s="84"/>
      <c r="D13" s="84"/>
      <c r="E13" s="84"/>
      <c r="F13" s="85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</row>
    <row r="14" spans="1:31" ht="16" x14ac:dyDescent="0.2">
      <c r="C14" s="84"/>
      <c r="D14" s="84"/>
      <c r="E14" s="84"/>
      <c r="F14" s="85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</row>
    <row r="15" spans="1:31" ht="16" x14ac:dyDescent="0.2"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40"/>
      <c r="N15" s="40"/>
      <c r="O15" s="40"/>
      <c r="P15" s="40"/>
      <c r="Q15" s="40"/>
      <c r="R15" s="40"/>
    </row>
    <row r="16" spans="1:31" ht="15.75" customHeight="1" x14ac:dyDescent="0.2"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</row>
  </sheetData>
  <mergeCells count="5">
    <mergeCell ref="I4:R4"/>
    <mergeCell ref="A1:R1"/>
    <mergeCell ref="A2:R2"/>
    <mergeCell ref="A3:R3"/>
    <mergeCell ref="C4:H4"/>
  </mergeCell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E6E7-B158-42E5-BD43-086D4739092F}">
  <dimension ref="A1:U11"/>
  <sheetViews>
    <sheetView workbookViewId="0"/>
  </sheetViews>
  <sheetFormatPr baseColWidth="10" defaultColWidth="11.5" defaultRowHeight="13" x14ac:dyDescent="0.15"/>
  <cols>
    <col min="3" max="3" width="19.6640625" bestFit="1" customWidth="1"/>
    <col min="6" max="6" width="12.6640625" bestFit="1" customWidth="1"/>
    <col min="10" max="21" width="7.33203125" bestFit="1" customWidth="1"/>
  </cols>
  <sheetData>
    <row r="1" spans="1:21" x14ac:dyDescent="0.15">
      <c r="A1" s="56" t="s">
        <v>249</v>
      </c>
      <c r="B1" s="56" t="s">
        <v>249</v>
      </c>
      <c r="C1" s="56" t="s">
        <v>249</v>
      </c>
      <c r="D1" s="56" t="s">
        <v>249</v>
      </c>
      <c r="E1" s="56" t="s">
        <v>249</v>
      </c>
      <c r="F1" s="56" t="s">
        <v>249</v>
      </c>
      <c r="G1" s="56" t="s">
        <v>249</v>
      </c>
      <c r="H1" s="56" t="s">
        <v>249</v>
      </c>
      <c r="I1" s="56" t="s">
        <v>249</v>
      </c>
      <c r="J1" s="56" t="s">
        <v>249</v>
      </c>
      <c r="K1" s="56" t="s">
        <v>249</v>
      </c>
      <c r="L1" s="56" t="s">
        <v>249</v>
      </c>
      <c r="M1" s="56" t="s">
        <v>249</v>
      </c>
      <c r="N1" s="56" t="s">
        <v>249</v>
      </c>
      <c r="O1" s="56" t="s">
        <v>249</v>
      </c>
      <c r="P1" s="56" t="s">
        <v>249</v>
      </c>
      <c r="Q1" s="56" t="s">
        <v>249</v>
      </c>
      <c r="R1" s="56" t="s">
        <v>249</v>
      </c>
      <c r="S1" s="56" t="s">
        <v>249</v>
      </c>
      <c r="T1" s="56" t="s">
        <v>249</v>
      </c>
      <c r="U1" s="56" t="s">
        <v>249</v>
      </c>
    </row>
    <row r="2" spans="1:21" ht="18" x14ac:dyDescent="0.2">
      <c r="A2" s="56" t="s">
        <v>249</v>
      </c>
      <c r="B2" s="57" t="s">
        <v>250</v>
      </c>
      <c r="C2" s="57"/>
      <c r="D2" s="57"/>
      <c r="E2" s="57" t="s">
        <v>249</v>
      </c>
      <c r="F2" s="57" t="s">
        <v>249</v>
      </c>
      <c r="G2" s="57" t="s">
        <v>249</v>
      </c>
      <c r="H2" s="57" t="s">
        <v>249</v>
      </c>
      <c r="I2" s="57" t="s">
        <v>249</v>
      </c>
      <c r="J2" s="57" t="s">
        <v>249</v>
      </c>
      <c r="K2" s="57" t="s">
        <v>249</v>
      </c>
      <c r="L2" s="57" t="s">
        <v>249</v>
      </c>
      <c r="M2" s="57" t="s">
        <v>249</v>
      </c>
      <c r="N2" s="57" t="s">
        <v>249</v>
      </c>
      <c r="O2" s="57" t="s">
        <v>249</v>
      </c>
      <c r="P2" s="57" t="s">
        <v>249</v>
      </c>
      <c r="Q2" s="57" t="s">
        <v>249</v>
      </c>
      <c r="R2" s="57" t="s">
        <v>249</v>
      </c>
      <c r="S2" s="57" t="s">
        <v>249</v>
      </c>
      <c r="T2" s="57" t="s">
        <v>249</v>
      </c>
      <c r="U2" s="57" t="s">
        <v>249</v>
      </c>
    </row>
    <row r="3" spans="1:21" ht="18" x14ac:dyDescent="0.2">
      <c r="A3" s="56" t="s">
        <v>249</v>
      </c>
      <c r="B3" s="56" t="s">
        <v>249</v>
      </c>
      <c r="C3" s="59" t="s">
        <v>249</v>
      </c>
      <c r="D3" s="59" t="s">
        <v>249</v>
      </c>
      <c r="E3" s="58" t="s">
        <v>54</v>
      </c>
      <c r="F3" s="58">
        <v>2020</v>
      </c>
      <c r="G3" s="58">
        <v>2021</v>
      </c>
      <c r="H3" s="58">
        <v>2022</v>
      </c>
      <c r="I3" s="58">
        <v>2023</v>
      </c>
      <c r="J3" s="58">
        <v>2024</v>
      </c>
      <c r="K3" s="58">
        <v>2025</v>
      </c>
      <c r="L3" s="58">
        <v>2026</v>
      </c>
      <c r="M3" s="58">
        <v>2027</v>
      </c>
      <c r="N3" s="58">
        <v>2028</v>
      </c>
      <c r="O3" s="58">
        <v>2029</v>
      </c>
      <c r="P3" s="58">
        <v>2030</v>
      </c>
      <c r="Q3" s="58">
        <v>2031</v>
      </c>
      <c r="R3" s="58">
        <v>2032</v>
      </c>
      <c r="S3" s="58">
        <v>2033</v>
      </c>
      <c r="T3" s="58">
        <v>2034</v>
      </c>
      <c r="U3" s="58">
        <v>2035</v>
      </c>
    </row>
    <row r="4" spans="1:21" ht="18" x14ac:dyDescent="0.2">
      <c r="A4" s="56" t="s">
        <v>249</v>
      </c>
      <c r="B4" s="582" t="s">
        <v>251</v>
      </c>
      <c r="C4" s="582"/>
      <c r="D4" s="582"/>
      <c r="E4" s="59" t="s">
        <v>249</v>
      </c>
      <c r="F4" s="59" t="s">
        <v>249</v>
      </c>
      <c r="G4" s="59" t="s">
        <v>249</v>
      </c>
      <c r="H4" s="59" t="s">
        <v>249</v>
      </c>
      <c r="I4" s="59" t="s">
        <v>249</v>
      </c>
      <c r="J4" s="59" t="s">
        <v>249</v>
      </c>
      <c r="K4" s="59" t="s">
        <v>249</v>
      </c>
      <c r="L4" s="59" t="s">
        <v>249</v>
      </c>
      <c r="M4" s="59" t="s">
        <v>249</v>
      </c>
      <c r="N4" s="59" t="s">
        <v>249</v>
      </c>
      <c r="O4" s="59" t="s">
        <v>249</v>
      </c>
      <c r="P4" s="59" t="s">
        <v>249</v>
      </c>
      <c r="Q4" s="59" t="s">
        <v>249</v>
      </c>
      <c r="R4" s="59" t="s">
        <v>249</v>
      </c>
      <c r="S4" s="59" t="s">
        <v>249</v>
      </c>
      <c r="T4" s="59" t="s">
        <v>249</v>
      </c>
      <c r="U4" s="59" t="s">
        <v>249</v>
      </c>
    </row>
    <row r="5" spans="1:21" ht="18" x14ac:dyDescent="0.2">
      <c r="A5" s="56" t="s">
        <v>249</v>
      </c>
      <c r="B5" s="60">
        <v>1</v>
      </c>
      <c r="C5" s="58" t="s">
        <v>252</v>
      </c>
      <c r="D5" s="58" t="s">
        <v>249</v>
      </c>
      <c r="E5" s="61" t="s">
        <v>249</v>
      </c>
      <c r="F5" s="62">
        <f>'Balance Sheet'!D25+'Balance Sheet'!D33+'Balance Sheet'!D34</f>
        <v>246625</v>
      </c>
      <c r="G5" s="62">
        <f>'Balance Sheet'!E25+'Balance Sheet'!E33+'Balance Sheet'!E34</f>
        <v>176274</v>
      </c>
      <c r="H5" s="62">
        <f>'Balance Sheet'!F25+'Balance Sheet'!F33+'Balance Sheet'!F34</f>
        <v>171972</v>
      </c>
      <c r="I5" s="62">
        <f>'Balance Sheet'!G25+'Balance Sheet'!G33+'Balance Sheet'!G34</f>
        <v>195723</v>
      </c>
      <c r="J5" s="62">
        <f>'Balance Sheet'!H25+'Balance Sheet'!H33+'Balance Sheet'!H34</f>
        <v>213298</v>
      </c>
      <c r="K5" s="62">
        <f>'Balanced Proforma'!B40+'Balanced Proforma'!B45</f>
        <v>276975</v>
      </c>
      <c r="L5" s="62">
        <f>'Balanced Proforma'!C40+'Balanced Proforma'!C45</f>
        <v>297587.11003203469</v>
      </c>
      <c r="M5" s="62">
        <f>'Balanced Proforma'!D40+'Balanced Proforma'!D45</f>
        <v>314890.87703775859</v>
      </c>
      <c r="N5" s="62">
        <f>'Balanced Proforma'!E40+'Balanced Proforma'!E45</f>
        <v>335404.17121585243</v>
      </c>
      <c r="O5" s="62">
        <f>'Balanced Proforma'!F40+'Balanced Proforma'!F45</f>
        <v>359722.30020463432</v>
      </c>
      <c r="P5" s="62">
        <f>'Balanced Proforma'!G40+'Balanced Proforma'!G45</f>
        <v>388550.99014496367</v>
      </c>
      <c r="Q5" s="62">
        <f>'Balanced Proforma'!H40+'Balanced Proforma'!H45</f>
        <v>406976.48915946006</v>
      </c>
      <c r="R5" s="62">
        <f>'Balanced Proforma'!I40+'Balanced Proforma'!I45</f>
        <v>423190.92829221685</v>
      </c>
      <c r="S5" s="62">
        <f>'Balanced Proforma'!J40+'Balanced Proforma'!J45</f>
        <v>438513.57327267207</v>
      </c>
      <c r="T5" s="62">
        <f>'Balanced Proforma'!K40+'Balanced Proforma'!K45</f>
        <v>450224.45193630573</v>
      </c>
      <c r="U5" s="62">
        <f>'Balanced Proforma'!L40+'Balanced Proforma'!L45</f>
        <v>462520.87453312101</v>
      </c>
    </row>
    <row r="6" spans="1:21" ht="18" x14ac:dyDescent="0.2">
      <c r="A6" s="56" t="s">
        <v>249</v>
      </c>
      <c r="B6" s="60">
        <v>2</v>
      </c>
      <c r="C6" s="58" t="s">
        <v>253</v>
      </c>
      <c r="D6" s="58" t="s">
        <v>249</v>
      </c>
      <c r="E6" s="63">
        <v>7.4649999999999994E-2</v>
      </c>
      <c r="F6" s="65">
        <f t="shared" ref="F6:U6" si="0">-F5*$E$6</f>
        <v>-18410.556249999998</v>
      </c>
      <c r="G6" s="65">
        <f t="shared" si="0"/>
        <v>-13158.854099999999</v>
      </c>
      <c r="H6" s="65">
        <f t="shared" si="0"/>
        <v>-12837.709799999999</v>
      </c>
      <c r="I6" s="65">
        <f t="shared" si="0"/>
        <v>-14610.721949999999</v>
      </c>
      <c r="J6" s="65">
        <f t="shared" si="0"/>
        <v>-15922.695699999998</v>
      </c>
      <c r="K6" s="65">
        <f t="shared" si="0"/>
        <v>-20676.18375</v>
      </c>
      <c r="L6" s="65">
        <f t="shared" si="0"/>
        <v>-22214.877763891389</v>
      </c>
      <c r="M6" s="65">
        <f t="shared" si="0"/>
        <v>-23506.603970868677</v>
      </c>
      <c r="N6" s="65">
        <f t="shared" si="0"/>
        <v>-25037.921381263383</v>
      </c>
      <c r="O6" s="65">
        <f t="shared" si="0"/>
        <v>-26853.269710275948</v>
      </c>
      <c r="P6" s="65">
        <f t="shared" si="0"/>
        <v>-29005.331414321536</v>
      </c>
      <c r="Q6" s="65">
        <f t="shared" si="0"/>
        <v>-30380.79491575369</v>
      </c>
      <c r="R6" s="65">
        <f t="shared" si="0"/>
        <v>-31591.202797013986</v>
      </c>
      <c r="S6" s="65">
        <f t="shared" si="0"/>
        <v>-32735.038244804968</v>
      </c>
      <c r="T6" s="65">
        <f t="shared" si="0"/>
        <v>-33609.255337045222</v>
      </c>
      <c r="U6" s="65">
        <f t="shared" si="0"/>
        <v>-34527.183283897481</v>
      </c>
    </row>
    <row r="7" spans="1:21" ht="18" x14ac:dyDescent="0.2">
      <c r="A7" s="56" t="s">
        <v>249</v>
      </c>
      <c r="B7" s="60">
        <v>3</v>
      </c>
      <c r="C7" s="58" t="s">
        <v>254</v>
      </c>
      <c r="D7" s="56" t="s">
        <v>249</v>
      </c>
      <c r="E7" s="56" t="s">
        <v>249</v>
      </c>
      <c r="F7" s="65"/>
      <c r="G7" s="64">
        <f t="shared" ref="G7:U7" si="1">G5-F5</f>
        <v>-70351</v>
      </c>
      <c r="H7" s="64">
        <f t="shared" si="1"/>
        <v>-4302</v>
      </c>
      <c r="I7" s="64">
        <f t="shared" si="1"/>
        <v>23751</v>
      </c>
      <c r="J7" s="64">
        <f t="shared" si="1"/>
        <v>17575</v>
      </c>
      <c r="K7" s="64">
        <f t="shared" si="1"/>
        <v>63677</v>
      </c>
      <c r="L7" s="64">
        <f t="shared" si="1"/>
        <v>20612.110032034689</v>
      </c>
      <c r="M7" s="64">
        <f t="shared" si="1"/>
        <v>17303.767005723901</v>
      </c>
      <c r="N7" s="64">
        <f t="shared" si="1"/>
        <v>20513.294178093842</v>
      </c>
      <c r="O7" s="64">
        <f t="shared" si="1"/>
        <v>24318.128988781886</v>
      </c>
      <c r="P7" s="64">
        <f t="shared" si="1"/>
        <v>28828.68994032935</v>
      </c>
      <c r="Q7" s="64">
        <f t="shared" si="1"/>
        <v>18425.499014496396</v>
      </c>
      <c r="R7" s="64">
        <f t="shared" si="1"/>
        <v>16214.439132756786</v>
      </c>
      <c r="S7" s="64">
        <f t="shared" si="1"/>
        <v>15322.644980455225</v>
      </c>
      <c r="T7" s="64">
        <f t="shared" si="1"/>
        <v>11710.878663633659</v>
      </c>
      <c r="U7" s="64">
        <f t="shared" si="1"/>
        <v>12296.422596815275</v>
      </c>
    </row>
    <row r="8" spans="1:21" x14ac:dyDescent="0.15">
      <c r="A8" s="56" t="s">
        <v>249</v>
      </c>
      <c r="B8" s="56" t="s">
        <v>249</v>
      </c>
      <c r="C8" s="56" t="s">
        <v>249</v>
      </c>
      <c r="D8" s="56" t="s">
        <v>249</v>
      </c>
      <c r="E8" s="56" t="s">
        <v>249</v>
      </c>
      <c r="F8" s="56" t="s">
        <v>249</v>
      </c>
      <c r="G8" s="56" t="s">
        <v>249</v>
      </c>
      <c r="H8" s="56" t="s">
        <v>249</v>
      </c>
      <c r="I8" s="56" t="s">
        <v>249</v>
      </c>
      <c r="J8" s="56" t="s">
        <v>249</v>
      </c>
      <c r="K8" s="56" t="s">
        <v>249</v>
      </c>
      <c r="L8" s="56" t="s">
        <v>249</v>
      </c>
      <c r="M8" s="56" t="s">
        <v>249</v>
      </c>
      <c r="N8" s="56" t="s">
        <v>249</v>
      </c>
      <c r="O8" s="56" t="s">
        <v>249</v>
      </c>
      <c r="P8" s="56" t="s">
        <v>249</v>
      </c>
      <c r="Q8" s="56" t="s">
        <v>249</v>
      </c>
      <c r="R8" s="56" t="s">
        <v>249</v>
      </c>
      <c r="S8" s="56" t="s">
        <v>249</v>
      </c>
      <c r="T8" s="56" t="s">
        <v>249</v>
      </c>
      <c r="U8" s="56" t="s">
        <v>249</v>
      </c>
    </row>
    <row r="9" spans="1:21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</row>
    <row r="10" spans="1:21" x14ac:dyDescent="0.1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</row>
    <row r="11" spans="1:21" x14ac:dyDescent="0.15">
      <c r="A11" s="55"/>
      <c r="B11" s="55"/>
      <c r="C11" s="55" t="s">
        <v>255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</sheetData>
  <mergeCells count="1">
    <mergeCell ref="B4:D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E999"/>
  <sheetViews>
    <sheetView topLeftCell="B1" zoomScale="92" workbookViewId="0">
      <selection activeCell="I63" sqref="I63"/>
    </sheetView>
  </sheetViews>
  <sheetFormatPr baseColWidth="10" defaultColWidth="12.6640625" defaultRowHeight="15.75" customHeight="1" x14ac:dyDescent="0.15"/>
  <cols>
    <col min="1" max="1" width="4.1640625" style="314" customWidth="1"/>
    <col min="2" max="2" width="27.6640625" style="314" customWidth="1"/>
    <col min="3" max="3" width="15.1640625" style="314" customWidth="1"/>
    <col min="4" max="4" width="22.5" style="314" customWidth="1"/>
    <col min="5" max="5" width="20.6640625" style="314" customWidth="1"/>
    <col min="6" max="6" width="26.1640625" style="314" customWidth="1"/>
    <col min="7" max="7" width="22.83203125" style="314" customWidth="1"/>
    <col min="8" max="8" width="15.1640625" style="314" customWidth="1"/>
    <col min="9" max="9" width="18" style="314" customWidth="1"/>
    <col min="10" max="10" width="14.1640625" style="314" customWidth="1"/>
    <col min="11" max="11" width="17.5" style="314" bestFit="1" customWidth="1"/>
    <col min="12" max="16384" width="12.6640625" style="314"/>
  </cols>
  <sheetData>
    <row r="1" spans="1:31" s="310" customFormat="1" ht="15.75" customHeight="1" x14ac:dyDescent="0.15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</row>
    <row r="2" spans="1:31" s="310" customFormat="1" ht="15.75" customHeight="1" x14ac:dyDescent="0.15">
      <c r="A2" s="583" t="s">
        <v>256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</row>
    <row r="3" spans="1:31" s="310" customFormat="1" ht="15.75" customHeight="1" x14ac:dyDescent="0.15">
      <c r="A3" s="584" t="s">
        <v>132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4"/>
      <c r="M3" s="584"/>
      <c r="N3" s="584"/>
      <c r="O3" s="584"/>
      <c r="P3" s="584"/>
      <c r="Q3" s="584"/>
      <c r="R3" s="584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</row>
    <row r="4" spans="1:31" ht="16" x14ac:dyDescent="0.2">
      <c r="A4" s="311"/>
      <c r="B4" s="329" t="s">
        <v>257</v>
      </c>
      <c r="C4" s="330" t="s">
        <v>258</v>
      </c>
      <c r="D4" s="312">
        <v>101.89</v>
      </c>
      <c r="E4" s="313">
        <v>2513013</v>
      </c>
      <c r="F4" s="507">
        <v>276975</v>
      </c>
      <c r="G4" s="508">
        <f>E4*D4</f>
        <v>256050894.56999999</v>
      </c>
      <c r="H4" s="509">
        <f>1-I4</f>
        <v>0.87349999999999994</v>
      </c>
      <c r="I4" s="509">
        <f>12.65/100</f>
        <v>0.1265</v>
      </c>
      <c r="J4" s="510">
        <v>0.99</v>
      </c>
      <c r="K4" s="511">
        <f>H4+(J4*I4)</f>
        <v>0.99873499999999993</v>
      </c>
      <c r="L4" s="311"/>
      <c r="M4" s="311"/>
      <c r="N4" s="311"/>
      <c r="O4" s="311"/>
      <c r="P4" s="311"/>
      <c r="Q4" s="311"/>
      <c r="R4" s="311"/>
      <c r="S4" s="311"/>
      <c r="T4" s="311"/>
      <c r="U4" s="311"/>
      <c r="V4" s="311"/>
      <c r="W4" s="311"/>
      <c r="X4" s="311"/>
      <c r="Y4" s="311"/>
      <c r="Z4" s="311"/>
      <c r="AA4" s="311"/>
      <c r="AB4" s="311"/>
      <c r="AC4" s="311"/>
      <c r="AD4" s="311"/>
      <c r="AE4" s="311"/>
    </row>
    <row r="5" spans="1:31" ht="16" x14ac:dyDescent="0.2">
      <c r="A5" s="311"/>
      <c r="B5" s="311"/>
      <c r="C5" s="315"/>
      <c r="D5" s="315"/>
      <c r="E5" s="315"/>
      <c r="F5" s="315"/>
      <c r="G5" s="315"/>
      <c r="H5" s="315"/>
      <c r="I5" s="315"/>
      <c r="J5" s="311"/>
      <c r="K5" s="311"/>
      <c r="L5" s="311"/>
      <c r="M5" s="311"/>
      <c r="N5" s="311"/>
      <c r="O5" s="311"/>
      <c r="P5" s="311"/>
      <c r="Q5" s="311"/>
      <c r="R5" s="311"/>
      <c r="S5" s="311"/>
      <c r="T5" s="311"/>
      <c r="U5" s="311"/>
      <c r="V5" s="311"/>
      <c r="W5" s="311"/>
      <c r="X5" s="311"/>
      <c r="Y5" s="311"/>
      <c r="Z5" s="311"/>
      <c r="AA5" s="311"/>
      <c r="AB5" s="311"/>
      <c r="AC5" s="311"/>
      <c r="AD5" s="311"/>
      <c r="AE5" s="311"/>
    </row>
    <row r="6" spans="1:31" ht="16" x14ac:dyDescent="0.2">
      <c r="A6" s="311"/>
      <c r="B6" s="327" t="s">
        <v>259</v>
      </c>
      <c r="C6" s="327" t="s">
        <v>260</v>
      </c>
      <c r="D6" s="327" t="s">
        <v>261</v>
      </c>
      <c r="E6" s="327" t="s">
        <v>262</v>
      </c>
      <c r="F6" s="327" t="s">
        <v>263</v>
      </c>
      <c r="G6" s="327" t="s">
        <v>264</v>
      </c>
      <c r="H6" s="327" t="s">
        <v>265</v>
      </c>
      <c r="I6" s="327" t="s">
        <v>266</v>
      </c>
      <c r="J6" s="327" t="s">
        <v>267</v>
      </c>
      <c r="K6" s="327" t="s">
        <v>268</v>
      </c>
      <c r="L6" s="311"/>
      <c r="M6" s="311"/>
      <c r="N6" s="311"/>
      <c r="O6" s="311"/>
      <c r="P6" s="311"/>
      <c r="Q6" s="311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</row>
    <row r="7" spans="1:31" ht="16" x14ac:dyDescent="0.2">
      <c r="A7" s="315"/>
      <c r="B7" s="336" t="s">
        <v>269</v>
      </c>
      <c r="C7" s="337" t="s">
        <v>270</v>
      </c>
      <c r="D7" s="341">
        <v>63</v>
      </c>
      <c r="E7" s="360">
        <v>149233</v>
      </c>
      <c r="F7" s="344">
        <v>1929135</v>
      </c>
      <c r="G7" s="344">
        <f>E7*D7</f>
        <v>9401679</v>
      </c>
      <c r="H7" s="348">
        <f t="shared" ref="H7:H10" si="0">G7/(F7+G7)</f>
        <v>0.82974435905487465</v>
      </c>
      <c r="I7" s="348">
        <f t="shared" ref="I7:I10" si="1">F7/(G7+H7)</f>
        <v>0.20519045903868596</v>
      </c>
      <c r="J7" s="348">
        <v>1.17</v>
      </c>
      <c r="K7" s="349">
        <f>H7+(J7*I7)</f>
        <v>1.0698171961301373</v>
      </c>
      <c r="L7" s="311"/>
      <c r="M7" s="311"/>
      <c r="N7" s="311"/>
      <c r="O7" s="311"/>
      <c r="P7" s="311"/>
      <c r="Q7" s="311"/>
      <c r="R7" s="311"/>
      <c r="S7" s="311"/>
      <c r="T7" s="311"/>
      <c r="U7" s="311"/>
      <c r="V7" s="311"/>
      <c r="W7" s="311"/>
      <c r="X7" s="311"/>
      <c r="Y7" s="311"/>
      <c r="Z7" s="311"/>
      <c r="AA7" s="311"/>
      <c r="AB7" s="311"/>
      <c r="AC7" s="311"/>
      <c r="AD7" s="311"/>
      <c r="AE7" s="311"/>
    </row>
    <row r="8" spans="1:31" ht="16" x14ac:dyDescent="0.2">
      <c r="A8" s="315"/>
      <c r="B8" s="338" t="s">
        <v>271</v>
      </c>
      <c r="C8" s="328" t="s">
        <v>272</v>
      </c>
      <c r="D8" s="342">
        <v>74.900000000000006</v>
      </c>
      <c r="E8" s="361">
        <v>56500</v>
      </c>
      <c r="F8" s="345">
        <v>1701296</v>
      </c>
      <c r="G8" s="345">
        <f t="shared" ref="G8:G10" si="2">E8*D8</f>
        <v>4231850</v>
      </c>
      <c r="H8" s="350">
        <f t="shared" si="0"/>
        <v>0.71325566571259158</v>
      </c>
      <c r="I8" s="350">
        <f t="shared" si="1"/>
        <v>0.40202174303335758</v>
      </c>
      <c r="J8" s="350">
        <v>1.1399999999999999</v>
      </c>
      <c r="K8" s="351">
        <f t="shared" ref="K8:K10" si="3">H8+(J8*I8)</f>
        <v>1.1715604527706192</v>
      </c>
      <c r="L8" s="311"/>
      <c r="M8" s="311"/>
      <c r="N8" s="311"/>
      <c r="O8" s="311"/>
      <c r="P8" s="311"/>
      <c r="Q8" s="311"/>
      <c r="R8" s="311"/>
      <c r="S8" s="311"/>
      <c r="T8" s="311"/>
      <c r="U8" s="311"/>
      <c r="V8" s="311"/>
      <c r="W8" s="311"/>
      <c r="X8" s="311"/>
      <c r="Y8" s="311"/>
      <c r="Z8" s="311"/>
      <c r="AA8" s="311"/>
      <c r="AB8" s="311"/>
      <c r="AC8" s="311"/>
      <c r="AD8" s="311"/>
      <c r="AE8" s="311"/>
    </row>
    <row r="9" spans="1:31" ht="16" x14ac:dyDescent="0.2">
      <c r="A9" s="315"/>
      <c r="B9" s="338" t="s">
        <v>273</v>
      </c>
      <c r="C9" s="328" t="s">
        <v>274</v>
      </c>
      <c r="D9" s="342">
        <v>12.04</v>
      </c>
      <c r="E9" s="361">
        <v>389695.2</v>
      </c>
      <c r="F9" s="345">
        <v>5366068</v>
      </c>
      <c r="G9" s="345">
        <f t="shared" si="2"/>
        <v>4691930.2079999996</v>
      </c>
      <c r="H9" s="350">
        <f t="shared" si="0"/>
        <v>0.46648747702779464</v>
      </c>
      <c r="I9" s="350">
        <f t="shared" si="1"/>
        <v>1.1436801547768314</v>
      </c>
      <c r="J9" s="350">
        <v>1.17</v>
      </c>
      <c r="K9" s="351">
        <f t="shared" si="3"/>
        <v>1.8045932581166872</v>
      </c>
      <c r="L9" s="311"/>
      <c r="M9" s="311"/>
      <c r="N9" s="311"/>
      <c r="O9" s="311"/>
      <c r="P9" s="311"/>
      <c r="Q9" s="311"/>
      <c r="R9" s="311"/>
      <c r="S9" s="311"/>
      <c r="T9" s="311"/>
      <c r="U9" s="311"/>
      <c r="V9" s="311"/>
      <c r="W9" s="311"/>
      <c r="X9" s="311"/>
      <c r="Y9" s="311"/>
      <c r="Z9" s="311"/>
      <c r="AA9" s="311"/>
      <c r="AB9" s="311"/>
      <c r="AC9" s="311"/>
      <c r="AD9" s="311"/>
      <c r="AE9" s="311"/>
    </row>
    <row r="10" spans="1:31" ht="16" x14ac:dyDescent="0.2">
      <c r="A10" s="311"/>
      <c r="B10" s="339" t="s">
        <v>275</v>
      </c>
      <c r="C10" s="340" t="s">
        <v>276</v>
      </c>
      <c r="D10" s="343">
        <v>74.2</v>
      </c>
      <c r="E10" s="362">
        <v>1476000</v>
      </c>
      <c r="F10" s="346">
        <v>11018000</v>
      </c>
      <c r="G10" s="347">
        <f t="shared" si="2"/>
        <v>109519200</v>
      </c>
      <c r="H10" s="352">
        <f t="shared" si="0"/>
        <v>0.90859253408906127</v>
      </c>
      <c r="I10" s="352">
        <f t="shared" si="1"/>
        <v>0.10060336368958625</v>
      </c>
      <c r="J10" s="353">
        <v>1.28</v>
      </c>
      <c r="K10" s="354">
        <f t="shared" si="3"/>
        <v>1.0373648396117316</v>
      </c>
      <c r="L10" s="311"/>
      <c r="M10" s="311"/>
      <c r="N10" s="311"/>
      <c r="O10" s="311"/>
      <c r="P10" s="311"/>
      <c r="Q10" s="311"/>
      <c r="R10" s="311"/>
      <c r="S10" s="311"/>
      <c r="T10" s="311"/>
      <c r="U10" s="311"/>
      <c r="V10" s="311"/>
      <c r="W10" s="311"/>
      <c r="X10" s="311"/>
      <c r="Y10" s="311"/>
      <c r="Z10" s="311"/>
      <c r="AA10" s="311"/>
      <c r="AB10" s="311"/>
      <c r="AC10" s="311"/>
      <c r="AD10" s="311"/>
      <c r="AE10" s="311"/>
    </row>
    <row r="11" spans="1:31" ht="16" x14ac:dyDescent="0.2">
      <c r="A11" s="311"/>
      <c r="B11" s="311"/>
      <c r="C11" s="311"/>
      <c r="D11" s="311"/>
      <c r="E11" s="311"/>
      <c r="F11" s="311"/>
      <c r="G11" s="311"/>
      <c r="H11" s="311"/>
      <c r="I11" s="311"/>
      <c r="J11" s="355" t="s">
        <v>277</v>
      </c>
      <c r="K11" s="356">
        <f>AVERAGE(K7:K10)</f>
        <v>1.2708339366572936</v>
      </c>
      <c r="L11" s="311"/>
      <c r="M11" s="311"/>
      <c r="N11" s="311"/>
      <c r="O11" s="311"/>
      <c r="P11" s="311"/>
      <c r="Q11" s="311"/>
      <c r="R11" s="311"/>
      <c r="S11" s="311"/>
      <c r="T11" s="311"/>
      <c r="U11" s="311"/>
      <c r="V11" s="311"/>
      <c r="W11" s="311"/>
      <c r="X11" s="311"/>
      <c r="Y11" s="311"/>
      <c r="Z11" s="311"/>
      <c r="AA11" s="311"/>
      <c r="AB11" s="311"/>
      <c r="AC11" s="311"/>
      <c r="AD11" s="311"/>
      <c r="AE11" s="311"/>
    </row>
    <row r="12" spans="1:31" ht="16" x14ac:dyDescent="0.2">
      <c r="A12" s="311"/>
      <c r="B12" s="311"/>
      <c r="C12" s="311"/>
      <c r="D12" s="311"/>
      <c r="E12" s="311"/>
      <c r="F12" s="311"/>
      <c r="G12" s="311"/>
      <c r="H12" s="311"/>
      <c r="I12" s="311"/>
      <c r="J12" s="331" t="s">
        <v>278</v>
      </c>
      <c r="K12" s="332">
        <f>K4</f>
        <v>0.99873499999999993</v>
      </c>
      <c r="L12" s="311"/>
      <c r="M12" s="311"/>
      <c r="N12" s="311"/>
      <c r="O12" s="311"/>
      <c r="P12" s="311"/>
      <c r="Q12" s="311"/>
      <c r="R12" s="311"/>
      <c r="S12" s="311"/>
      <c r="T12" s="311"/>
      <c r="U12" s="311"/>
      <c r="V12" s="311"/>
      <c r="W12" s="311"/>
      <c r="X12" s="311"/>
      <c r="Y12" s="311"/>
      <c r="Z12" s="311"/>
      <c r="AA12" s="311"/>
      <c r="AB12" s="311"/>
      <c r="AC12" s="311"/>
      <c r="AD12" s="311"/>
      <c r="AE12" s="311"/>
    </row>
    <row r="13" spans="1:31" ht="16" x14ac:dyDescent="0.2">
      <c r="A13" s="311"/>
      <c r="B13" s="311"/>
      <c r="C13" s="311"/>
      <c r="D13" s="311"/>
      <c r="E13" s="311"/>
      <c r="F13" s="311"/>
      <c r="G13" s="311"/>
      <c r="H13" s="311"/>
      <c r="I13" s="311"/>
      <c r="J13" s="331" t="s">
        <v>279</v>
      </c>
      <c r="K13" s="333">
        <v>4.2700000000000002E-2</v>
      </c>
      <c r="M13" s="311"/>
      <c r="N13" s="311"/>
      <c r="O13" s="311"/>
      <c r="P13" s="311"/>
      <c r="Q13" s="311"/>
      <c r="R13" s="311"/>
      <c r="S13" s="311"/>
      <c r="T13" s="311"/>
      <c r="U13" s="311"/>
      <c r="V13" s="311"/>
      <c r="W13" s="311"/>
      <c r="X13" s="311"/>
      <c r="Y13" s="311"/>
      <c r="Z13" s="311"/>
      <c r="AA13" s="311"/>
      <c r="AB13" s="311"/>
      <c r="AC13" s="311"/>
      <c r="AD13" s="311"/>
      <c r="AE13" s="311"/>
    </row>
    <row r="14" spans="1:31" ht="16" x14ac:dyDescent="0.2">
      <c r="A14" s="311"/>
      <c r="B14" s="311"/>
      <c r="C14" s="311"/>
      <c r="D14" s="311"/>
      <c r="E14" s="311"/>
      <c r="F14" s="311"/>
      <c r="G14" s="311"/>
      <c r="H14" s="311"/>
      <c r="I14" s="311"/>
      <c r="J14" s="331" t="s">
        <v>280</v>
      </c>
      <c r="K14" s="334">
        <v>0.04</v>
      </c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311"/>
      <c r="AA14" s="311"/>
      <c r="AB14" s="311"/>
      <c r="AC14" s="311"/>
      <c r="AD14" s="311"/>
      <c r="AE14" s="311"/>
    </row>
    <row r="15" spans="1:31" ht="16" x14ac:dyDescent="0.2">
      <c r="A15" s="311"/>
      <c r="B15" s="311"/>
      <c r="C15" s="311"/>
      <c r="D15" s="311"/>
      <c r="E15" s="311"/>
      <c r="F15" s="311"/>
      <c r="G15" s="311"/>
      <c r="H15" s="311"/>
      <c r="I15" s="311"/>
      <c r="J15" s="331"/>
      <c r="K15" s="335"/>
      <c r="L15" s="311"/>
      <c r="M15" s="311"/>
      <c r="N15" s="311"/>
      <c r="O15" s="311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</row>
    <row r="16" spans="1:31" ht="16" x14ac:dyDescent="0.2">
      <c r="A16" s="311"/>
      <c r="B16" s="311"/>
      <c r="C16" s="311"/>
      <c r="D16" s="311"/>
      <c r="E16" s="311"/>
      <c r="F16" s="311"/>
      <c r="G16" s="311"/>
      <c r="H16" s="311"/>
      <c r="I16" s="311"/>
      <c r="J16" s="355" t="s">
        <v>281</v>
      </c>
      <c r="K16" s="359">
        <f>K13+K12*K14</f>
        <v>8.2649399999999998E-2</v>
      </c>
      <c r="L16" s="311"/>
      <c r="M16" s="311"/>
      <c r="N16" s="311"/>
      <c r="O16" s="311"/>
      <c r="P16" s="311"/>
      <c r="Q16" s="311"/>
      <c r="R16" s="311"/>
      <c r="S16" s="311"/>
      <c r="T16" s="311"/>
      <c r="U16" s="311"/>
      <c r="V16" s="311"/>
      <c r="W16" s="311"/>
      <c r="X16" s="311"/>
      <c r="Y16" s="311"/>
      <c r="Z16" s="311"/>
      <c r="AA16" s="311"/>
      <c r="AB16" s="311"/>
      <c r="AC16" s="311"/>
      <c r="AD16" s="311"/>
      <c r="AE16" s="311"/>
    </row>
    <row r="17" spans="1:31" ht="16" x14ac:dyDescent="0.2">
      <c r="A17" s="311"/>
      <c r="B17" s="311"/>
      <c r="C17" s="311"/>
      <c r="D17" s="311"/>
      <c r="E17" s="311"/>
      <c r="F17" s="311"/>
      <c r="G17" s="311"/>
      <c r="H17" s="311"/>
      <c r="I17" s="311"/>
      <c r="J17" s="331" t="s">
        <v>282</v>
      </c>
      <c r="K17" s="335">
        <f>'Income Statement'!J16/'Income Statement'!J15</f>
        <v>0.21629396948099081</v>
      </c>
      <c r="L17" s="311"/>
      <c r="M17" s="311"/>
      <c r="N17" s="311"/>
      <c r="O17" s="311"/>
      <c r="P17" s="311"/>
      <c r="Q17" s="311"/>
      <c r="R17" s="311"/>
      <c r="S17" s="311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</row>
    <row r="18" spans="1:31" ht="16" x14ac:dyDescent="0.2">
      <c r="A18" s="311"/>
      <c r="B18" s="311"/>
      <c r="C18" s="311"/>
      <c r="D18" s="311"/>
      <c r="E18" s="311"/>
      <c r="F18" s="311"/>
      <c r="G18" s="311"/>
      <c r="H18" s="311"/>
      <c r="I18" s="311"/>
      <c r="J18" s="331" t="s">
        <v>283</v>
      </c>
      <c r="K18" s="335">
        <f>I4</f>
        <v>0.1265</v>
      </c>
      <c r="L18" s="311"/>
      <c r="M18" s="311"/>
      <c r="N18" s="311"/>
      <c r="O18" s="311"/>
      <c r="P18" s="311"/>
      <c r="Q18" s="311"/>
      <c r="R18" s="311"/>
      <c r="S18" s="311"/>
      <c r="T18" s="311"/>
      <c r="U18" s="311"/>
      <c r="V18" s="311"/>
      <c r="W18" s="311"/>
      <c r="X18" s="311"/>
      <c r="Y18" s="311"/>
      <c r="Z18" s="311"/>
      <c r="AA18" s="311"/>
      <c r="AB18" s="311"/>
      <c r="AC18" s="311"/>
      <c r="AD18" s="311"/>
      <c r="AE18" s="311"/>
    </row>
    <row r="19" spans="1:31" ht="16" x14ac:dyDescent="0.2">
      <c r="A19" s="311"/>
      <c r="B19" s="311"/>
      <c r="C19" s="311"/>
      <c r="D19" s="311"/>
      <c r="E19" s="311"/>
      <c r="F19" s="311"/>
      <c r="G19" s="311"/>
      <c r="H19" s="311"/>
      <c r="I19" s="311"/>
      <c r="J19" s="331" t="s">
        <v>284</v>
      </c>
      <c r="K19" s="334">
        <f>1.25%</f>
        <v>1.2500000000000001E-2</v>
      </c>
      <c r="L19" s="311"/>
      <c r="M19" s="311"/>
      <c r="N19" s="311"/>
      <c r="O19" s="311"/>
      <c r="P19" s="311"/>
      <c r="Q19" s="311"/>
      <c r="R19" s="311"/>
      <c r="S19" s="311"/>
      <c r="T19" s="311"/>
      <c r="U19" s="311"/>
      <c r="V19" s="311"/>
      <c r="W19" s="311"/>
      <c r="X19" s="311"/>
      <c r="Y19" s="311"/>
      <c r="Z19" s="311"/>
      <c r="AA19" s="311"/>
      <c r="AB19" s="311"/>
      <c r="AC19" s="311"/>
      <c r="AD19" s="311"/>
      <c r="AE19" s="311"/>
    </row>
    <row r="20" spans="1:31" ht="16" x14ac:dyDescent="0.2">
      <c r="A20" s="311"/>
      <c r="B20" s="311"/>
      <c r="C20" s="311"/>
      <c r="D20" s="311"/>
      <c r="E20" s="311"/>
      <c r="F20" s="311"/>
      <c r="G20" s="311"/>
      <c r="H20" s="311"/>
      <c r="I20" s="311"/>
      <c r="J20" s="357" t="s">
        <v>285</v>
      </c>
      <c r="K20" s="358">
        <f>(K16*H4)+(K18*(1-K17)*K19)</f>
        <v>7.3433486060758182E-2</v>
      </c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311"/>
      <c r="AB20" s="311"/>
      <c r="AC20" s="311"/>
      <c r="AD20" s="311"/>
      <c r="AE20" s="311"/>
    </row>
    <row r="21" spans="1:31" ht="16" x14ac:dyDescent="0.2">
      <c r="A21" s="311"/>
      <c r="B21" s="311"/>
      <c r="C21" s="311"/>
      <c r="D21" s="311"/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11"/>
      <c r="U21" s="311"/>
      <c r="V21" s="311"/>
      <c r="W21" s="311"/>
      <c r="X21" s="311"/>
      <c r="Y21" s="311"/>
      <c r="Z21" s="311"/>
      <c r="AA21" s="311"/>
      <c r="AB21" s="311"/>
      <c r="AC21" s="311"/>
      <c r="AD21" s="311"/>
      <c r="AE21" s="311"/>
    </row>
    <row r="22" spans="1:31" ht="16" x14ac:dyDescent="0.2">
      <c r="A22" s="311"/>
      <c r="B22" s="311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1"/>
      <c r="AC22" s="311"/>
      <c r="AD22" s="311"/>
      <c r="AE22" s="311"/>
    </row>
    <row r="23" spans="1:31" ht="16" x14ac:dyDescent="0.2">
      <c r="A23" s="311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  <c r="Q23" s="311"/>
      <c r="R23" s="311"/>
      <c r="S23" s="311"/>
      <c r="T23" s="311"/>
      <c r="U23" s="311"/>
      <c r="V23" s="311"/>
      <c r="W23" s="311"/>
      <c r="X23" s="311"/>
      <c r="Y23" s="311"/>
      <c r="Z23" s="311"/>
      <c r="AA23" s="311"/>
      <c r="AB23" s="311"/>
      <c r="AC23" s="311"/>
      <c r="AD23" s="311"/>
      <c r="AE23" s="311"/>
    </row>
    <row r="24" spans="1:31" ht="16" x14ac:dyDescent="0.2">
      <c r="A24" s="31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  <c r="X24" s="311"/>
      <c r="Y24" s="311"/>
      <c r="Z24" s="311"/>
      <c r="AA24" s="311"/>
      <c r="AB24" s="311"/>
      <c r="AC24" s="311"/>
      <c r="AD24" s="311"/>
      <c r="AE24" s="311"/>
    </row>
    <row r="25" spans="1:31" ht="16" x14ac:dyDescent="0.2">
      <c r="A25" s="31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1"/>
      <c r="S25" s="311"/>
      <c r="T25" s="311"/>
      <c r="U25" s="311"/>
      <c r="V25" s="311"/>
      <c r="W25" s="311"/>
      <c r="X25" s="311"/>
      <c r="Y25" s="311"/>
      <c r="Z25" s="311"/>
      <c r="AA25" s="311"/>
      <c r="AB25" s="311"/>
      <c r="AC25" s="311"/>
      <c r="AD25" s="311"/>
      <c r="AE25" s="311"/>
    </row>
    <row r="26" spans="1:31" ht="16" x14ac:dyDescent="0.2">
      <c r="A26" s="311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311"/>
      <c r="AB26" s="311"/>
      <c r="AC26" s="311"/>
      <c r="AD26" s="311"/>
      <c r="AE26" s="311"/>
    </row>
    <row r="27" spans="1:31" ht="16" x14ac:dyDescent="0.2">
      <c r="A27" s="311"/>
      <c r="B27" s="311"/>
      <c r="C27" s="311"/>
      <c r="D27" s="311"/>
      <c r="E27" s="311"/>
      <c r="F27" s="311"/>
      <c r="G27" s="311"/>
      <c r="H27" s="311"/>
      <c r="I27" s="311"/>
      <c r="J27" s="311"/>
      <c r="K27" s="311"/>
      <c r="L27" s="311"/>
      <c r="M27" s="311"/>
      <c r="N27" s="311"/>
      <c r="O27" s="311"/>
      <c r="P27" s="311"/>
      <c r="Q27" s="311"/>
      <c r="R27" s="311"/>
      <c r="S27" s="311"/>
      <c r="T27" s="311"/>
      <c r="U27" s="311"/>
      <c r="V27" s="311"/>
      <c r="W27" s="311"/>
      <c r="X27" s="311"/>
      <c r="Y27" s="311"/>
      <c r="Z27" s="311"/>
      <c r="AA27" s="311"/>
      <c r="AB27" s="311"/>
      <c r="AC27" s="311"/>
      <c r="AD27" s="311"/>
      <c r="AE27" s="311"/>
    </row>
    <row r="28" spans="1:31" ht="16" hidden="1" x14ac:dyDescent="0.2">
      <c r="A28" s="311"/>
      <c r="B28" s="316" t="s">
        <v>259</v>
      </c>
      <c r="C28" s="316" t="s">
        <v>286</v>
      </c>
      <c r="D28" s="316" t="s">
        <v>287</v>
      </c>
      <c r="E28" s="316" t="s">
        <v>288</v>
      </c>
      <c r="F28" s="316" t="s">
        <v>289</v>
      </c>
      <c r="G28" s="316" t="s">
        <v>290</v>
      </c>
      <c r="H28" s="316" t="s">
        <v>283</v>
      </c>
      <c r="I28" s="311"/>
      <c r="J28" s="311"/>
      <c r="K28" s="311"/>
      <c r="L28" s="311"/>
      <c r="M28" s="311"/>
      <c r="N28" s="311"/>
      <c r="O28" s="311"/>
      <c r="P28" s="311"/>
      <c r="Q28" s="311"/>
      <c r="R28" s="311"/>
      <c r="S28" s="311"/>
      <c r="T28" s="311"/>
      <c r="U28" s="311"/>
      <c r="V28" s="311"/>
      <c r="W28" s="311"/>
      <c r="X28" s="311"/>
      <c r="Y28" s="311"/>
      <c r="Z28" s="311"/>
      <c r="AA28" s="311"/>
      <c r="AB28" s="311"/>
      <c r="AC28" s="311"/>
      <c r="AD28" s="311"/>
      <c r="AE28" s="311"/>
    </row>
    <row r="29" spans="1:31" ht="16" hidden="1" x14ac:dyDescent="0.2">
      <c r="A29" s="311"/>
      <c r="B29" s="314" t="s">
        <v>291</v>
      </c>
      <c r="C29" s="314">
        <v>62.96</v>
      </c>
      <c r="D29" s="317">
        <v>149603</v>
      </c>
      <c r="E29" s="314">
        <v>2.25</v>
      </c>
      <c r="F29" s="314" t="s">
        <v>292</v>
      </c>
      <c r="G29" s="314" t="s">
        <v>293</v>
      </c>
      <c r="H29" s="314" t="s">
        <v>294</v>
      </c>
      <c r="I29" s="311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</row>
    <row r="30" spans="1:31" ht="16" hidden="1" x14ac:dyDescent="0.2">
      <c r="A30" s="311"/>
      <c r="B30" s="314" t="s">
        <v>295</v>
      </c>
      <c r="C30" s="314" t="s">
        <v>296</v>
      </c>
      <c r="D30" s="317">
        <v>147140</v>
      </c>
      <c r="E30" s="314">
        <v>2.58</v>
      </c>
      <c r="F30" s="314">
        <v>2.1</v>
      </c>
      <c r="G30" s="314" t="s">
        <v>297</v>
      </c>
      <c r="H30" s="314" t="s">
        <v>298</v>
      </c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311"/>
      <c r="V30" s="311"/>
      <c r="W30" s="311"/>
      <c r="X30" s="311"/>
      <c r="Y30" s="311"/>
      <c r="Z30" s="311"/>
      <c r="AA30" s="311"/>
      <c r="AB30" s="311"/>
      <c r="AC30" s="311"/>
      <c r="AD30" s="311"/>
      <c r="AE30" s="311"/>
    </row>
    <row r="31" spans="1:31" ht="16" hidden="1" x14ac:dyDescent="0.2">
      <c r="A31" s="311"/>
      <c r="B31" s="314" t="s">
        <v>299</v>
      </c>
      <c r="C31" s="314">
        <v>75.239999999999995</v>
      </c>
      <c r="D31" s="317">
        <v>54620</v>
      </c>
      <c r="E31" s="314">
        <v>1.77</v>
      </c>
      <c r="F31" s="314">
        <v>1.84</v>
      </c>
      <c r="G31" s="314" t="s">
        <v>300</v>
      </c>
      <c r="H31" s="314" t="s">
        <v>301</v>
      </c>
      <c r="I31" s="311"/>
      <c r="J31" s="311"/>
      <c r="K31" s="311"/>
      <c r="L31" s="311"/>
      <c r="M31" s="311"/>
      <c r="N31" s="311"/>
      <c r="O31" s="311"/>
      <c r="P31" s="311"/>
      <c r="Q31" s="311"/>
      <c r="R31" s="311"/>
      <c r="S31" s="311"/>
      <c r="T31" s="311"/>
      <c r="U31" s="311"/>
      <c r="V31" s="311"/>
      <c r="W31" s="311"/>
      <c r="X31" s="311"/>
      <c r="Y31" s="311"/>
      <c r="Z31" s="311"/>
      <c r="AA31" s="311"/>
      <c r="AB31" s="311"/>
      <c r="AC31" s="311"/>
      <c r="AD31" s="311"/>
      <c r="AE31" s="311"/>
    </row>
    <row r="32" spans="1:31" ht="16" hidden="1" x14ac:dyDescent="0.2">
      <c r="A32" s="311"/>
      <c r="B32" s="314" t="s">
        <v>302</v>
      </c>
      <c r="C32" s="314">
        <v>11.83</v>
      </c>
      <c r="D32" s="314" t="s">
        <v>296</v>
      </c>
      <c r="E32" s="314" t="s">
        <v>296</v>
      </c>
      <c r="F32" s="314" t="s">
        <v>296</v>
      </c>
      <c r="G32" s="314" t="s">
        <v>296</v>
      </c>
      <c r="H32" s="314" t="s">
        <v>296</v>
      </c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1"/>
      <c r="AC32" s="311"/>
      <c r="AD32" s="311"/>
      <c r="AE32" s="311"/>
    </row>
    <row r="33" spans="1:31" ht="16" hidden="1" x14ac:dyDescent="0.2">
      <c r="A33" s="31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</row>
    <row r="34" spans="1:31" ht="16" hidden="1" x14ac:dyDescent="0.2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</row>
    <row r="35" spans="1:31" ht="16" hidden="1" x14ac:dyDescent="0.2">
      <c r="A35" s="311"/>
      <c r="B35" s="311"/>
      <c r="C35" s="311"/>
      <c r="D35" s="311"/>
      <c r="E35" s="311"/>
      <c r="F35" s="311"/>
      <c r="G35" s="311"/>
      <c r="H35" s="311"/>
      <c r="I35" s="311"/>
      <c r="J35" s="311"/>
      <c r="K35" s="311"/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</row>
    <row r="36" spans="1:31" ht="16" hidden="1" x14ac:dyDescent="0.2">
      <c r="A36" s="311"/>
      <c r="B36" s="316" t="s">
        <v>259</v>
      </c>
      <c r="C36" s="316" t="s">
        <v>303</v>
      </c>
      <c r="D36" s="316" t="s">
        <v>304</v>
      </c>
      <c r="E36" s="316" t="s">
        <v>305</v>
      </c>
      <c r="F36" s="316" t="s">
        <v>306</v>
      </c>
      <c r="G36" s="316" t="s">
        <v>307</v>
      </c>
      <c r="H36" s="311"/>
      <c r="I36" s="311"/>
      <c r="J36" s="311"/>
      <c r="K36" s="311"/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</row>
    <row r="37" spans="1:31" ht="16" hidden="1" x14ac:dyDescent="0.2">
      <c r="A37" s="311"/>
      <c r="B37" s="314" t="s">
        <v>291</v>
      </c>
      <c r="C37" s="314" t="s">
        <v>308</v>
      </c>
      <c r="D37" s="318" t="s">
        <v>309</v>
      </c>
      <c r="E37" s="318" t="s">
        <v>310</v>
      </c>
      <c r="F37" s="318" t="s">
        <v>311</v>
      </c>
      <c r="G37" s="318" t="s">
        <v>312</v>
      </c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</row>
    <row r="38" spans="1:31" ht="16" hidden="1" x14ac:dyDescent="0.2">
      <c r="A38" s="311"/>
      <c r="B38" s="314" t="s">
        <v>313</v>
      </c>
      <c r="C38" s="314" t="s">
        <v>314</v>
      </c>
      <c r="D38" s="318" t="s">
        <v>315</v>
      </c>
      <c r="E38" s="318" t="s">
        <v>316</v>
      </c>
      <c r="F38" s="318" t="s">
        <v>317</v>
      </c>
      <c r="G38" s="318" t="s">
        <v>318</v>
      </c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311"/>
      <c r="U38" s="311"/>
      <c r="V38" s="311"/>
      <c r="W38" s="311"/>
      <c r="X38" s="311"/>
      <c r="Y38" s="311"/>
      <c r="Z38" s="311"/>
      <c r="AA38" s="311"/>
      <c r="AB38" s="311"/>
      <c r="AC38" s="311"/>
      <c r="AD38" s="311"/>
      <c r="AE38" s="311"/>
    </row>
    <row r="39" spans="1:31" ht="16" hidden="1" x14ac:dyDescent="0.2">
      <c r="A39" s="311"/>
      <c r="B39" s="314" t="s">
        <v>299</v>
      </c>
      <c r="C39" s="314" t="s">
        <v>308</v>
      </c>
      <c r="D39" s="318" t="s">
        <v>319</v>
      </c>
      <c r="E39" s="318" t="s">
        <v>320</v>
      </c>
      <c r="F39" s="318" t="s">
        <v>321</v>
      </c>
      <c r="G39" s="318" t="s">
        <v>322</v>
      </c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311"/>
      <c r="AB39" s="311"/>
      <c r="AC39" s="311"/>
      <c r="AD39" s="311"/>
      <c r="AE39" s="311"/>
    </row>
    <row r="40" spans="1:31" ht="16" hidden="1" x14ac:dyDescent="0.2">
      <c r="A40" s="311"/>
      <c r="B40" s="314" t="s">
        <v>323</v>
      </c>
      <c r="C40" s="314" t="s">
        <v>308</v>
      </c>
      <c r="D40" s="318" t="s">
        <v>324</v>
      </c>
      <c r="E40" s="318" t="s">
        <v>325</v>
      </c>
      <c r="F40" s="318" t="s">
        <v>326</v>
      </c>
      <c r="G40" s="318" t="s">
        <v>327</v>
      </c>
      <c r="H40" s="311"/>
      <c r="I40" s="311"/>
      <c r="J40" s="311"/>
      <c r="K40" s="311"/>
      <c r="L40" s="311"/>
      <c r="M40" s="311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A40" s="311"/>
      <c r="AB40" s="311"/>
      <c r="AC40" s="311"/>
      <c r="AD40" s="311"/>
      <c r="AE40" s="311"/>
    </row>
    <row r="41" spans="1:31" ht="16" hidden="1" x14ac:dyDescent="0.2">
      <c r="A41" s="311"/>
      <c r="B41" s="311"/>
      <c r="C41" s="311"/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  <c r="AA41" s="311"/>
      <c r="AB41" s="311"/>
      <c r="AC41" s="311"/>
      <c r="AD41" s="311"/>
      <c r="AE41" s="311"/>
    </row>
    <row r="42" spans="1:31" ht="16" hidden="1" x14ac:dyDescent="0.2">
      <c r="A42" s="31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1"/>
      <c r="S42" s="311"/>
      <c r="T42" s="311"/>
      <c r="U42" s="311"/>
      <c r="V42" s="311"/>
      <c r="W42" s="311"/>
      <c r="X42" s="311"/>
      <c r="Y42" s="311"/>
      <c r="Z42" s="311"/>
      <c r="AA42" s="311"/>
      <c r="AB42" s="311"/>
      <c r="AC42" s="311"/>
      <c r="AD42" s="311"/>
      <c r="AE42" s="311"/>
    </row>
    <row r="43" spans="1:31" ht="16" hidden="1" x14ac:dyDescent="0.2">
      <c r="A43" s="311"/>
      <c r="B43" s="311"/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311"/>
      <c r="T43" s="311"/>
      <c r="U43" s="311"/>
      <c r="V43" s="311"/>
      <c r="W43" s="311"/>
      <c r="X43" s="311"/>
      <c r="Y43" s="311"/>
      <c r="Z43" s="311"/>
      <c r="AA43" s="311"/>
      <c r="AB43" s="311"/>
      <c r="AC43" s="311"/>
      <c r="AD43" s="311"/>
      <c r="AE43" s="311"/>
    </row>
    <row r="44" spans="1:31" ht="16" hidden="1" x14ac:dyDescent="0.2">
      <c r="A44" s="311"/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1"/>
      <c r="AA44" s="311"/>
      <c r="AB44" s="311"/>
      <c r="AC44" s="311"/>
      <c r="AD44" s="311"/>
      <c r="AE44" s="311"/>
    </row>
    <row r="45" spans="1:31" ht="16" hidden="1" x14ac:dyDescent="0.2">
      <c r="A45" s="311"/>
      <c r="B45" s="311"/>
      <c r="C45" s="311"/>
      <c r="D45" s="311"/>
      <c r="E45" s="311"/>
      <c r="F45" s="311"/>
      <c r="G45" s="311"/>
      <c r="H45" s="311"/>
      <c r="I45" s="311"/>
      <c r="J45" s="311"/>
      <c r="K45" s="311"/>
      <c r="L45" s="311"/>
      <c r="M45" s="311"/>
      <c r="N45" s="311"/>
      <c r="O45" s="311"/>
      <c r="P45" s="311"/>
      <c r="Q45" s="311"/>
      <c r="R45" s="311"/>
      <c r="S45" s="311"/>
      <c r="T45" s="311"/>
      <c r="U45" s="311"/>
      <c r="V45" s="311"/>
      <c r="W45" s="311"/>
      <c r="X45" s="311"/>
      <c r="Y45" s="311"/>
      <c r="Z45" s="311"/>
      <c r="AA45" s="311"/>
      <c r="AB45" s="311"/>
      <c r="AC45" s="311"/>
      <c r="AD45" s="311"/>
      <c r="AE45" s="311"/>
    </row>
    <row r="46" spans="1:31" ht="16" hidden="1" x14ac:dyDescent="0.2">
      <c r="A46" s="311"/>
      <c r="B46" s="319"/>
      <c r="C46" s="320"/>
      <c r="D46" s="320"/>
      <c r="E46" s="320"/>
      <c r="F46" s="320"/>
      <c r="G46" s="321" t="s">
        <v>328</v>
      </c>
      <c r="H46" s="319"/>
      <c r="I46" s="319"/>
      <c r="J46" s="311"/>
      <c r="K46" s="311"/>
      <c r="L46" s="311"/>
      <c r="M46" s="311"/>
      <c r="N46" s="311"/>
      <c r="O46" s="311"/>
      <c r="P46" s="311"/>
      <c r="Q46" s="311"/>
      <c r="R46" s="311"/>
      <c r="S46" s="311"/>
      <c r="T46" s="311"/>
      <c r="U46" s="311"/>
      <c r="V46" s="311"/>
      <c r="W46" s="311"/>
      <c r="X46" s="311"/>
      <c r="Y46" s="311"/>
      <c r="Z46" s="311"/>
      <c r="AA46" s="311"/>
      <c r="AB46" s="311"/>
      <c r="AC46" s="311"/>
      <c r="AD46" s="311"/>
      <c r="AE46" s="311"/>
    </row>
    <row r="47" spans="1:31" ht="16" hidden="1" x14ac:dyDescent="0.2">
      <c r="A47" s="311"/>
      <c r="B47" s="319" t="s">
        <v>329</v>
      </c>
      <c r="C47" s="319"/>
      <c r="D47" s="319"/>
      <c r="E47" s="319" t="s">
        <v>330</v>
      </c>
      <c r="F47" s="319"/>
      <c r="G47" s="319" t="s">
        <v>331</v>
      </c>
      <c r="H47" s="319"/>
      <c r="I47" s="319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311"/>
      <c r="AB47" s="311"/>
      <c r="AC47" s="311"/>
      <c r="AD47" s="311"/>
      <c r="AE47" s="311"/>
    </row>
    <row r="48" spans="1:31" ht="16" hidden="1" x14ac:dyDescent="0.2">
      <c r="A48" s="311"/>
      <c r="B48" s="322" t="s">
        <v>332</v>
      </c>
      <c r="C48" s="319"/>
      <c r="D48" s="319"/>
      <c r="E48" s="319" t="s">
        <v>333</v>
      </c>
      <c r="F48" s="319"/>
      <c r="G48" s="319"/>
      <c r="H48" s="319"/>
      <c r="I48" s="319"/>
      <c r="J48" s="311"/>
      <c r="K48" s="311"/>
      <c r="L48" s="311"/>
      <c r="M48" s="311"/>
      <c r="N48" s="311"/>
      <c r="O48" s="311"/>
      <c r="P48" s="311"/>
      <c r="Q48" s="311"/>
      <c r="R48" s="311"/>
      <c r="S48" s="311"/>
      <c r="T48" s="311"/>
      <c r="U48" s="311"/>
      <c r="V48" s="311"/>
      <c r="W48" s="311"/>
      <c r="X48" s="311"/>
      <c r="Y48" s="311"/>
      <c r="Z48" s="311"/>
      <c r="AA48" s="311"/>
      <c r="AB48" s="311"/>
      <c r="AC48" s="311"/>
      <c r="AD48" s="311"/>
      <c r="AE48" s="311"/>
    </row>
    <row r="49" spans="1:31" ht="16" hidden="1" x14ac:dyDescent="0.2">
      <c r="A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1"/>
      <c r="S49" s="311"/>
      <c r="T49" s="311"/>
      <c r="U49" s="311"/>
      <c r="V49" s="311"/>
      <c r="W49" s="311"/>
      <c r="X49" s="311"/>
      <c r="Y49" s="311"/>
      <c r="Z49" s="311"/>
      <c r="AA49" s="311"/>
      <c r="AB49" s="311"/>
      <c r="AC49" s="311"/>
      <c r="AD49" s="311"/>
      <c r="AE49" s="311"/>
    </row>
    <row r="50" spans="1:31" ht="16" hidden="1" x14ac:dyDescent="0.2">
      <c r="A50" s="311"/>
      <c r="B50" s="311"/>
      <c r="C50" s="311"/>
      <c r="D50" s="311"/>
      <c r="E50" s="311" t="s">
        <v>334</v>
      </c>
      <c r="F50" s="311"/>
      <c r="G50" s="311"/>
      <c r="H50" s="311"/>
      <c r="I50" s="311"/>
      <c r="J50" s="311"/>
      <c r="K50" s="311"/>
      <c r="L50" s="311"/>
      <c r="M50" s="311"/>
      <c r="N50" s="311"/>
      <c r="O50" s="311"/>
      <c r="P50" s="311"/>
      <c r="Q50" s="311"/>
      <c r="R50" s="311"/>
      <c r="S50" s="311"/>
      <c r="T50" s="311"/>
      <c r="U50" s="311"/>
      <c r="V50" s="311"/>
      <c r="W50" s="311"/>
      <c r="X50" s="311"/>
      <c r="Y50" s="311"/>
      <c r="Z50" s="311"/>
      <c r="AA50" s="311"/>
      <c r="AB50" s="311"/>
      <c r="AC50" s="311"/>
      <c r="AD50" s="311"/>
      <c r="AE50" s="311"/>
    </row>
    <row r="51" spans="1:31" ht="16" hidden="1" x14ac:dyDescent="0.2">
      <c r="A51" s="311"/>
      <c r="B51" s="311" t="s">
        <v>335</v>
      </c>
      <c r="C51" s="311" t="s">
        <v>336</v>
      </c>
      <c r="D51" s="311" t="s">
        <v>337</v>
      </c>
      <c r="E51" s="311">
        <v>2024</v>
      </c>
      <c r="F51" s="311">
        <v>2025</v>
      </c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1"/>
      <c r="S51" s="311"/>
      <c r="T51" s="311"/>
      <c r="U51" s="311"/>
      <c r="V51" s="311"/>
      <c r="W51" s="311"/>
      <c r="X51" s="311"/>
      <c r="Y51" s="311"/>
      <c r="Z51" s="311"/>
      <c r="AA51" s="311"/>
      <c r="AB51" s="311"/>
      <c r="AC51" s="311"/>
      <c r="AD51" s="311"/>
      <c r="AE51" s="311"/>
    </row>
    <row r="52" spans="1:31" ht="16" hidden="1" x14ac:dyDescent="0.2">
      <c r="A52" s="311"/>
      <c r="B52" s="311" t="s">
        <v>338</v>
      </c>
      <c r="C52" s="323">
        <v>0.57289999999999996</v>
      </c>
      <c r="D52" s="323">
        <v>0.42709999999999998</v>
      </c>
      <c r="E52" s="311">
        <v>0.49</v>
      </c>
      <c r="F52" s="311">
        <v>0.1265</v>
      </c>
      <c r="G52" s="311"/>
      <c r="H52" s="311"/>
      <c r="I52" s="311"/>
      <c r="J52" s="311"/>
      <c r="K52" s="311"/>
      <c r="L52" s="311"/>
      <c r="M52" s="311"/>
      <c r="N52" s="311"/>
      <c r="O52" s="311"/>
      <c r="P52" s="311"/>
      <c r="Q52" s="311"/>
      <c r="R52" s="311"/>
      <c r="S52" s="311"/>
      <c r="T52" s="311"/>
      <c r="U52" s="311"/>
      <c r="V52" s="311"/>
      <c r="W52" s="311"/>
      <c r="X52" s="311"/>
      <c r="Y52" s="311"/>
      <c r="Z52" s="311"/>
      <c r="AA52" s="311"/>
      <c r="AB52" s="311"/>
      <c r="AC52" s="311"/>
      <c r="AD52" s="311"/>
      <c r="AE52" s="311"/>
    </row>
    <row r="53" spans="1:31" ht="16" hidden="1" x14ac:dyDescent="0.2">
      <c r="A53" s="311"/>
      <c r="B53" s="311" t="s">
        <v>269</v>
      </c>
      <c r="C53" s="323">
        <v>0.56310000000000004</v>
      </c>
      <c r="D53" s="323">
        <v>0.43690000000000001</v>
      </c>
      <c r="E53" s="311">
        <v>0.09</v>
      </c>
      <c r="F53" s="311">
        <v>7.0000000000000007E-2</v>
      </c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1"/>
      <c r="S53" s="311"/>
      <c r="T53" s="311"/>
      <c r="U53" s="311"/>
      <c r="V53" s="311"/>
      <c r="W53" s="311"/>
      <c r="X53" s="311"/>
      <c r="Y53" s="311"/>
      <c r="Z53" s="311"/>
      <c r="AA53" s="311"/>
      <c r="AB53" s="311"/>
      <c r="AC53" s="311"/>
      <c r="AD53" s="311"/>
      <c r="AE53" s="311"/>
    </row>
    <row r="54" spans="1:31" ht="16" hidden="1" x14ac:dyDescent="0.2">
      <c r="A54" s="311"/>
      <c r="B54" s="324" t="s">
        <v>339</v>
      </c>
      <c r="C54" s="325">
        <v>0.71879999999999999</v>
      </c>
      <c r="D54" s="325">
        <v>0.28120000000000001</v>
      </c>
      <c r="E54" s="311">
        <v>0.61</v>
      </c>
      <c r="F54" s="311">
        <v>0.64</v>
      </c>
      <c r="G54" s="311"/>
      <c r="H54" s="311"/>
      <c r="I54" s="311"/>
      <c r="J54" s="311"/>
      <c r="K54" s="311"/>
      <c r="L54" s="311"/>
      <c r="M54" s="311"/>
      <c r="N54" s="311"/>
      <c r="O54" s="311"/>
      <c r="P54" s="311"/>
      <c r="Q54" s="311"/>
      <c r="R54" s="311"/>
      <c r="S54" s="311"/>
      <c r="T54" s="311"/>
      <c r="U54" s="311"/>
      <c r="V54" s="311"/>
      <c r="W54" s="311"/>
      <c r="X54" s="311"/>
      <c r="Y54" s="311"/>
      <c r="Z54" s="311"/>
      <c r="AA54" s="311"/>
      <c r="AB54" s="311"/>
      <c r="AC54" s="311"/>
      <c r="AD54" s="311"/>
      <c r="AE54" s="311"/>
    </row>
    <row r="55" spans="1:31" ht="16" hidden="1" x14ac:dyDescent="0.2">
      <c r="A55" s="311"/>
      <c r="B55" s="311" t="s">
        <v>271</v>
      </c>
      <c r="C55" s="323">
        <v>0.50319999999999998</v>
      </c>
      <c r="D55" s="323">
        <v>0.49680000000000002</v>
      </c>
      <c r="E55" s="311">
        <v>0.74</v>
      </c>
      <c r="F55" s="311">
        <v>1.1499999999999999</v>
      </c>
      <c r="G55" s="311"/>
      <c r="H55" s="311"/>
      <c r="I55" s="311"/>
      <c r="J55" s="311"/>
      <c r="K55" s="311"/>
      <c r="L55" s="311"/>
      <c r="M55" s="311"/>
      <c r="N55" s="311"/>
      <c r="O55" s="311"/>
      <c r="P55" s="311"/>
      <c r="Q55" s="311"/>
      <c r="R55" s="311"/>
      <c r="S55" s="311"/>
      <c r="T55" s="311"/>
      <c r="U55" s="311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</row>
    <row r="56" spans="1:31" ht="16" hidden="1" x14ac:dyDescent="0.2">
      <c r="A56" s="311"/>
      <c r="B56" s="311" t="s">
        <v>273</v>
      </c>
      <c r="C56" s="326">
        <v>0.56000000000000005</v>
      </c>
      <c r="D56" s="326">
        <v>0.44</v>
      </c>
      <c r="E56" s="311">
        <v>3.6</v>
      </c>
      <c r="F56" s="311">
        <v>2.67</v>
      </c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</row>
    <row r="57" spans="1:31" ht="16" hidden="1" x14ac:dyDescent="0.2">
      <c r="A57" s="311"/>
      <c r="B57" s="311" t="s">
        <v>275</v>
      </c>
      <c r="C57" s="326">
        <v>0.57999999999999996</v>
      </c>
      <c r="D57" s="326">
        <v>0.42</v>
      </c>
      <c r="E57" s="311">
        <v>0.6</v>
      </c>
      <c r="F57" s="311">
        <v>0.62</v>
      </c>
      <c r="G57" s="311"/>
      <c r="H57" s="311"/>
      <c r="I57" s="311"/>
      <c r="J57" s="311"/>
      <c r="K57" s="311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</row>
    <row r="58" spans="1:31" ht="16" x14ac:dyDescent="0.2">
      <c r="A58" s="311"/>
      <c r="B58" s="311"/>
      <c r="C58" s="311"/>
      <c r="D58" s="311"/>
      <c r="E58" s="311"/>
      <c r="F58" s="311"/>
      <c r="G58" s="311"/>
      <c r="H58" s="311"/>
      <c r="I58" s="311"/>
      <c r="J58" s="311"/>
      <c r="K58" s="311"/>
      <c r="L58" s="311"/>
      <c r="M58" s="311"/>
      <c r="N58" s="311"/>
      <c r="O58" s="311"/>
      <c r="P58" s="311"/>
      <c r="Q58" s="311"/>
      <c r="R58" s="311"/>
      <c r="S58" s="311"/>
      <c r="T58" s="311"/>
      <c r="U58" s="311"/>
      <c r="V58" s="311"/>
      <c r="W58" s="311"/>
      <c r="X58" s="311"/>
      <c r="Y58" s="311"/>
      <c r="Z58" s="311"/>
      <c r="AA58" s="311"/>
      <c r="AB58" s="311"/>
      <c r="AC58" s="311"/>
      <c r="AD58" s="311"/>
      <c r="AE58" s="311"/>
    </row>
    <row r="59" spans="1:31" ht="16" x14ac:dyDescent="0.2">
      <c r="A59" s="311"/>
      <c r="B59" s="311"/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311"/>
      <c r="T59" s="311"/>
      <c r="U59" s="311"/>
      <c r="V59" s="311"/>
      <c r="W59" s="311"/>
      <c r="X59" s="311"/>
      <c r="Y59" s="311"/>
      <c r="Z59" s="311"/>
      <c r="AA59" s="311"/>
      <c r="AB59" s="311"/>
      <c r="AC59" s="311"/>
      <c r="AD59" s="311"/>
      <c r="AE59" s="311"/>
    </row>
    <row r="60" spans="1:31" ht="16" x14ac:dyDescent="0.2">
      <c r="A60" s="311"/>
      <c r="B60" s="311"/>
      <c r="C60" s="311"/>
      <c r="D60" s="311"/>
      <c r="E60" s="311"/>
      <c r="F60" s="311"/>
      <c r="G60" s="311"/>
      <c r="H60" s="311"/>
      <c r="I60" s="311"/>
      <c r="J60" s="311"/>
      <c r="K60" s="311"/>
      <c r="L60" s="311"/>
      <c r="M60" s="311"/>
      <c r="N60" s="311"/>
      <c r="O60" s="311"/>
      <c r="P60" s="311"/>
      <c r="Q60" s="311"/>
      <c r="R60" s="311"/>
      <c r="S60" s="311"/>
      <c r="T60" s="311"/>
      <c r="U60" s="311"/>
      <c r="V60" s="311"/>
      <c r="W60" s="311"/>
      <c r="X60" s="311"/>
      <c r="Y60" s="311"/>
      <c r="Z60" s="311"/>
      <c r="AA60" s="311"/>
      <c r="AB60" s="311"/>
      <c r="AC60" s="311"/>
      <c r="AD60" s="311"/>
      <c r="AE60" s="311"/>
    </row>
    <row r="61" spans="1:31" ht="16" x14ac:dyDescent="0.2">
      <c r="A61" s="311"/>
      <c r="B61" s="311"/>
      <c r="C61" s="311"/>
      <c r="D61" s="311"/>
      <c r="E61" s="311"/>
      <c r="F61" s="311"/>
      <c r="G61" s="311"/>
      <c r="H61" s="311"/>
      <c r="I61" s="311"/>
      <c r="J61" s="311"/>
      <c r="K61" s="311"/>
      <c r="L61" s="311"/>
      <c r="M61" s="311"/>
      <c r="N61" s="311"/>
      <c r="O61" s="311"/>
      <c r="P61" s="311"/>
      <c r="Q61" s="311"/>
      <c r="R61" s="311"/>
      <c r="S61" s="311"/>
      <c r="T61" s="311"/>
      <c r="U61" s="311"/>
      <c r="V61" s="311"/>
      <c r="W61" s="311"/>
      <c r="X61" s="311"/>
      <c r="Y61" s="311"/>
      <c r="Z61" s="311"/>
      <c r="AA61" s="311"/>
      <c r="AB61" s="311"/>
      <c r="AC61" s="311"/>
      <c r="AD61" s="311"/>
      <c r="AE61" s="311"/>
    </row>
    <row r="62" spans="1:31" ht="16" x14ac:dyDescent="0.2">
      <c r="A62" s="311"/>
      <c r="B62" s="311"/>
      <c r="C62" s="311"/>
      <c r="D62" s="311"/>
      <c r="E62" s="311"/>
      <c r="F62" s="311"/>
      <c r="G62" s="311"/>
      <c r="H62" s="311"/>
      <c r="I62" s="311"/>
      <c r="J62" s="311"/>
      <c r="K62" s="311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1"/>
      <c r="AA62" s="311"/>
      <c r="AB62" s="311"/>
      <c r="AC62" s="311"/>
      <c r="AD62" s="311"/>
      <c r="AE62" s="311"/>
    </row>
    <row r="63" spans="1:31" ht="16" x14ac:dyDescent="0.2">
      <c r="A63" s="311"/>
      <c r="B63" s="311"/>
      <c r="C63" s="311"/>
      <c r="D63" s="311"/>
      <c r="E63" s="311"/>
      <c r="F63" s="311"/>
      <c r="G63" s="311"/>
      <c r="H63" s="311"/>
      <c r="I63" s="311"/>
      <c r="J63" s="311"/>
      <c r="K63" s="311"/>
      <c r="L63" s="311"/>
      <c r="M63" s="311"/>
      <c r="N63" s="311"/>
      <c r="O63" s="311"/>
      <c r="P63" s="311"/>
      <c r="Q63" s="311"/>
      <c r="R63" s="311"/>
      <c r="S63" s="311"/>
      <c r="T63" s="311"/>
      <c r="U63" s="311"/>
      <c r="V63" s="311"/>
      <c r="W63" s="311"/>
      <c r="X63" s="311"/>
      <c r="Y63" s="311"/>
      <c r="Z63" s="311"/>
      <c r="AA63" s="311"/>
      <c r="AB63" s="311"/>
      <c r="AC63" s="311"/>
      <c r="AD63" s="311"/>
      <c r="AE63" s="311"/>
    </row>
    <row r="64" spans="1:31" ht="16" x14ac:dyDescent="0.2">
      <c r="A64" s="311"/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1"/>
      <c r="P64" s="311"/>
      <c r="Q64" s="311"/>
      <c r="R64" s="311"/>
      <c r="S64" s="311"/>
      <c r="T64" s="311"/>
      <c r="U64" s="311"/>
      <c r="V64" s="311"/>
      <c r="W64" s="311"/>
      <c r="X64" s="311"/>
      <c r="Y64" s="311"/>
      <c r="Z64" s="311"/>
      <c r="AA64" s="311"/>
      <c r="AB64" s="311"/>
      <c r="AC64" s="311"/>
      <c r="AD64" s="311"/>
      <c r="AE64" s="311"/>
    </row>
    <row r="65" spans="1:31" ht="16" x14ac:dyDescent="0.2">
      <c r="A65" s="311"/>
      <c r="B65" s="311"/>
      <c r="C65" s="311"/>
      <c r="D65" s="311"/>
      <c r="E65" s="311"/>
      <c r="F65" s="311"/>
      <c r="G65" s="311"/>
      <c r="H65" s="311"/>
      <c r="I65" s="311"/>
      <c r="J65" s="311"/>
      <c r="K65" s="311"/>
      <c r="L65" s="311"/>
      <c r="M65" s="311"/>
      <c r="N65" s="311"/>
      <c r="O65" s="311"/>
      <c r="P65" s="311"/>
      <c r="Q65" s="311"/>
      <c r="R65" s="311"/>
      <c r="S65" s="311"/>
      <c r="T65" s="311"/>
      <c r="U65" s="311"/>
      <c r="V65" s="311"/>
      <c r="W65" s="311"/>
      <c r="X65" s="311"/>
      <c r="Y65" s="311"/>
      <c r="Z65" s="311"/>
      <c r="AA65" s="311"/>
      <c r="AB65" s="311"/>
      <c r="AC65" s="311"/>
      <c r="AD65" s="311"/>
      <c r="AE65" s="311"/>
    </row>
    <row r="66" spans="1:31" ht="16" x14ac:dyDescent="0.2">
      <c r="A66" s="311"/>
      <c r="B66" s="311"/>
      <c r="C66" s="311"/>
      <c r="D66" s="311"/>
      <c r="E66" s="311"/>
      <c r="F66" s="311"/>
      <c r="G66" s="311"/>
      <c r="H66" s="311"/>
      <c r="I66" s="311"/>
      <c r="J66" s="311"/>
      <c r="K66" s="311"/>
      <c r="L66" s="311"/>
      <c r="M66" s="311"/>
      <c r="N66" s="311"/>
      <c r="O66" s="311"/>
      <c r="P66" s="311"/>
      <c r="Q66" s="311"/>
      <c r="R66" s="311"/>
      <c r="S66" s="311"/>
      <c r="T66" s="311"/>
      <c r="U66" s="311"/>
      <c r="V66" s="311"/>
      <c r="W66" s="311"/>
      <c r="X66" s="311"/>
      <c r="Y66" s="311"/>
      <c r="Z66" s="311"/>
      <c r="AA66" s="311"/>
      <c r="AB66" s="311"/>
      <c r="AC66" s="311"/>
      <c r="AD66" s="311"/>
      <c r="AE66" s="311"/>
    </row>
    <row r="67" spans="1:31" ht="16" x14ac:dyDescent="0.2">
      <c r="A67" s="311"/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311"/>
      <c r="AB67" s="311"/>
      <c r="AC67" s="311"/>
      <c r="AD67" s="311"/>
      <c r="AE67" s="311"/>
    </row>
    <row r="68" spans="1:31" ht="16" x14ac:dyDescent="0.2">
      <c r="A68" s="311"/>
      <c r="B68" s="311"/>
      <c r="C68" s="311"/>
      <c r="D68" s="311"/>
      <c r="E68" s="311"/>
      <c r="F68" s="311"/>
      <c r="G68" s="311"/>
      <c r="H68" s="311"/>
      <c r="I68" s="311"/>
      <c r="J68" s="311"/>
      <c r="K68" s="311"/>
      <c r="L68" s="311"/>
      <c r="M68" s="311"/>
      <c r="N68" s="311"/>
      <c r="O68" s="311"/>
      <c r="P68" s="311"/>
      <c r="Q68" s="311"/>
      <c r="R68" s="311"/>
      <c r="S68" s="311"/>
      <c r="T68" s="311"/>
      <c r="U68" s="311"/>
      <c r="V68" s="311"/>
      <c r="W68" s="311"/>
      <c r="X68" s="311"/>
      <c r="Y68" s="311"/>
      <c r="Z68" s="311"/>
      <c r="AA68" s="311"/>
      <c r="AB68" s="311"/>
      <c r="AC68" s="311"/>
      <c r="AD68" s="311"/>
      <c r="AE68" s="311"/>
    </row>
    <row r="69" spans="1:31" ht="16" x14ac:dyDescent="0.2">
      <c r="A69" s="311"/>
      <c r="B69" s="311"/>
      <c r="C69" s="311"/>
      <c r="D69" s="311"/>
      <c r="E69" s="311"/>
      <c r="F69" s="311"/>
      <c r="G69" s="311"/>
      <c r="H69" s="311"/>
      <c r="I69" s="311"/>
      <c r="J69" s="311"/>
      <c r="K69" s="311"/>
      <c r="L69" s="311"/>
      <c r="M69" s="311"/>
      <c r="N69" s="311"/>
      <c r="O69" s="311"/>
      <c r="P69" s="311"/>
      <c r="Q69" s="311"/>
      <c r="R69" s="311"/>
      <c r="S69" s="311"/>
      <c r="T69" s="311"/>
      <c r="U69" s="311"/>
      <c r="V69" s="311"/>
      <c r="W69" s="311"/>
      <c r="X69" s="311"/>
      <c r="Y69" s="311"/>
      <c r="Z69" s="311"/>
      <c r="AA69" s="311"/>
      <c r="AB69" s="311"/>
      <c r="AC69" s="311"/>
      <c r="AD69" s="311"/>
      <c r="AE69" s="311"/>
    </row>
    <row r="70" spans="1:31" ht="16" x14ac:dyDescent="0.2">
      <c r="A70" s="311"/>
      <c r="B70" s="311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1"/>
      <c r="S70" s="311"/>
      <c r="T70" s="311"/>
      <c r="U70" s="311"/>
      <c r="V70" s="311"/>
      <c r="W70" s="311"/>
      <c r="X70" s="311"/>
      <c r="Y70" s="311"/>
      <c r="Z70" s="311"/>
      <c r="AA70" s="311"/>
      <c r="AB70" s="311"/>
      <c r="AC70" s="311"/>
      <c r="AD70" s="311"/>
      <c r="AE70" s="311"/>
    </row>
    <row r="71" spans="1:31" ht="16" x14ac:dyDescent="0.2">
      <c r="A71" s="311"/>
      <c r="B71" s="311"/>
      <c r="C71" s="311"/>
      <c r="D71" s="311"/>
      <c r="E71" s="311"/>
      <c r="F71" s="311"/>
      <c r="G71" s="311"/>
      <c r="H71" s="311"/>
      <c r="I71" s="311"/>
      <c r="J71" s="311"/>
      <c r="K71" s="311"/>
      <c r="L71" s="311"/>
      <c r="M71" s="311"/>
      <c r="N71" s="311"/>
      <c r="O71" s="311"/>
      <c r="P71" s="311"/>
      <c r="Q71" s="311"/>
      <c r="R71" s="311"/>
      <c r="S71" s="311"/>
      <c r="T71" s="311"/>
      <c r="U71" s="311"/>
      <c r="V71" s="311"/>
      <c r="W71" s="311"/>
      <c r="X71" s="311"/>
      <c r="Y71" s="311"/>
      <c r="Z71" s="311"/>
      <c r="AA71" s="311"/>
      <c r="AB71" s="311"/>
      <c r="AC71" s="311"/>
      <c r="AD71" s="311"/>
      <c r="AE71" s="311"/>
    </row>
    <row r="72" spans="1:31" ht="16" x14ac:dyDescent="0.2">
      <c r="A72" s="311"/>
      <c r="B72" s="311"/>
      <c r="C72" s="311"/>
      <c r="D72" s="311"/>
      <c r="E72" s="311"/>
      <c r="F72" s="311"/>
      <c r="G72" s="311"/>
      <c r="H72" s="311"/>
      <c r="I72" s="311"/>
      <c r="J72" s="311"/>
      <c r="K72" s="311"/>
      <c r="L72" s="311"/>
      <c r="M72" s="311"/>
      <c r="N72" s="311"/>
      <c r="O72" s="311"/>
      <c r="P72" s="311"/>
      <c r="Q72" s="311"/>
      <c r="R72" s="311"/>
      <c r="S72" s="311"/>
      <c r="T72" s="311"/>
      <c r="U72" s="311"/>
      <c r="V72" s="311"/>
      <c r="W72" s="311"/>
      <c r="X72" s="311"/>
      <c r="Y72" s="311"/>
      <c r="Z72" s="311"/>
      <c r="AA72" s="311"/>
      <c r="AB72" s="311"/>
      <c r="AC72" s="311"/>
      <c r="AD72" s="311"/>
      <c r="AE72" s="311"/>
    </row>
    <row r="73" spans="1:31" ht="16" x14ac:dyDescent="0.2">
      <c r="A73" s="311"/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311"/>
      <c r="AB73" s="311"/>
      <c r="AC73" s="311"/>
      <c r="AD73" s="311"/>
      <c r="AE73" s="311"/>
    </row>
    <row r="74" spans="1:31" ht="16" x14ac:dyDescent="0.2">
      <c r="A74" s="311"/>
      <c r="B74" s="311"/>
      <c r="C74" s="311"/>
      <c r="D74" s="311"/>
      <c r="E74" s="311"/>
      <c r="F74" s="311"/>
      <c r="G74" s="311"/>
      <c r="H74" s="311"/>
      <c r="I74" s="311"/>
      <c r="J74" s="311"/>
      <c r="K74" s="311"/>
      <c r="L74" s="311"/>
      <c r="M74" s="311"/>
      <c r="N74" s="311"/>
      <c r="O74" s="311"/>
      <c r="P74" s="311"/>
      <c r="Q74" s="311"/>
      <c r="R74" s="311"/>
      <c r="S74" s="311"/>
      <c r="T74" s="311"/>
      <c r="U74" s="311"/>
      <c r="V74" s="311"/>
      <c r="W74" s="311"/>
      <c r="X74" s="311"/>
      <c r="Y74" s="311"/>
      <c r="Z74" s="311"/>
      <c r="AA74" s="311"/>
      <c r="AB74" s="311"/>
      <c r="AC74" s="311"/>
      <c r="AD74" s="311"/>
      <c r="AE74" s="311"/>
    </row>
    <row r="75" spans="1:31" ht="16" x14ac:dyDescent="0.2">
      <c r="A75" s="311"/>
      <c r="B75" s="311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</row>
    <row r="76" spans="1:31" ht="16" x14ac:dyDescent="0.2">
      <c r="A76" s="311"/>
      <c r="B76" s="311"/>
      <c r="C76" s="311"/>
      <c r="D76" s="311"/>
      <c r="E76" s="311"/>
      <c r="F76" s="311"/>
      <c r="G76" s="311"/>
      <c r="H76" s="311"/>
      <c r="I76" s="311"/>
      <c r="J76" s="311"/>
      <c r="K76" s="311"/>
      <c r="L76" s="311"/>
      <c r="M76" s="311"/>
      <c r="N76" s="311"/>
      <c r="O76" s="311"/>
      <c r="P76" s="311"/>
      <c r="Q76" s="311"/>
      <c r="R76" s="311"/>
      <c r="S76" s="311"/>
      <c r="T76" s="311"/>
      <c r="U76" s="311"/>
      <c r="V76" s="311"/>
      <c r="W76" s="311"/>
      <c r="X76" s="311"/>
      <c r="Y76" s="311"/>
      <c r="Z76" s="311"/>
      <c r="AA76" s="311"/>
      <c r="AB76" s="311"/>
      <c r="AC76" s="311"/>
      <c r="AD76" s="311"/>
      <c r="AE76" s="311"/>
    </row>
    <row r="77" spans="1:31" ht="16" x14ac:dyDescent="0.2">
      <c r="A77" s="311"/>
      <c r="B77" s="311"/>
      <c r="C77" s="311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1"/>
      <c r="S77" s="311"/>
      <c r="T77" s="311"/>
      <c r="U77" s="311"/>
      <c r="V77" s="311"/>
      <c r="W77" s="311"/>
      <c r="X77" s="311"/>
      <c r="Y77" s="311"/>
      <c r="Z77" s="311"/>
      <c r="AA77" s="311"/>
      <c r="AB77" s="311"/>
      <c r="AC77" s="311"/>
      <c r="AD77" s="311"/>
      <c r="AE77" s="311"/>
    </row>
    <row r="78" spans="1:31" ht="16" x14ac:dyDescent="0.2">
      <c r="A78" s="311"/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311"/>
      <c r="AB78" s="311"/>
      <c r="AC78" s="311"/>
      <c r="AD78" s="311"/>
      <c r="AE78" s="311"/>
    </row>
    <row r="79" spans="1:31" ht="16" x14ac:dyDescent="0.2">
      <c r="A79" s="311"/>
      <c r="B79" s="311"/>
      <c r="C79" s="311"/>
      <c r="D79" s="311"/>
      <c r="E79" s="311"/>
      <c r="F79" s="311"/>
      <c r="G79" s="311"/>
      <c r="H79" s="311"/>
      <c r="I79" s="311"/>
      <c r="J79" s="311"/>
      <c r="K79" s="311"/>
      <c r="L79" s="311"/>
      <c r="M79" s="311"/>
      <c r="N79" s="311"/>
      <c r="O79" s="311"/>
      <c r="P79" s="311"/>
      <c r="Q79" s="311"/>
      <c r="R79" s="311"/>
      <c r="S79" s="311"/>
      <c r="T79" s="311"/>
      <c r="U79" s="311"/>
      <c r="V79" s="311"/>
      <c r="W79" s="311"/>
      <c r="X79" s="311"/>
      <c r="Y79" s="311"/>
      <c r="Z79" s="311"/>
      <c r="AA79" s="311"/>
      <c r="AB79" s="311"/>
      <c r="AC79" s="311"/>
      <c r="AD79" s="311"/>
      <c r="AE79" s="311"/>
    </row>
    <row r="80" spans="1:31" ht="16" x14ac:dyDescent="0.2">
      <c r="A80" s="311"/>
      <c r="B80" s="311"/>
      <c r="C80" s="311"/>
      <c r="D80" s="311"/>
      <c r="E80" s="311"/>
      <c r="F80" s="311"/>
      <c r="G80" s="311"/>
      <c r="H80" s="311"/>
      <c r="I80" s="311"/>
      <c r="J80" s="311"/>
      <c r="K80" s="311"/>
      <c r="L80" s="311"/>
      <c r="M80" s="311"/>
      <c r="N80" s="311"/>
      <c r="O80" s="311"/>
      <c r="P80" s="311"/>
      <c r="Q80" s="311"/>
      <c r="R80" s="311"/>
      <c r="S80" s="311"/>
      <c r="T80" s="311"/>
      <c r="U80" s="311"/>
      <c r="V80" s="311"/>
      <c r="W80" s="311"/>
      <c r="X80" s="311"/>
      <c r="Y80" s="311"/>
      <c r="Z80" s="311"/>
      <c r="AA80" s="311"/>
      <c r="AB80" s="311"/>
      <c r="AC80" s="311"/>
      <c r="AD80" s="311"/>
      <c r="AE80" s="311"/>
    </row>
    <row r="81" spans="1:31" ht="16" x14ac:dyDescent="0.2">
      <c r="A81" s="311"/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1"/>
      <c r="S81" s="311"/>
      <c r="T81" s="311"/>
      <c r="U81" s="311"/>
      <c r="V81" s="311"/>
      <c r="W81" s="311"/>
      <c r="X81" s="311"/>
      <c r="Y81" s="311"/>
      <c r="Z81" s="311"/>
      <c r="AA81" s="311"/>
      <c r="AB81" s="311"/>
      <c r="AC81" s="311"/>
      <c r="AD81" s="311"/>
      <c r="AE81" s="311"/>
    </row>
    <row r="82" spans="1:31" ht="16" x14ac:dyDescent="0.2">
      <c r="A82" s="311"/>
      <c r="B82" s="311"/>
      <c r="C82" s="311"/>
      <c r="D82" s="311"/>
      <c r="E82" s="311"/>
      <c r="F82" s="311"/>
      <c r="G82" s="311"/>
      <c r="H82" s="311"/>
      <c r="I82" s="311"/>
      <c r="J82" s="311"/>
      <c r="K82" s="311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1"/>
      <c r="AA82" s="311"/>
      <c r="AB82" s="311"/>
      <c r="AC82" s="311"/>
      <c r="AD82" s="311"/>
      <c r="AE82" s="311"/>
    </row>
    <row r="83" spans="1:31" ht="16" x14ac:dyDescent="0.2">
      <c r="A83" s="311"/>
      <c r="B83" s="311"/>
      <c r="C83" s="311"/>
      <c r="D83" s="311"/>
      <c r="E83" s="311"/>
      <c r="F83" s="311"/>
      <c r="G83" s="311"/>
      <c r="H83" s="311"/>
      <c r="I83" s="311"/>
      <c r="J83" s="311"/>
      <c r="K83" s="311"/>
      <c r="L83" s="311"/>
      <c r="M83" s="311"/>
      <c r="N83" s="311"/>
      <c r="O83" s="311"/>
      <c r="P83" s="311"/>
      <c r="Q83" s="311"/>
      <c r="R83" s="311"/>
      <c r="S83" s="311"/>
      <c r="T83" s="311"/>
      <c r="U83" s="311"/>
      <c r="V83" s="311"/>
      <c r="W83" s="311"/>
      <c r="X83" s="311"/>
      <c r="Y83" s="311"/>
      <c r="Z83" s="311"/>
      <c r="AA83" s="311"/>
      <c r="AB83" s="311"/>
      <c r="AC83" s="311"/>
      <c r="AD83" s="311"/>
      <c r="AE83" s="311"/>
    </row>
    <row r="84" spans="1:31" ht="16" x14ac:dyDescent="0.2">
      <c r="A84" s="311"/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311"/>
      <c r="AB84" s="311"/>
      <c r="AC84" s="311"/>
      <c r="AD84" s="311"/>
      <c r="AE84" s="311"/>
    </row>
    <row r="85" spans="1:31" ht="16" x14ac:dyDescent="0.2">
      <c r="A85" s="311"/>
      <c r="B85" s="311"/>
      <c r="C85" s="311"/>
      <c r="D85" s="311"/>
      <c r="E85" s="311"/>
      <c r="F85" s="311"/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311"/>
      <c r="V85" s="311"/>
      <c r="W85" s="311"/>
      <c r="X85" s="311"/>
      <c r="Y85" s="311"/>
      <c r="Z85" s="311"/>
      <c r="AA85" s="311"/>
      <c r="AB85" s="311"/>
      <c r="AC85" s="311"/>
      <c r="AD85" s="311"/>
      <c r="AE85" s="311"/>
    </row>
    <row r="86" spans="1:31" ht="16" x14ac:dyDescent="0.2">
      <c r="A86" s="311"/>
      <c r="B86" s="311"/>
      <c r="C86" s="311"/>
      <c r="D86" s="311"/>
      <c r="E86" s="311"/>
      <c r="F86" s="311"/>
      <c r="G86" s="311"/>
      <c r="H86" s="311"/>
      <c r="I86" s="311"/>
      <c r="J86" s="311"/>
      <c r="K86" s="311"/>
      <c r="L86" s="311"/>
      <c r="M86" s="311"/>
      <c r="N86" s="311"/>
      <c r="O86" s="311"/>
      <c r="P86" s="311"/>
      <c r="Q86" s="311"/>
      <c r="R86" s="311"/>
      <c r="S86" s="311"/>
      <c r="T86" s="311"/>
      <c r="U86" s="311"/>
      <c r="V86" s="311"/>
      <c r="W86" s="311"/>
      <c r="X86" s="311"/>
      <c r="Y86" s="311"/>
      <c r="Z86" s="311"/>
      <c r="AA86" s="311"/>
      <c r="AB86" s="311"/>
      <c r="AC86" s="311"/>
      <c r="AD86" s="311"/>
      <c r="AE86" s="311"/>
    </row>
    <row r="87" spans="1:31" ht="16" x14ac:dyDescent="0.2">
      <c r="A87" s="311"/>
      <c r="B87" s="311"/>
      <c r="C87" s="311"/>
      <c r="D87" s="311"/>
      <c r="E87" s="311"/>
      <c r="F87" s="311"/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311"/>
      <c r="V87" s="311"/>
      <c r="W87" s="311"/>
      <c r="X87" s="311"/>
      <c r="Y87" s="311"/>
      <c r="Z87" s="311"/>
      <c r="AA87" s="311"/>
      <c r="AB87" s="311"/>
      <c r="AC87" s="311"/>
      <c r="AD87" s="311"/>
      <c r="AE87" s="311"/>
    </row>
    <row r="88" spans="1:31" ht="16" x14ac:dyDescent="0.2">
      <c r="A88" s="311"/>
      <c r="B88" s="311"/>
      <c r="C88" s="311"/>
      <c r="D88" s="311"/>
      <c r="E88" s="311"/>
      <c r="F88" s="311"/>
      <c r="G88" s="311"/>
      <c r="H88" s="311"/>
      <c r="I88" s="311"/>
      <c r="J88" s="311"/>
      <c r="K88" s="311"/>
      <c r="L88" s="311"/>
      <c r="M88" s="311"/>
      <c r="N88" s="311"/>
      <c r="O88" s="311"/>
      <c r="P88" s="311"/>
      <c r="Q88" s="311"/>
      <c r="R88" s="311"/>
      <c r="S88" s="311"/>
      <c r="T88" s="311"/>
      <c r="U88" s="311"/>
      <c r="V88" s="311"/>
      <c r="W88" s="311"/>
      <c r="X88" s="311"/>
      <c r="Y88" s="311"/>
      <c r="Z88" s="311"/>
      <c r="AA88" s="311"/>
      <c r="AB88" s="311"/>
      <c r="AC88" s="311"/>
      <c r="AD88" s="311"/>
      <c r="AE88" s="311"/>
    </row>
    <row r="89" spans="1:31" ht="16" x14ac:dyDescent="0.2">
      <c r="A89" s="311"/>
      <c r="B89" s="311"/>
      <c r="C89" s="311"/>
      <c r="D89" s="311"/>
      <c r="E89" s="311"/>
      <c r="F89" s="311"/>
      <c r="G89" s="311"/>
      <c r="H89" s="311"/>
      <c r="I89" s="311"/>
      <c r="J89" s="311"/>
      <c r="K89" s="311"/>
      <c r="L89" s="311"/>
      <c r="M89" s="311"/>
      <c r="N89" s="311"/>
      <c r="O89" s="311"/>
      <c r="P89" s="311"/>
      <c r="Q89" s="311"/>
      <c r="R89" s="311"/>
      <c r="S89" s="311"/>
      <c r="T89" s="311"/>
      <c r="U89" s="311"/>
      <c r="V89" s="311"/>
      <c r="W89" s="311"/>
      <c r="X89" s="311"/>
      <c r="Y89" s="311"/>
      <c r="Z89" s="311"/>
      <c r="AA89" s="311"/>
      <c r="AB89" s="311"/>
      <c r="AC89" s="311"/>
      <c r="AD89" s="311"/>
      <c r="AE89" s="311"/>
    </row>
    <row r="90" spans="1:31" ht="16" x14ac:dyDescent="0.2">
      <c r="A90" s="31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1"/>
      <c r="S90" s="311"/>
      <c r="T90" s="311"/>
      <c r="U90" s="311"/>
      <c r="V90" s="311"/>
      <c r="W90" s="311"/>
      <c r="X90" s="311"/>
      <c r="Y90" s="311"/>
      <c r="Z90" s="311"/>
      <c r="AA90" s="311"/>
      <c r="AB90" s="311"/>
      <c r="AC90" s="311"/>
      <c r="AD90" s="311"/>
      <c r="AE90" s="311"/>
    </row>
    <row r="91" spans="1:31" ht="16" x14ac:dyDescent="0.2">
      <c r="A91" s="311"/>
      <c r="B91" s="311"/>
      <c r="C91" s="311"/>
      <c r="D91" s="311"/>
      <c r="E91" s="311"/>
      <c r="F91" s="311"/>
      <c r="G91" s="311"/>
      <c r="H91" s="311"/>
      <c r="I91" s="311"/>
      <c r="J91" s="311"/>
      <c r="K91" s="311"/>
      <c r="L91" s="311"/>
      <c r="M91" s="311"/>
      <c r="N91" s="311"/>
      <c r="O91" s="311"/>
      <c r="P91" s="311"/>
      <c r="Q91" s="311"/>
      <c r="R91" s="311"/>
      <c r="S91" s="311"/>
      <c r="T91" s="311"/>
      <c r="U91" s="311"/>
      <c r="V91" s="311"/>
      <c r="W91" s="311"/>
      <c r="X91" s="311"/>
      <c r="Y91" s="311"/>
      <c r="Z91" s="311"/>
      <c r="AA91" s="311"/>
      <c r="AB91" s="311"/>
      <c r="AC91" s="311"/>
      <c r="AD91" s="311"/>
      <c r="AE91" s="311"/>
    </row>
    <row r="92" spans="1:31" ht="16" x14ac:dyDescent="0.2">
      <c r="A92" s="31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1"/>
      <c r="S92" s="311"/>
      <c r="T92" s="311"/>
      <c r="U92" s="311"/>
      <c r="V92" s="311"/>
      <c r="W92" s="311"/>
      <c r="X92" s="311"/>
      <c r="Y92" s="311"/>
      <c r="Z92" s="311"/>
      <c r="AA92" s="311"/>
      <c r="AB92" s="311"/>
      <c r="AC92" s="311"/>
      <c r="AD92" s="311"/>
      <c r="AE92" s="311"/>
    </row>
    <row r="93" spans="1:31" ht="16" x14ac:dyDescent="0.2">
      <c r="A93" s="311"/>
      <c r="B93" s="311"/>
      <c r="C93" s="311"/>
      <c r="D93" s="311"/>
      <c r="E93" s="311"/>
      <c r="F93" s="311"/>
      <c r="G93" s="311"/>
      <c r="H93" s="311"/>
      <c r="I93" s="311"/>
      <c r="J93" s="311"/>
      <c r="K93" s="311"/>
      <c r="L93" s="311"/>
      <c r="M93" s="311"/>
      <c r="N93" s="311"/>
      <c r="O93" s="311"/>
      <c r="P93" s="311"/>
      <c r="Q93" s="311"/>
      <c r="R93" s="311"/>
      <c r="S93" s="311"/>
      <c r="T93" s="311"/>
      <c r="U93" s="311"/>
      <c r="V93" s="311"/>
      <c r="W93" s="311"/>
      <c r="X93" s="311"/>
      <c r="Y93" s="311"/>
      <c r="Z93" s="311"/>
      <c r="AA93" s="311"/>
      <c r="AB93" s="311"/>
      <c r="AC93" s="311"/>
      <c r="AD93" s="311"/>
      <c r="AE93" s="311"/>
    </row>
    <row r="94" spans="1:31" ht="16" x14ac:dyDescent="0.2">
      <c r="A94" s="311"/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311"/>
      <c r="AB94" s="311"/>
      <c r="AC94" s="311"/>
      <c r="AD94" s="311"/>
      <c r="AE94" s="311"/>
    </row>
    <row r="95" spans="1:31" ht="16" x14ac:dyDescent="0.2">
      <c r="A95" s="311"/>
      <c r="B95" s="311"/>
      <c r="C95" s="311"/>
      <c r="D95" s="311"/>
      <c r="E95" s="311"/>
      <c r="F95" s="311"/>
      <c r="G95" s="311"/>
      <c r="H95" s="311"/>
      <c r="I95" s="311"/>
      <c r="J95" s="311"/>
      <c r="K95" s="311"/>
      <c r="L95" s="311"/>
      <c r="M95" s="311"/>
      <c r="N95" s="311"/>
      <c r="O95" s="311"/>
      <c r="P95" s="311"/>
      <c r="Q95" s="311"/>
      <c r="R95" s="311"/>
      <c r="S95" s="311"/>
      <c r="T95" s="311"/>
      <c r="U95" s="311"/>
      <c r="V95" s="311"/>
      <c r="W95" s="311"/>
      <c r="X95" s="311"/>
      <c r="Y95" s="311"/>
      <c r="Z95" s="311"/>
      <c r="AA95" s="311"/>
      <c r="AB95" s="311"/>
      <c r="AC95" s="311"/>
      <c r="AD95" s="311"/>
      <c r="AE95" s="311"/>
    </row>
    <row r="96" spans="1:31" ht="16" x14ac:dyDescent="0.2">
      <c r="A96" s="311"/>
      <c r="B96" s="311"/>
      <c r="C96" s="311"/>
      <c r="D96" s="311"/>
      <c r="E96" s="311"/>
      <c r="F96" s="311"/>
      <c r="G96" s="311"/>
      <c r="H96" s="311"/>
      <c r="I96" s="311"/>
      <c r="J96" s="311"/>
      <c r="K96" s="311"/>
      <c r="L96" s="311"/>
      <c r="M96" s="311"/>
      <c r="N96" s="311"/>
      <c r="O96" s="311"/>
      <c r="P96" s="311"/>
      <c r="Q96" s="311"/>
      <c r="R96" s="311"/>
      <c r="S96" s="311"/>
      <c r="T96" s="311"/>
      <c r="U96" s="311"/>
      <c r="V96" s="311"/>
      <c r="W96" s="311"/>
      <c r="X96" s="311"/>
      <c r="Y96" s="311"/>
      <c r="Z96" s="311"/>
      <c r="AA96" s="311"/>
      <c r="AB96" s="311"/>
      <c r="AC96" s="311"/>
      <c r="AD96" s="311"/>
      <c r="AE96" s="311"/>
    </row>
    <row r="97" spans="1:31" ht="16" x14ac:dyDescent="0.2">
      <c r="A97" s="311"/>
      <c r="B97" s="311"/>
      <c r="C97" s="311"/>
      <c r="D97" s="311"/>
      <c r="E97" s="311"/>
      <c r="F97" s="311"/>
      <c r="G97" s="311"/>
      <c r="H97" s="311"/>
      <c r="I97" s="311"/>
      <c r="J97" s="311"/>
      <c r="K97" s="311"/>
      <c r="L97" s="311"/>
      <c r="M97" s="311"/>
      <c r="N97" s="311"/>
      <c r="O97" s="311"/>
      <c r="P97" s="311"/>
      <c r="Q97" s="311"/>
      <c r="R97" s="311"/>
      <c r="S97" s="311"/>
      <c r="T97" s="311"/>
      <c r="U97" s="311"/>
      <c r="V97" s="311"/>
      <c r="W97" s="311"/>
      <c r="X97" s="311"/>
      <c r="Y97" s="311"/>
      <c r="Z97" s="311"/>
      <c r="AA97" s="311"/>
      <c r="AB97" s="311"/>
      <c r="AC97" s="311"/>
      <c r="AD97" s="311"/>
      <c r="AE97" s="311"/>
    </row>
    <row r="98" spans="1:31" ht="16" x14ac:dyDescent="0.2">
      <c r="A98" s="31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1"/>
      <c r="S98" s="311"/>
      <c r="T98" s="311"/>
      <c r="U98" s="311"/>
      <c r="V98" s="311"/>
      <c r="W98" s="311"/>
      <c r="X98" s="311"/>
      <c r="Y98" s="311"/>
      <c r="Z98" s="311"/>
      <c r="AA98" s="311"/>
      <c r="AB98" s="311"/>
      <c r="AC98" s="311"/>
      <c r="AD98" s="311"/>
      <c r="AE98" s="311"/>
    </row>
    <row r="99" spans="1:31" ht="16" x14ac:dyDescent="0.2">
      <c r="A99" s="311"/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1"/>
      <c r="S99" s="311"/>
      <c r="T99" s="311"/>
      <c r="U99" s="311"/>
      <c r="V99" s="311"/>
      <c r="W99" s="311"/>
      <c r="X99" s="311"/>
      <c r="Y99" s="311"/>
      <c r="Z99" s="311"/>
      <c r="AA99" s="311"/>
      <c r="AB99" s="311"/>
      <c r="AC99" s="311"/>
      <c r="AD99" s="311"/>
      <c r="AE99" s="311"/>
    </row>
    <row r="100" spans="1:31" ht="16" x14ac:dyDescent="0.2">
      <c r="A100" s="311"/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311"/>
      <c r="AB100" s="311"/>
      <c r="AC100" s="311"/>
      <c r="AD100" s="311"/>
      <c r="AE100" s="311"/>
    </row>
    <row r="101" spans="1:31" ht="16" x14ac:dyDescent="0.2">
      <c r="A101" s="311"/>
      <c r="B101" s="311"/>
      <c r="C101" s="311"/>
      <c r="D101" s="311"/>
      <c r="E101" s="311"/>
      <c r="F101" s="311"/>
      <c r="G101" s="311"/>
      <c r="H101" s="311"/>
      <c r="I101" s="311"/>
      <c r="J101" s="311"/>
      <c r="K101" s="311"/>
      <c r="L101" s="311"/>
      <c r="M101" s="311"/>
      <c r="N101" s="311"/>
      <c r="O101" s="311"/>
      <c r="P101" s="311"/>
      <c r="Q101" s="311"/>
      <c r="R101" s="311"/>
      <c r="S101" s="311"/>
      <c r="T101" s="311"/>
      <c r="U101" s="311"/>
      <c r="V101" s="311"/>
      <c r="W101" s="311"/>
      <c r="X101" s="311"/>
      <c r="Y101" s="311"/>
      <c r="Z101" s="311"/>
      <c r="AA101" s="311"/>
      <c r="AB101" s="311"/>
      <c r="AC101" s="311"/>
      <c r="AD101" s="311"/>
      <c r="AE101" s="311"/>
    </row>
    <row r="102" spans="1:31" ht="16" x14ac:dyDescent="0.2">
      <c r="A102" s="311"/>
      <c r="B102" s="311"/>
      <c r="C102" s="311"/>
      <c r="D102" s="311"/>
      <c r="E102" s="311"/>
      <c r="F102" s="311"/>
      <c r="G102" s="311"/>
      <c r="H102" s="311"/>
      <c r="I102" s="311"/>
      <c r="J102" s="311"/>
      <c r="K102" s="311"/>
      <c r="L102" s="311"/>
      <c r="M102" s="311"/>
      <c r="N102" s="311"/>
      <c r="O102" s="311"/>
      <c r="P102" s="311"/>
      <c r="Q102" s="311"/>
      <c r="R102" s="311"/>
      <c r="S102" s="311"/>
      <c r="T102" s="311"/>
      <c r="U102" s="311"/>
      <c r="V102" s="311"/>
      <c r="W102" s="311"/>
      <c r="X102" s="311"/>
      <c r="Y102" s="311"/>
      <c r="Z102" s="311"/>
      <c r="AA102" s="311"/>
      <c r="AB102" s="311"/>
      <c r="AC102" s="311"/>
      <c r="AD102" s="311"/>
      <c r="AE102" s="311"/>
    </row>
    <row r="103" spans="1:31" ht="16" x14ac:dyDescent="0.2">
      <c r="A103" s="311"/>
      <c r="B103" s="311"/>
      <c r="C103" s="311"/>
      <c r="D103" s="311"/>
      <c r="E103" s="311"/>
      <c r="F103" s="311"/>
      <c r="G103" s="311"/>
      <c r="H103" s="311"/>
      <c r="I103" s="311"/>
      <c r="J103" s="311"/>
      <c r="K103" s="311"/>
      <c r="L103" s="311"/>
      <c r="M103" s="311"/>
      <c r="N103" s="311"/>
      <c r="O103" s="311"/>
      <c r="P103" s="311"/>
      <c r="Q103" s="311"/>
      <c r="R103" s="311"/>
      <c r="S103" s="311"/>
      <c r="T103" s="311"/>
      <c r="U103" s="311"/>
      <c r="V103" s="311"/>
      <c r="W103" s="311"/>
      <c r="X103" s="311"/>
      <c r="Y103" s="311"/>
      <c r="Z103" s="311"/>
      <c r="AA103" s="311"/>
      <c r="AB103" s="311"/>
      <c r="AC103" s="311"/>
      <c r="AD103" s="311"/>
      <c r="AE103" s="311"/>
    </row>
    <row r="104" spans="1:31" ht="16" x14ac:dyDescent="0.2">
      <c r="A104" s="311"/>
      <c r="B104" s="311"/>
      <c r="C104" s="311"/>
      <c r="D104" s="311"/>
      <c r="E104" s="311"/>
      <c r="F104" s="311"/>
      <c r="G104" s="311"/>
      <c r="H104" s="311"/>
      <c r="I104" s="311"/>
      <c r="J104" s="311"/>
      <c r="K104" s="311"/>
      <c r="L104" s="311"/>
      <c r="M104" s="311"/>
      <c r="N104" s="311"/>
      <c r="O104" s="311"/>
      <c r="P104" s="311"/>
      <c r="Q104" s="311"/>
      <c r="R104" s="311"/>
      <c r="S104" s="311"/>
      <c r="T104" s="311"/>
      <c r="U104" s="311"/>
      <c r="V104" s="311"/>
      <c r="W104" s="311"/>
      <c r="X104" s="311"/>
      <c r="Y104" s="311"/>
      <c r="Z104" s="311"/>
      <c r="AA104" s="311"/>
      <c r="AB104" s="311"/>
      <c r="AC104" s="311"/>
      <c r="AD104" s="311"/>
      <c r="AE104" s="311"/>
    </row>
    <row r="105" spans="1:31" ht="16" x14ac:dyDescent="0.2">
      <c r="A105" s="311"/>
      <c r="B105" s="311"/>
      <c r="C105" s="311"/>
      <c r="D105" s="311"/>
      <c r="E105" s="311"/>
      <c r="F105" s="311"/>
      <c r="G105" s="311"/>
      <c r="H105" s="311"/>
      <c r="I105" s="311"/>
      <c r="J105" s="311"/>
      <c r="K105" s="311"/>
      <c r="L105" s="311"/>
      <c r="M105" s="311"/>
      <c r="N105" s="311"/>
      <c r="O105" s="311"/>
      <c r="P105" s="311"/>
      <c r="Q105" s="311"/>
      <c r="R105" s="311"/>
      <c r="S105" s="311"/>
      <c r="T105" s="311"/>
      <c r="U105" s="311"/>
      <c r="V105" s="311"/>
      <c r="W105" s="311"/>
      <c r="X105" s="311"/>
      <c r="Y105" s="311"/>
      <c r="Z105" s="311"/>
      <c r="AA105" s="311"/>
      <c r="AB105" s="311"/>
      <c r="AC105" s="311"/>
      <c r="AD105" s="311"/>
      <c r="AE105" s="311"/>
    </row>
    <row r="106" spans="1:31" ht="16" x14ac:dyDescent="0.2">
      <c r="A106" s="311"/>
      <c r="B106" s="311"/>
      <c r="C106" s="311"/>
      <c r="D106" s="311"/>
      <c r="E106" s="311"/>
      <c r="F106" s="311"/>
      <c r="G106" s="311"/>
      <c r="H106" s="311"/>
      <c r="I106" s="311"/>
      <c r="J106" s="311"/>
      <c r="K106" s="311"/>
      <c r="L106" s="311"/>
      <c r="M106" s="311"/>
      <c r="N106" s="311"/>
      <c r="O106" s="311"/>
      <c r="P106" s="311"/>
      <c r="Q106" s="311"/>
      <c r="R106" s="311"/>
      <c r="S106" s="311"/>
      <c r="T106" s="311"/>
      <c r="U106" s="311"/>
      <c r="V106" s="311"/>
      <c r="W106" s="311"/>
      <c r="X106" s="311"/>
      <c r="Y106" s="311"/>
      <c r="Z106" s="311"/>
      <c r="AA106" s="311"/>
      <c r="AB106" s="311"/>
      <c r="AC106" s="311"/>
      <c r="AD106" s="311"/>
      <c r="AE106" s="311"/>
    </row>
    <row r="107" spans="1:31" ht="16" x14ac:dyDescent="0.2">
      <c r="A107" s="311"/>
      <c r="B107" s="311"/>
      <c r="C107" s="311"/>
      <c r="D107" s="311"/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/>
      <c r="T107" s="311"/>
      <c r="U107" s="311"/>
      <c r="V107" s="311"/>
      <c r="W107" s="311"/>
      <c r="X107" s="311"/>
      <c r="Y107" s="311"/>
      <c r="Z107" s="311"/>
      <c r="AA107" s="311"/>
      <c r="AB107" s="311"/>
      <c r="AC107" s="311"/>
      <c r="AD107" s="311"/>
      <c r="AE107" s="311"/>
    </row>
    <row r="108" spans="1:31" ht="16" x14ac:dyDescent="0.2">
      <c r="A108" s="311"/>
      <c r="B108" s="311"/>
      <c r="C108" s="311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1"/>
      <c r="T108" s="311"/>
      <c r="U108" s="311"/>
      <c r="V108" s="311"/>
      <c r="W108" s="311"/>
      <c r="X108" s="311"/>
      <c r="Y108" s="311"/>
      <c r="Z108" s="311"/>
      <c r="AA108" s="311"/>
      <c r="AB108" s="311"/>
      <c r="AC108" s="311"/>
      <c r="AD108" s="311"/>
      <c r="AE108" s="311"/>
    </row>
    <row r="109" spans="1:31" ht="16" x14ac:dyDescent="0.2">
      <c r="A109" s="311"/>
      <c r="B109" s="311"/>
      <c r="C109" s="311"/>
      <c r="D109" s="311"/>
      <c r="E109" s="311"/>
      <c r="F109" s="311"/>
      <c r="G109" s="311"/>
      <c r="H109" s="311"/>
      <c r="I109" s="311"/>
      <c r="J109" s="311"/>
      <c r="K109" s="311"/>
      <c r="L109" s="311"/>
      <c r="M109" s="311"/>
      <c r="N109" s="311"/>
      <c r="O109" s="311"/>
      <c r="P109" s="311"/>
      <c r="Q109" s="311"/>
      <c r="R109" s="311"/>
      <c r="S109" s="311"/>
      <c r="T109" s="311"/>
      <c r="U109" s="311"/>
      <c r="V109" s="311"/>
      <c r="W109" s="311"/>
      <c r="X109" s="311"/>
      <c r="Y109" s="311"/>
      <c r="Z109" s="311"/>
      <c r="AA109" s="311"/>
      <c r="AB109" s="311"/>
      <c r="AC109" s="311"/>
      <c r="AD109" s="311"/>
      <c r="AE109" s="311"/>
    </row>
    <row r="110" spans="1:31" ht="16" x14ac:dyDescent="0.2">
      <c r="A110" s="311"/>
      <c r="B110" s="311"/>
      <c r="C110" s="311"/>
      <c r="D110" s="311"/>
      <c r="E110" s="311"/>
      <c r="F110" s="311"/>
      <c r="G110" s="311"/>
      <c r="H110" s="311"/>
      <c r="I110" s="311"/>
      <c r="J110" s="311"/>
      <c r="K110" s="311"/>
      <c r="L110" s="311"/>
      <c r="M110" s="311"/>
      <c r="N110" s="311"/>
      <c r="O110" s="311"/>
      <c r="P110" s="311"/>
      <c r="Q110" s="311"/>
      <c r="R110" s="311"/>
      <c r="S110" s="311"/>
      <c r="T110" s="311"/>
      <c r="U110" s="311"/>
      <c r="V110" s="311"/>
      <c r="W110" s="311"/>
      <c r="X110" s="311"/>
      <c r="Y110" s="311"/>
      <c r="Z110" s="311"/>
      <c r="AA110" s="311"/>
      <c r="AB110" s="311"/>
      <c r="AC110" s="311"/>
      <c r="AD110" s="311"/>
      <c r="AE110" s="311"/>
    </row>
    <row r="111" spans="1:31" ht="16" x14ac:dyDescent="0.2">
      <c r="A111" s="311"/>
      <c r="B111" s="311"/>
      <c r="C111" s="311"/>
      <c r="D111" s="311"/>
      <c r="E111" s="311"/>
      <c r="F111" s="311"/>
      <c r="G111" s="311"/>
      <c r="H111" s="311"/>
      <c r="I111" s="311"/>
      <c r="J111" s="311"/>
      <c r="K111" s="311"/>
      <c r="L111" s="311"/>
      <c r="M111" s="311"/>
      <c r="N111" s="311"/>
      <c r="O111" s="311"/>
      <c r="P111" s="311"/>
      <c r="Q111" s="311"/>
      <c r="R111" s="311"/>
      <c r="S111" s="311"/>
      <c r="T111" s="311"/>
      <c r="U111" s="311"/>
      <c r="V111" s="311"/>
      <c r="W111" s="311"/>
      <c r="X111" s="311"/>
      <c r="Y111" s="311"/>
      <c r="Z111" s="311"/>
      <c r="AA111" s="311"/>
      <c r="AB111" s="311"/>
      <c r="AC111" s="311"/>
      <c r="AD111" s="311"/>
      <c r="AE111" s="311"/>
    </row>
    <row r="112" spans="1:31" ht="16" x14ac:dyDescent="0.2">
      <c r="A112" s="311"/>
      <c r="B112" s="311"/>
      <c r="C112" s="311"/>
      <c r="D112" s="311"/>
      <c r="E112" s="311"/>
      <c r="F112" s="311"/>
      <c r="G112" s="311"/>
      <c r="H112" s="311"/>
      <c r="I112" s="311"/>
      <c r="J112" s="311"/>
      <c r="K112" s="311"/>
      <c r="L112" s="311"/>
      <c r="M112" s="311"/>
      <c r="N112" s="311"/>
      <c r="O112" s="311"/>
      <c r="P112" s="311"/>
      <c r="Q112" s="311"/>
      <c r="R112" s="311"/>
      <c r="S112" s="311"/>
      <c r="T112" s="311"/>
      <c r="U112" s="311"/>
      <c r="V112" s="311"/>
      <c r="W112" s="311"/>
      <c r="X112" s="311"/>
      <c r="Y112" s="311"/>
      <c r="Z112" s="311"/>
      <c r="AA112" s="311"/>
      <c r="AB112" s="311"/>
      <c r="AC112" s="311"/>
      <c r="AD112" s="311"/>
      <c r="AE112" s="311"/>
    </row>
    <row r="113" spans="1:31" ht="16" x14ac:dyDescent="0.2">
      <c r="A113" s="311"/>
      <c r="B113" s="311"/>
      <c r="C113" s="311"/>
      <c r="D113" s="311"/>
      <c r="E113" s="311"/>
      <c r="F113" s="311"/>
      <c r="G113" s="311"/>
      <c r="H113" s="311"/>
      <c r="I113" s="311"/>
      <c r="J113" s="311"/>
      <c r="K113" s="311"/>
      <c r="L113" s="311"/>
      <c r="M113" s="311"/>
      <c r="N113" s="311"/>
      <c r="O113" s="311"/>
      <c r="P113" s="311"/>
      <c r="Q113" s="311"/>
      <c r="R113" s="311"/>
      <c r="S113" s="311"/>
      <c r="T113" s="311"/>
      <c r="U113" s="311"/>
      <c r="V113" s="311"/>
      <c r="W113" s="311"/>
      <c r="X113" s="311"/>
      <c r="Y113" s="311"/>
      <c r="Z113" s="311"/>
      <c r="AA113" s="311"/>
      <c r="AB113" s="311"/>
      <c r="AC113" s="311"/>
      <c r="AD113" s="311"/>
      <c r="AE113" s="311"/>
    </row>
    <row r="114" spans="1:31" ht="16" x14ac:dyDescent="0.2">
      <c r="A114" s="311"/>
      <c r="B114" s="311"/>
      <c r="C114" s="311"/>
      <c r="D114" s="311"/>
      <c r="E114" s="311"/>
      <c r="F114" s="311"/>
      <c r="G114" s="311"/>
      <c r="H114" s="311"/>
      <c r="I114" s="311"/>
      <c r="J114" s="311"/>
      <c r="K114" s="311"/>
      <c r="L114" s="311"/>
      <c r="M114" s="311"/>
      <c r="N114" s="311"/>
      <c r="O114" s="311"/>
      <c r="P114" s="311"/>
      <c r="Q114" s="311"/>
      <c r="R114" s="311"/>
      <c r="S114" s="311"/>
      <c r="T114" s="311"/>
      <c r="U114" s="311"/>
      <c r="V114" s="311"/>
      <c r="W114" s="311"/>
      <c r="X114" s="311"/>
      <c r="Y114" s="311"/>
      <c r="Z114" s="311"/>
      <c r="AA114" s="311"/>
      <c r="AB114" s="311"/>
      <c r="AC114" s="311"/>
      <c r="AD114" s="311"/>
      <c r="AE114" s="311"/>
    </row>
    <row r="115" spans="1:31" ht="16" x14ac:dyDescent="0.2">
      <c r="A115" s="311"/>
      <c r="B115" s="311"/>
      <c r="C115" s="311"/>
      <c r="D115" s="311"/>
      <c r="E115" s="311"/>
      <c r="F115" s="311"/>
      <c r="G115" s="311"/>
      <c r="H115" s="311"/>
      <c r="I115" s="311"/>
      <c r="J115" s="311"/>
      <c r="K115" s="311"/>
      <c r="L115" s="311"/>
      <c r="M115" s="311"/>
      <c r="N115" s="311"/>
      <c r="O115" s="311"/>
      <c r="P115" s="311"/>
      <c r="Q115" s="311"/>
      <c r="R115" s="311"/>
      <c r="S115" s="311"/>
      <c r="T115" s="311"/>
      <c r="U115" s="311"/>
      <c r="V115" s="311"/>
      <c r="W115" s="311"/>
      <c r="X115" s="311"/>
      <c r="Y115" s="311"/>
      <c r="Z115" s="311"/>
      <c r="AA115" s="311"/>
      <c r="AB115" s="311"/>
      <c r="AC115" s="311"/>
      <c r="AD115" s="311"/>
      <c r="AE115" s="311"/>
    </row>
    <row r="116" spans="1:31" ht="16" x14ac:dyDescent="0.2">
      <c r="A116" s="31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1"/>
      <c r="S116" s="311"/>
      <c r="T116" s="311"/>
      <c r="U116" s="311"/>
      <c r="V116" s="311"/>
      <c r="W116" s="311"/>
      <c r="X116" s="311"/>
      <c r="Y116" s="311"/>
      <c r="Z116" s="311"/>
      <c r="AA116" s="311"/>
      <c r="AB116" s="311"/>
      <c r="AC116" s="311"/>
      <c r="AD116" s="311"/>
      <c r="AE116" s="311"/>
    </row>
    <row r="117" spans="1:31" ht="16" x14ac:dyDescent="0.2">
      <c r="A117" s="311"/>
      <c r="B117" s="311"/>
      <c r="C117" s="311"/>
      <c r="D117" s="311"/>
      <c r="E117" s="311"/>
      <c r="F117" s="311"/>
      <c r="G117" s="311"/>
      <c r="H117" s="311"/>
      <c r="I117" s="311"/>
      <c r="J117" s="311"/>
      <c r="K117" s="311"/>
      <c r="L117" s="311"/>
      <c r="M117" s="311"/>
      <c r="N117" s="311"/>
      <c r="O117" s="311"/>
      <c r="P117" s="311"/>
      <c r="Q117" s="311"/>
      <c r="R117" s="311"/>
      <c r="S117" s="311"/>
      <c r="T117" s="311"/>
      <c r="U117" s="311"/>
      <c r="V117" s="311"/>
      <c r="W117" s="311"/>
      <c r="X117" s="311"/>
      <c r="Y117" s="311"/>
      <c r="Z117" s="311"/>
      <c r="AA117" s="311"/>
      <c r="AB117" s="311"/>
      <c r="AC117" s="311"/>
      <c r="AD117" s="311"/>
      <c r="AE117" s="311"/>
    </row>
    <row r="118" spans="1:31" ht="16" x14ac:dyDescent="0.2">
      <c r="A118" s="311"/>
      <c r="B118" s="311"/>
      <c r="C118" s="311"/>
      <c r="D118" s="311"/>
      <c r="E118" s="311"/>
      <c r="F118" s="311"/>
      <c r="G118" s="311"/>
      <c r="H118" s="311"/>
      <c r="I118" s="311"/>
      <c r="J118" s="311"/>
      <c r="K118" s="311"/>
      <c r="L118" s="311"/>
      <c r="M118" s="311"/>
      <c r="N118" s="311"/>
      <c r="O118" s="311"/>
      <c r="P118" s="311"/>
      <c r="Q118" s="311"/>
      <c r="R118" s="311"/>
      <c r="S118" s="311"/>
      <c r="T118" s="311"/>
      <c r="U118" s="311"/>
      <c r="V118" s="311"/>
      <c r="W118" s="311"/>
      <c r="X118" s="311"/>
      <c r="Y118" s="311"/>
      <c r="Z118" s="311"/>
      <c r="AA118" s="311"/>
      <c r="AB118" s="311"/>
      <c r="AC118" s="311"/>
      <c r="AD118" s="311"/>
      <c r="AE118" s="311"/>
    </row>
    <row r="119" spans="1:31" ht="16" x14ac:dyDescent="0.2">
      <c r="A119" s="311"/>
      <c r="B119" s="311"/>
      <c r="C119" s="311"/>
      <c r="D119" s="311"/>
      <c r="E119" s="311"/>
      <c r="F119" s="311"/>
      <c r="G119" s="311"/>
      <c r="H119" s="311"/>
      <c r="I119" s="311"/>
      <c r="J119" s="311"/>
      <c r="K119" s="311"/>
      <c r="L119" s="311"/>
      <c r="M119" s="311"/>
      <c r="N119" s="311"/>
      <c r="O119" s="311"/>
      <c r="P119" s="311"/>
      <c r="Q119" s="311"/>
      <c r="R119" s="311"/>
      <c r="S119" s="311"/>
      <c r="T119" s="311"/>
      <c r="U119" s="311"/>
      <c r="V119" s="311"/>
      <c r="W119" s="311"/>
      <c r="X119" s="311"/>
      <c r="Y119" s="311"/>
      <c r="Z119" s="311"/>
      <c r="AA119" s="311"/>
      <c r="AB119" s="311"/>
      <c r="AC119" s="311"/>
      <c r="AD119" s="311"/>
      <c r="AE119" s="311"/>
    </row>
    <row r="120" spans="1:31" ht="16" x14ac:dyDescent="0.2">
      <c r="A120" s="311"/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311"/>
      <c r="AB120" s="311"/>
      <c r="AC120" s="311"/>
      <c r="AD120" s="311"/>
      <c r="AE120" s="311"/>
    </row>
    <row r="121" spans="1:31" ht="16" x14ac:dyDescent="0.2">
      <c r="A121" s="311"/>
      <c r="B121" s="311"/>
      <c r="C121" s="311"/>
      <c r="D121" s="311"/>
      <c r="E121" s="311"/>
      <c r="F121" s="311"/>
      <c r="G121" s="311"/>
      <c r="H121" s="311"/>
      <c r="I121" s="311"/>
      <c r="J121" s="311"/>
      <c r="K121" s="311"/>
      <c r="L121" s="311"/>
      <c r="M121" s="311"/>
      <c r="N121" s="311"/>
      <c r="O121" s="311"/>
      <c r="P121" s="311"/>
      <c r="Q121" s="311"/>
      <c r="R121" s="311"/>
      <c r="S121" s="311"/>
      <c r="T121" s="311"/>
      <c r="U121" s="311"/>
      <c r="V121" s="311"/>
      <c r="W121" s="311"/>
      <c r="X121" s="311"/>
      <c r="Y121" s="311"/>
      <c r="Z121" s="311"/>
      <c r="AA121" s="311"/>
      <c r="AB121" s="311"/>
      <c r="AC121" s="311"/>
      <c r="AD121" s="311"/>
      <c r="AE121" s="311"/>
    </row>
    <row r="122" spans="1:31" ht="16" x14ac:dyDescent="0.2">
      <c r="A122" s="311"/>
      <c r="B122" s="311"/>
      <c r="C122" s="311"/>
      <c r="D122" s="311"/>
      <c r="E122" s="311"/>
      <c r="F122" s="311"/>
      <c r="G122" s="311"/>
      <c r="H122" s="311"/>
      <c r="I122" s="311"/>
      <c r="J122" s="311"/>
      <c r="K122" s="311"/>
      <c r="L122" s="311"/>
      <c r="M122" s="311"/>
      <c r="N122" s="311"/>
      <c r="O122" s="311"/>
      <c r="P122" s="311"/>
      <c r="Q122" s="311"/>
      <c r="R122" s="311"/>
      <c r="S122" s="311"/>
      <c r="T122" s="311"/>
      <c r="U122" s="311"/>
      <c r="V122" s="311"/>
      <c r="W122" s="311"/>
      <c r="X122" s="311"/>
      <c r="Y122" s="311"/>
      <c r="Z122" s="311"/>
      <c r="AA122" s="311"/>
      <c r="AB122" s="311"/>
      <c r="AC122" s="311"/>
      <c r="AD122" s="311"/>
      <c r="AE122" s="311"/>
    </row>
    <row r="123" spans="1:31" ht="16" x14ac:dyDescent="0.2">
      <c r="A123" s="311"/>
      <c r="B123" s="311"/>
      <c r="C123" s="311"/>
      <c r="D123" s="311"/>
      <c r="E123" s="311"/>
      <c r="F123" s="311"/>
      <c r="G123" s="311"/>
      <c r="H123" s="311"/>
      <c r="I123" s="311"/>
      <c r="J123" s="311"/>
      <c r="K123" s="311"/>
      <c r="L123" s="311"/>
      <c r="M123" s="311"/>
      <c r="N123" s="311"/>
      <c r="O123" s="311"/>
      <c r="P123" s="311"/>
      <c r="Q123" s="311"/>
      <c r="R123" s="311"/>
      <c r="S123" s="311"/>
      <c r="T123" s="311"/>
      <c r="U123" s="311"/>
      <c r="V123" s="311"/>
      <c r="W123" s="311"/>
      <c r="X123" s="311"/>
      <c r="Y123" s="311"/>
      <c r="Z123" s="311"/>
      <c r="AA123" s="311"/>
      <c r="AB123" s="311"/>
      <c r="AC123" s="311"/>
      <c r="AD123" s="311"/>
      <c r="AE123" s="311"/>
    </row>
    <row r="124" spans="1:31" ht="16" x14ac:dyDescent="0.2">
      <c r="A124" s="311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1"/>
      <c r="S124" s="311"/>
      <c r="T124" s="311"/>
      <c r="U124" s="311"/>
      <c r="V124" s="311"/>
      <c r="W124" s="311"/>
      <c r="X124" s="311"/>
      <c r="Y124" s="311"/>
      <c r="Z124" s="311"/>
      <c r="AA124" s="311"/>
      <c r="AB124" s="311"/>
      <c r="AC124" s="311"/>
      <c r="AD124" s="311"/>
      <c r="AE124" s="311"/>
    </row>
    <row r="125" spans="1:31" ht="16" x14ac:dyDescent="0.2">
      <c r="A125" s="311"/>
      <c r="B125" s="311"/>
      <c r="C125" s="311"/>
      <c r="D125" s="311"/>
      <c r="E125" s="311"/>
      <c r="F125" s="311"/>
      <c r="G125" s="311"/>
      <c r="H125" s="311"/>
      <c r="I125" s="311"/>
      <c r="J125" s="311"/>
      <c r="K125" s="311"/>
      <c r="L125" s="311"/>
      <c r="M125" s="311"/>
      <c r="N125" s="311"/>
      <c r="O125" s="311"/>
      <c r="P125" s="311"/>
      <c r="Q125" s="311"/>
      <c r="R125" s="311"/>
      <c r="S125" s="311"/>
      <c r="T125" s="311"/>
      <c r="U125" s="311"/>
      <c r="V125" s="311"/>
      <c r="W125" s="311"/>
      <c r="X125" s="311"/>
      <c r="Y125" s="311"/>
      <c r="Z125" s="311"/>
      <c r="AA125" s="311"/>
      <c r="AB125" s="311"/>
      <c r="AC125" s="311"/>
      <c r="AD125" s="311"/>
      <c r="AE125" s="311"/>
    </row>
    <row r="126" spans="1:31" ht="16" x14ac:dyDescent="0.2">
      <c r="A126" s="311"/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311"/>
      <c r="AB126" s="311"/>
      <c r="AC126" s="311"/>
      <c r="AD126" s="311"/>
      <c r="AE126" s="311"/>
    </row>
    <row r="127" spans="1:31" ht="16" x14ac:dyDescent="0.2">
      <c r="A127" s="311"/>
      <c r="B127" s="311"/>
      <c r="C127" s="311"/>
      <c r="D127" s="311"/>
      <c r="E127" s="311"/>
      <c r="F127" s="311"/>
      <c r="G127" s="311"/>
      <c r="H127" s="311"/>
      <c r="I127" s="311"/>
      <c r="J127" s="311"/>
      <c r="K127" s="311"/>
      <c r="L127" s="311"/>
      <c r="M127" s="311"/>
      <c r="N127" s="311"/>
      <c r="O127" s="311"/>
      <c r="P127" s="311"/>
      <c r="Q127" s="311"/>
      <c r="R127" s="311"/>
      <c r="S127" s="311"/>
      <c r="T127" s="311"/>
      <c r="U127" s="311"/>
      <c r="V127" s="311"/>
      <c r="W127" s="311"/>
      <c r="X127" s="311"/>
      <c r="Y127" s="311"/>
      <c r="Z127" s="311"/>
      <c r="AA127" s="311"/>
      <c r="AB127" s="311"/>
      <c r="AC127" s="311"/>
      <c r="AD127" s="311"/>
      <c r="AE127" s="311"/>
    </row>
    <row r="128" spans="1:31" ht="16" x14ac:dyDescent="0.2">
      <c r="A128" s="311"/>
      <c r="B128" s="311"/>
      <c r="C128" s="311"/>
      <c r="D128" s="311"/>
      <c r="E128" s="311"/>
      <c r="F128" s="311"/>
      <c r="G128" s="311"/>
      <c r="H128" s="311"/>
      <c r="I128" s="311"/>
      <c r="J128" s="311"/>
      <c r="K128" s="311"/>
      <c r="L128" s="311"/>
      <c r="M128" s="311"/>
      <c r="N128" s="311"/>
      <c r="O128" s="311"/>
      <c r="P128" s="311"/>
      <c r="Q128" s="311"/>
      <c r="R128" s="311"/>
      <c r="S128" s="311"/>
      <c r="T128" s="311"/>
      <c r="U128" s="311"/>
      <c r="V128" s="311"/>
      <c r="W128" s="311"/>
      <c r="X128" s="311"/>
      <c r="Y128" s="311"/>
      <c r="Z128" s="311"/>
      <c r="AA128" s="311"/>
      <c r="AB128" s="311"/>
      <c r="AC128" s="311"/>
      <c r="AD128" s="311"/>
      <c r="AE128" s="311"/>
    </row>
    <row r="129" spans="1:31" ht="16" x14ac:dyDescent="0.2">
      <c r="A129" s="311"/>
      <c r="B129" s="311"/>
      <c r="C129" s="311"/>
      <c r="D129" s="311"/>
      <c r="E129" s="311"/>
      <c r="F129" s="311"/>
      <c r="G129" s="311"/>
      <c r="H129" s="311"/>
      <c r="I129" s="311"/>
      <c r="J129" s="311"/>
      <c r="K129" s="311"/>
      <c r="L129" s="311"/>
      <c r="M129" s="311"/>
      <c r="N129" s="311"/>
      <c r="O129" s="311"/>
      <c r="P129" s="311"/>
      <c r="Q129" s="311"/>
      <c r="R129" s="311"/>
      <c r="S129" s="311"/>
      <c r="T129" s="311"/>
      <c r="U129" s="311"/>
      <c r="V129" s="311"/>
      <c r="W129" s="311"/>
      <c r="X129" s="311"/>
      <c r="Y129" s="311"/>
      <c r="Z129" s="311"/>
      <c r="AA129" s="311"/>
      <c r="AB129" s="311"/>
      <c r="AC129" s="311"/>
      <c r="AD129" s="311"/>
      <c r="AE129" s="311"/>
    </row>
    <row r="130" spans="1:31" ht="16" x14ac:dyDescent="0.2">
      <c r="A130" s="311"/>
      <c r="B130" s="311"/>
      <c r="C130" s="311"/>
      <c r="D130" s="311"/>
      <c r="E130" s="311"/>
      <c r="F130" s="311"/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  <c r="W130" s="311"/>
      <c r="X130" s="311"/>
      <c r="Y130" s="311"/>
      <c r="Z130" s="311"/>
      <c r="AA130" s="311"/>
      <c r="AB130" s="311"/>
      <c r="AC130" s="311"/>
      <c r="AD130" s="311"/>
      <c r="AE130" s="311"/>
    </row>
    <row r="131" spans="1:31" ht="16" x14ac:dyDescent="0.2">
      <c r="A131" s="311"/>
      <c r="B131" s="311"/>
      <c r="C131" s="311"/>
      <c r="D131" s="311"/>
      <c r="E131" s="311"/>
      <c r="F131" s="311"/>
      <c r="G131" s="311"/>
      <c r="H131" s="311"/>
      <c r="I131" s="311"/>
      <c r="J131" s="311"/>
      <c r="K131" s="311"/>
      <c r="L131" s="311"/>
      <c r="M131" s="311"/>
      <c r="N131" s="311"/>
      <c r="O131" s="311"/>
      <c r="P131" s="311"/>
      <c r="Q131" s="311"/>
      <c r="R131" s="311"/>
      <c r="S131" s="311"/>
      <c r="T131" s="311"/>
      <c r="U131" s="311"/>
      <c r="V131" s="311"/>
      <c r="W131" s="311"/>
      <c r="X131" s="311"/>
      <c r="Y131" s="311"/>
      <c r="Z131" s="311"/>
      <c r="AA131" s="311"/>
      <c r="AB131" s="311"/>
      <c r="AC131" s="311"/>
      <c r="AD131" s="311"/>
      <c r="AE131" s="311"/>
    </row>
    <row r="132" spans="1:31" ht="16" x14ac:dyDescent="0.2">
      <c r="A132" s="311"/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311"/>
      <c r="AB132" s="311"/>
      <c r="AC132" s="311"/>
      <c r="AD132" s="311"/>
      <c r="AE132" s="311"/>
    </row>
    <row r="133" spans="1:31" ht="16" x14ac:dyDescent="0.2">
      <c r="A133" s="311"/>
      <c r="B133" s="311"/>
      <c r="C133" s="311"/>
      <c r="D133" s="311"/>
      <c r="E133" s="311"/>
      <c r="F133" s="311"/>
      <c r="G133" s="311"/>
      <c r="H133" s="311"/>
      <c r="I133" s="311"/>
      <c r="J133" s="311"/>
      <c r="K133" s="311"/>
      <c r="L133" s="311"/>
      <c r="M133" s="311"/>
      <c r="N133" s="311"/>
      <c r="O133" s="311"/>
      <c r="P133" s="311"/>
      <c r="Q133" s="311"/>
      <c r="R133" s="311"/>
      <c r="S133" s="311"/>
      <c r="T133" s="311"/>
      <c r="U133" s="311"/>
      <c r="V133" s="311"/>
      <c r="W133" s="311"/>
      <c r="X133" s="311"/>
      <c r="Y133" s="311"/>
      <c r="Z133" s="311"/>
      <c r="AA133" s="311"/>
      <c r="AB133" s="311"/>
      <c r="AC133" s="311"/>
      <c r="AD133" s="311"/>
      <c r="AE133" s="311"/>
    </row>
    <row r="134" spans="1:31" ht="16" x14ac:dyDescent="0.2">
      <c r="A134" s="311"/>
      <c r="B134" s="311"/>
      <c r="C134" s="311"/>
      <c r="D134" s="311"/>
      <c r="E134" s="311"/>
      <c r="F134" s="311"/>
      <c r="G134" s="311"/>
      <c r="H134" s="311"/>
      <c r="I134" s="311"/>
      <c r="J134" s="311"/>
      <c r="K134" s="311"/>
      <c r="L134" s="311"/>
      <c r="M134" s="311"/>
      <c r="N134" s="311"/>
      <c r="O134" s="311"/>
      <c r="P134" s="311"/>
      <c r="Q134" s="311"/>
      <c r="R134" s="311"/>
      <c r="S134" s="311"/>
      <c r="T134" s="311"/>
      <c r="U134" s="311"/>
      <c r="V134" s="311"/>
      <c r="W134" s="311"/>
      <c r="X134" s="311"/>
      <c r="Y134" s="311"/>
      <c r="Z134" s="311"/>
      <c r="AA134" s="311"/>
      <c r="AB134" s="311"/>
      <c r="AC134" s="311"/>
      <c r="AD134" s="311"/>
      <c r="AE134" s="311"/>
    </row>
    <row r="135" spans="1:31" ht="16" x14ac:dyDescent="0.2">
      <c r="A135" s="311"/>
      <c r="B135" s="311"/>
      <c r="C135" s="311"/>
      <c r="D135" s="311"/>
      <c r="E135" s="311"/>
      <c r="F135" s="311"/>
      <c r="G135" s="311"/>
      <c r="H135" s="311"/>
      <c r="I135" s="311"/>
      <c r="J135" s="311"/>
      <c r="K135" s="311"/>
      <c r="L135" s="311"/>
      <c r="M135" s="311"/>
      <c r="N135" s="311"/>
      <c r="O135" s="311"/>
      <c r="P135" s="311"/>
      <c r="Q135" s="311"/>
      <c r="R135" s="311"/>
      <c r="S135" s="311"/>
      <c r="T135" s="311"/>
      <c r="U135" s="311"/>
      <c r="V135" s="311"/>
      <c r="W135" s="311"/>
      <c r="X135" s="311"/>
      <c r="Y135" s="311"/>
      <c r="Z135" s="311"/>
      <c r="AA135" s="311"/>
      <c r="AB135" s="311"/>
      <c r="AC135" s="311"/>
      <c r="AD135" s="311"/>
      <c r="AE135" s="311"/>
    </row>
    <row r="136" spans="1:31" ht="16" x14ac:dyDescent="0.2">
      <c r="A136" s="311"/>
      <c r="B136" s="311"/>
      <c r="C136" s="311"/>
      <c r="D136" s="311"/>
      <c r="E136" s="311"/>
      <c r="F136" s="311"/>
      <c r="G136" s="311"/>
      <c r="H136" s="311"/>
      <c r="I136" s="311"/>
      <c r="J136" s="311"/>
      <c r="K136" s="311"/>
      <c r="L136" s="311"/>
      <c r="M136" s="311"/>
      <c r="N136" s="311"/>
      <c r="O136" s="311"/>
      <c r="P136" s="311"/>
      <c r="Q136" s="311"/>
      <c r="R136" s="311"/>
      <c r="S136" s="311"/>
      <c r="T136" s="311"/>
      <c r="U136" s="311"/>
      <c r="V136" s="311"/>
      <c r="W136" s="311"/>
      <c r="X136" s="311"/>
      <c r="Y136" s="311"/>
      <c r="Z136" s="311"/>
      <c r="AA136" s="311"/>
      <c r="AB136" s="311"/>
      <c r="AC136" s="311"/>
      <c r="AD136" s="311"/>
      <c r="AE136" s="311"/>
    </row>
    <row r="137" spans="1:31" ht="16" x14ac:dyDescent="0.2">
      <c r="A137" s="311"/>
      <c r="B137" s="311"/>
      <c r="C137" s="311"/>
      <c r="D137" s="311"/>
      <c r="E137" s="311"/>
      <c r="F137" s="311"/>
      <c r="G137" s="311"/>
      <c r="H137" s="311"/>
      <c r="I137" s="311"/>
      <c r="J137" s="311"/>
      <c r="K137" s="311"/>
      <c r="L137" s="311"/>
      <c r="M137" s="311"/>
      <c r="N137" s="311"/>
      <c r="O137" s="311"/>
      <c r="P137" s="311"/>
      <c r="Q137" s="311"/>
      <c r="R137" s="311"/>
      <c r="S137" s="311"/>
      <c r="T137" s="311"/>
      <c r="U137" s="311"/>
      <c r="V137" s="311"/>
      <c r="W137" s="311"/>
      <c r="X137" s="311"/>
      <c r="Y137" s="311"/>
      <c r="Z137" s="311"/>
      <c r="AA137" s="311"/>
      <c r="AB137" s="311"/>
      <c r="AC137" s="311"/>
      <c r="AD137" s="311"/>
      <c r="AE137" s="311"/>
    </row>
    <row r="138" spans="1:31" ht="16" x14ac:dyDescent="0.2">
      <c r="A138" s="311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311"/>
      <c r="AB138" s="311"/>
      <c r="AC138" s="311"/>
      <c r="AD138" s="311"/>
      <c r="AE138" s="311"/>
    </row>
    <row r="139" spans="1:31" ht="16" x14ac:dyDescent="0.2">
      <c r="A139" s="311"/>
      <c r="B139" s="311"/>
      <c r="C139" s="311"/>
      <c r="D139" s="311"/>
      <c r="E139" s="311"/>
      <c r="F139" s="311"/>
      <c r="G139" s="311"/>
      <c r="H139" s="311"/>
      <c r="I139" s="311"/>
      <c r="J139" s="311"/>
      <c r="K139" s="311"/>
      <c r="L139" s="311"/>
      <c r="M139" s="311"/>
      <c r="N139" s="311"/>
      <c r="O139" s="311"/>
      <c r="P139" s="311"/>
      <c r="Q139" s="311"/>
      <c r="R139" s="311"/>
      <c r="S139" s="311"/>
      <c r="T139" s="311"/>
      <c r="U139" s="311"/>
      <c r="V139" s="311"/>
      <c r="W139" s="311"/>
      <c r="X139" s="311"/>
      <c r="Y139" s="311"/>
      <c r="Z139" s="311"/>
      <c r="AA139" s="311"/>
      <c r="AB139" s="311"/>
      <c r="AC139" s="311"/>
      <c r="AD139" s="311"/>
      <c r="AE139" s="311"/>
    </row>
    <row r="140" spans="1:31" ht="16" x14ac:dyDescent="0.2">
      <c r="A140" s="311"/>
      <c r="B140" s="311"/>
      <c r="C140" s="311"/>
      <c r="D140" s="311"/>
      <c r="E140" s="311"/>
      <c r="F140" s="311"/>
      <c r="G140" s="311"/>
      <c r="H140" s="311"/>
      <c r="I140" s="311"/>
      <c r="J140" s="311"/>
      <c r="K140" s="311"/>
      <c r="L140" s="311"/>
      <c r="M140" s="311"/>
      <c r="N140" s="311"/>
      <c r="O140" s="311"/>
      <c r="P140" s="311"/>
      <c r="Q140" s="311"/>
      <c r="R140" s="311"/>
      <c r="S140" s="311"/>
      <c r="T140" s="311"/>
      <c r="U140" s="311"/>
      <c r="V140" s="311"/>
      <c r="W140" s="311"/>
      <c r="X140" s="311"/>
      <c r="Y140" s="311"/>
      <c r="Z140" s="311"/>
      <c r="AA140" s="311"/>
      <c r="AB140" s="311"/>
      <c r="AC140" s="311"/>
      <c r="AD140" s="311"/>
      <c r="AE140" s="311"/>
    </row>
    <row r="141" spans="1:31" ht="16" x14ac:dyDescent="0.2">
      <c r="A141" s="311"/>
      <c r="B141" s="311"/>
      <c r="C141" s="311"/>
      <c r="D141" s="311"/>
      <c r="E141" s="311"/>
      <c r="F141" s="311"/>
      <c r="G141" s="311"/>
      <c r="H141" s="311"/>
      <c r="I141" s="311"/>
      <c r="J141" s="311"/>
      <c r="K141" s="311"/>
      <c r="L141" s="311"/>
      <c r="M141" s="311"/>
      <c r="N141" s="311"/>
      <c r="O141" s="311"/>
      <c r="P141" s="311"/>
      <c r="Q141" s="311"/>
      <c r="R141" s="311"/>
      <c r="S141" s="311"/>
      <c r="T141" s="311"/>
      <c r="U141" s="311"/>
      <c r="V141" s="311"/>
      <c r="W141" s="311"/>
      <c r="X141" s="311"/>
      <c r="Y141" s="311"/>
      <c r="Z141" s="311"/>
      <c r="AA141" s="311"/>
      <c r="AB141" s="311"/>
      <c r="AC141" s="311"/>
      <c r="AD141" s="311"/>
      <c r="AE141" s="311"/>
    </row>
    <row r="142" spans="1:31" ht="16" x14ac:dyDescent="0.2">
      <c r="A142" s="311"/>
      <c r="B142" s="311"/>
      <c r="C142" s="311"/>
      <c r="D142" s="311"/>
      <c r="E142" s="311"/>
      <c r="F142" s="311"/>
      <c r="G142" s="311"/>
      <c r="H142" s="311"/>
      <c r="I142" s="311"/>
      <c r="J142" s="311"/>
      <c r="K142" s="311"/>
      <c r="L142" s="311"/>
      <c r="M142" s="311"/>
      <c r="N142" s="311"/>
      <c r="O142" s="311"/>
      <c r="P142" s="311"/>
      <c r="Q142" s="311"/>
      <c r="R142" s="311"/>
      <c r="S142" s="311"/>
      <c r="T142" s="311"/>
      <c r="U142" s="311"/>
      <c r="V142" s="311"/>
      <c r="W142" s="311"/>
      <c r="X142" s="311"/>
      <c r="Y142" s="311"/>
      <c r="Z142" s="311"/>
      <c r="AA142" s="311"/>
      <c r="AB142" s="311"/>
      <c r="AC142" s="311"/>
      <c r="AD142" s="311"/>
      <c r="AE142" s="311"/>
    </row>
    <row r="143" spans="1:31" ht="16" x14ac:dyDescent="0.2">
      <c r="A143" s="311"/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311"/>
      <c r="AB143" s="311"/>
      <c r="AC143" s="311"/>
      <c r="AD143" s="311"/>
      <c r="AE143" s="311"/>
    </row>
    <row r="144" spans="1:31" ht="16" x14ac:dyDescent="0.2">
      <c r="A144" s="311"/>
      <c r="B144" s="311"/>
      <c r="C144" s="311"/>
      <c r="D144" s="311"/>
      <c r="E144" s="311"/>
      <c r="F144" s="311"/>
      <c r="G144" s="311"/>
      <c r="H144" s="311"/>
      <c r="I144" s="311"/>
      <c r="J144" s="311"/>
      <c r="K144" s="311"/>
      <c r="L144" s="311"/>
      <c r="M144" s="311"/>
      <c r="N144" s="311"/>
      <c r="O144" s="311"/>
      <c r="P144" s="311"/>
      <c r="Q144" s="311"/>
      <c r="R144" s="311"/>
      <c r="S144" s="311"/>
      <c r="T144" s="311"/>
      <c r="U144" s="311"/>
      <c r="V144" s="311"/>
      <c r="W144" s="311"/>
      <c r="X144" s="311"/>
      <c r="Y144" s="311"/>
      <c r="Z144" s="311"/>
      <c r="AA144" s="311"/>
      <c r="AB144" s="311"/>
      <c r="AC144" s="311"/>
      <c r="AD144" s="311"/>
      <c r="AE144" s="311"/>
    </row>
    <row r="145" spans="1:31" ht="16" x14ac:dyDescent="0.2">
      <c r="A145" s="311"/>
      <c r="B145" s="311"/>
      <c r="C145" s="311"/>
      <c r="D145" s="311"/>
      <c r="E145" s="311"/>
      <c r="F145" s="311"/>
      <c r="G145" s="311"/>
      <c r="H145" s="311"/>
      <c r="I145" s="311"/>
      <c r="J145" s="311"/>
      <c r="K145" s="311"/>
      <c r="L145" s="311"/>
      <c r="M145" s="311"/>
      <c r="N145" s="311"/>
      <c r="O145" s="311"/>
      <c r="P145" s="311"/>
      <c r="Q145" s="311"/>
      <c r="R145" s="311"/>
      <c r="S145" s="311"/>
      <c r="T145" s="311"/>
      <c r="U145" s="311"/>
      <c r="V145" s="311"/>
      <c r="W145" s="311"/>
      <c r="X145" s="311"/>
      <c r="Y145" s="311"/>
      <c r="Z145" s="311"/>
      <c r="AA145" s="311"/>
      <c r="AB145" s="311"/>
      <c r="AC145" s="311"/>
      <c r="AD145" s="311"/>
      <c r="AE145" s="311"/>
    </row>
    <row r="146" spans="1:31" ht="16" x14ac:dyDescent="0.2">
      <c r="A146" s="311"/>
      <c r="B146" s="311"/>
      <c r="C146" s="311"/>
      <c r="D146" s="311"/>
      <c r="E146" s="311"/>
      <c r="F146" s="311"/>
      <c r="G146" s="311"/>
      <c r="H146" s="311"/>
      <c r="I146" s="311"/>
      <c r="J146" s="311"/>
      <c r="K146" s="311"/>
      <c r="L146" s="311"/>
      <c r="M146" s="311"/>
      <c r="N146" s="311"/>
      <c r="O146" s="311"/>
      <c r="P146" s="311"/>
      <c r="Q146" s="311"/>
      <c r="R146" s="311"/>
      <c r="S146" s="311"/>
      <c r="T146" s="311"/>
      <c r="U146" s="311"/>
      <c r="V146" s="311"/>
      <c r="W146" s="311"/>
      <c r="X146" s="311"/>
      <c r="Y146" s="311"/>
      <c r="Z146" s="311"/>
      <c r="AA146" s="311"/>
      <c r="AB146" s="311"/>
      <c r="AC146" s="311"/>
      <c r="AD146" s="311"/>
      <c r="AE146" s="311"/>
    </row>
    <row r="147" spans="1:31" ht="16" x14ac:dyDescent="0.2">
      <c r="A147" s="311"/>
      <c r="B147" s="311"/>
      <c r="C147" s="311"/>
      <c r="D147" s="311"/>
      <c r="E147" s="311"/>
      <c r="F147" s="311"/>
      <c r="G147" s="311"/>
      <c r="H147" s="311"/>
      <c r="I147" s="311"/>
      <c r="J147" s="311"/>
      <c r="K147" s="311"/>
      <c r="L147" s="311"/>
      <c r="M147" s="311"/>
      <c r="N147" s="311"/>
      <c r="O147" s="311"/>
      <c r="P147" s="311"/>
      <c r="Q147" s="311"/>
      <c r="R147" s="311"/>
      <c r="S147" s="311"/>
      <c r="T147" s="311"/>
      <c r="U147" s="311"/>
      <c r="V147" s="311"/>
      <c r="W147" s="311"/>
      <c r="X147" s="311"/>
      <c r="Y147" s="311"/>
      <c r="Z147" s="311"/>
      <c r="AA147" s="311"/>
      <c r="AB147" s="311"/>
      <c r="AC147" s="311"/>
      <c r="AD147" s="311"/>
      <c r="AE147" s="311"/>
    </row>
    <row r="148" spans="1:31" ht="16" x14ac:dyDescent="0.2">
      <c r="A148" s="311"/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311"/>
      <c r="AB148" s="311"/>
      <c r="AC148" s="311"/>
      <c r="AD148" s="311"/>
      <c r="AE148" s="311"/>
    </row>
    <row r="149" spans="1:31" ht="16" x14ac:dyDescent="0.2">
      <c r="A149" s="311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1"/>
      <c r="S149" s="311"/>
      <c r="T149" s="311"/>
      <c r="U149" s="311"/>
      <c r="V149" s="311"/>
      <c r="W149" s="311"/>
      <c r="X149" s="311"/>
      <c r="Y149" s="311"/>
      <c r="Z149" s="311"/>
      <c r="AA149" s="311"/>
      <c r="AB149" s="311"/>
      <c r="AC149" s="311"/>
      <c r="AD149" s="311"/>
      <c r="AE149" s="311"/>
    </row>
    <row r="150" spans="1:31" ht="16" x14ac:dyDescent="0.2">
      <c r="A150" s="311"/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11"/>
      <c r="Q150" s="311"/>
      <c r="R150" s="311"/>
      <c r="S150" s="311"/>
      <c r="T150" s="311"/>
      <c r="U150" s="311"/>
      <c r="V150" s="311"/>
      <c r="W150" s="311"/>
      <c r="X150" s="311"/>
      <c r="Y150" s="311"/>
      <c r="Z150" s="311"/>
      <c r="AA150" s="311"/>
      <c r="AB150" s="311"/>
      <c r="AC150" s="311"/>
      <c r="AD150" s="311"/>
      <c r="AE150" s="311"/>
    </row>
    <row r="151" spans="1:31" ht="16" x14ac:dyDescent="0.2">
      <c r="A151" s="311"/>
      <c r="B151" s="311"/>
      <c r="C151" s="311"/>
      <c r="D151" s="311"/>
      <c r="E151" s="311"/>
      <c r="F151" s="311"/>
      <c r="G151" s="311"/>
      <c r="H151" s="311"/>
      <c r="I151" s="311"/>
      <c r="J151" s="311"/>
      <c r="K151" s="311"/>
      <c r="L151" s="311"/>
      <c r="M151" s="311"/>
      <c r="N151" s="311"/>
      <c r="O151" s="311"/>
      <c r="P151" s="311"/>
      <c r="Q151" s="311"/>
      <c r="R151" s="311"/>
      <c r="S151" s="311"/>
      <c r="T151" s="311"/>
      <c r="U151" s="311"/>
      <c r="V151" s="311"/>
      <c r="W151" s="311"/>
      <c r="X151" s="311"/>
      <c r="Y151" s="311"/>
      <c r="Z151" s="311"/>
      <c r="AA151" s="311"/>
      <c r="AB151" s="311"/>
      <c r="AC151" s="311"/>
      <c r="AD151" s="311"/>
      <c r="AE151" s="311"/>
    </row>
    <row r="152" spans="1:31" ht="16" x14ac:dyDescent="0.2">
      <c r="A152" s="311"/>
      <c r="B152" s="311"/>
      <c r="C152" s="311"/>
      <c r="D152" s="311"/>
      <c r="E152" s="311"/>
      <c r="F152" s="311"/>
      <c r="G152" s="311"/>
      <c r="H152" s="311"/>
      <c r="I152" s="311"/>
      <c r="J152" s="311"/>
      <c r="K152" s="311"/>
      <c r="L152" s="311"/>
      <c r="M152" s="311"/>
      <c r="N152" s="311"/>
      <c r="O152" s="311"/>
      <c r="P152" s="311"/>
      <c r="Q152" s="311"/>
      <c r="R152" s="311"/>
      <c r="S152" s="311"/>
      <c r="T152" s="311"/>
      <c r="U152" s="311"/>
      <c r="V152" s="311"/>
      <c r="W152" s="311"/>
      <c r="X152" s="311"/>
      <c r="Y152" s="311"/>
      <c r="Z152" s="311"/>
      <c r="AA152" s="311"/>
      <c r="AB152" s="311"/>
      <c r="AC152" s="311"/>
      <c r="AD152" s="311"/>
      <c r="AE152" s="311"/>
    </row>
    <row r="153" spans="1:31" ht="16" x14ac:dyDescent="0.2">
      <c r="A153" s="311"/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311"/>
      <c r="AB153" s="311"/>
      <c r="AC153" s="311"/>
      <c r="AD153" s="311"/>
      <c r="AE153" s="311"/>
    </row>
    <row r="154" spans="1:31" ht="16" x14ac:dyDescent="0.2">
      <c r="A154" s="311"/>
      <c r="B154" s="311"/>
      <c r="C154" s="311"/>
      <c r="D154" s="311"/>
      <c r="E154" s="311"/>
      <c r="F154" s="311"/>
      <c r="G154" s="311"/>
      <c r="H154" s="311"/>
      <c r="I154" s="311"/>
      <c r="J154" s="311"/>
      <c r="K154" s="311"/>
      <c r="L154" s="311"/>
      <c r="M154" s="311"/>
      <c r="N154" s="311"/>
      <c r="O154" s="311"/>
      <c r="P154" s="311"/>
      <c r="Q154" s="311"/>
      <c r="R154" s="311"/>
      <c r="S154" s="311"/>
      <c r="T154" s="311"/>
      <c r="U154" s="311"/>
      <c r="V154" s="311"/>
      <c r="W154" s="311"/>
      <c r="X154" s="311"/>
      <c r="Y154" s="311"/>
      <c r="Z154" s="311"/>
      <c r="AA154" s="311"/>
      <c r="AB154" s="311"/>
      <c r="AC154" s="311"/>
      <c r="AD154" s="311"/>
      <c r="AE154" s="311"/>
    </row>
    <row r="155" spans="1:31" ht="16" x14ac:dyDescent="0.2">
      <c r="A155" s="311"/>
      <c r="B155" s="311"/>
      <c r="C155" s="311"/>
      <c r="D155" s="311"/>
      <c r="E155" s="311"/>
      <c r="F155" s="311"/>
      <c r="G155" s="311"/>
      <c r="H155" s="311"/>
      <c r="I155" s="311"/>
      <c r="J155" s="311"/>
      <c r="K155" s="311"/>
      <c r="L155" s="311"/>
      <c r="M155" s="311"/>
      <c r="N155" s="311"/>
      <c r="O155" s="311"/>
      <c r="P155" s="311"/>
      <c r="Q155" s="311"/>
      <c r="R155" s="311"/>
      <c r="S155" s="311"/>
      <c r="T155" s="311"/>
      <c r="U155" s="311"/>
      <c r="V155" s="311"/>
      <c r="W155" s="311"/>
      <c r="X155" s="311"/>
      <c r="Y155" s="311"/>
      <c r="Z155" s="311"/>
      <c r="AA155" s="311"/>
      <c r="AB155" s="311"/>
      <c r="AC155" s="311"/>
      <c r="AD155" s="311"/>
      <c r="AE155" s="311"/>
    </row>
    <row r="156" spans="1:31" ht="16" x14ac:dyDescent="0.2">
      <c r="A156" s="311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1"/>
      <c r="S156" s="311"/>
      <c r="T156" s="311"/>
      <c r="U156" s="311"/>
      <c r="V156" s="311"/>
      <c r="W156" s="311"/>
      <c r="X156" s="311"/>
      <c r="Y156" s="311"/>
      <c r="Z156" s="311"/>
      <c r="AA156" s="311"/>
      <c r="AB156" s="311"/>
      <c r="AC156" s="311"/>
      <c r="AD156" s="311"/>
      <c r="AE156" s="311"/>
    </row>
    <row r="157" spans="1:31" ht="16" x14ac:dyDescent="0.2">
      <c r="A157" s="311"/>
      <c r="B157" s="311"/>
      <c r="C157" s="311"/>
      <c r="D157" s="311"/>
      <c r="E157" s="311"/>
      <c r="F157" s="311"/>
      <c r="G157" s="311"/>
      <c r="H157" s="311"/>
      <c r="I157" s="311"/>
      <c r="J157" s="311"/>
      <c r="K157" s="311"/>
      <c r="L157" s="311"/>
      <c r="M157" s="311"/>
      <c r="N157" s="311"/>
      <c r="O157" s="311"/>
      <c r="P157" s="311"/>
      <c r="Q157" s="311"/>
      <c r="R157" s="311"/>
      <c r="S157" s="311"/>
      <c r="T157" s="311"/>
      <c r="U157" s="311"/>
      <c r="V157" s="311"/>
      <c r="W157" s="311"/>
      <c r="X157" s="311"/>
      <c r="Y157" s="311"/>
      <c r="Z157" s="311"/>
      <c r="AA157" s="311"/>
      <c r="AB157" s="311"/>
      <c r="AC157" s="311"/>
      <c r="AD157" s="311"/>
      <c r="AE157" s="311"/>
    </row>
    <row r="158" spans="1:31" ht="16" x14ac:dyDescent="0.2">
      <c r="A158" s="311"/>
      <c r="B158" s="311"/>
      <c r="C158" s="311"/>
      <c r="D158" s="311"/>
      <c r="E158" s="311"/>
      <c r="F158" s="311"/>
      <c r="G158" s="311"/>
      <c r="H158" s="311"/>
      <c r="I158" s="311"/>
      <c r="J158" s="311"/>
      <c r="K158" s="311"/>
      <c r="L158" s="311"/>
      <c r="M158" s="311"/>
      <c r="N158" s="311"/>
      <c r="O158" s="311"/>
      <c r="P158" s="311"/>
      <c r="Q158" s="311"/>
      <c r="R158" s="311"/>
      <c r="S158" s="311"/>
      <c r="T158" s="311"/>
      <c r="U158" s="311"/>
      <c r="V158" s="311"/>
      <c r="W158" s="311"/>
      <c r="X158" s="311"/>
      <c r="Y158" s="311"/>
      <c r="Z158" s="311"/>
      <c r="AA158" s="311"/>
      <c r="AB158" s="311"/>
      <c r="AC158" s="311"/>
      <c r="AD158" s="311"/>
      <c r="AE158" s="311"/>
    </row>
    <row r="159" spans="1:31" ht="16" x14ac:dyDescent="0.2">
      <c r="A159" s="311"/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</row>
    <row r="160" spans="1:31" ht="16" x14ac:dyDescent="0.2">
      <c r="A160" s="311"/>
      <c r="B160" s="311"/>
      <c r="C160" s="311"/>
      <c r="D160" s="311"/>
      <c r="E160" s="311"/>
      <c r="F160" s="311"/>
      <c r="G160" s="311"/>
      <c r="H160" s="311"/>
      <c r="I160" s="311"/>
      <c r="J160" s="311"/>
      <c r="K160" s="311"/>
      <c r="L160" s="311"/>
      <c r="M160" s="311"/>
      <c r="N160" s="311"/>
      <c r="O160" s="311"/>
      <c r="P160" s="311"/>
      <c r="Q160" s="311"/>
      <c r="R160" s="311"/>
      <c r="S160" s="311"/>
      <c r="T160" s="311"/>
      <c r="U160" s="311"/>
      <c r="V160" s="311"/>
      <c r="W160" s="311"/>
      <c r="X160" s="311"/>
      <c r="Y160" s="311"/>
      <c r="Z160" s="311"/>
      <c r="AA160" s="311"/>
      <c r="AB160" s="311"/>
      <c r="AC160" s="311"/>
      <c r="AD160" s="311"/>
      <c r="AE160" s="311"/>
    </row>
    <row r="161" spans="1:31" ht="16" x14ac:dyDescent="0.2">
      <c r="A161" s="31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1"/>
      <c r="S161" s="311"/>
      <c r="T161" s="311"/>
      <c r="U161" s="311"/>
      <c r="V161" s="311"/>
      <c r="W161" s="311"/>
      <c r="X161" s="311"/>
      <c r="Y161" s="311"/>
      <c r="Z161" s="311"/>
      <c r="AA161" s="311"/>
      <c r="AB161" s="311"/>
      <c r="AC161" s="311"/>
      <c r="AD161" s="311"/>
      <c r="AE161" s="311"/>
    </row>
    <row r="162" spans="1:31" ht="16" x14ac:dyDescent="0.2">
      <c r="A162" s="311"/>
      <c r="B162" s="311"/>
      <c r="C162" s="311"/>
      <c r="D162" s="311"/>
      <c r="E162" s="311"/>
      <c r="F162" s="311"/>
      <c r="G162" s="311"/>
      <c r="H162" s="311"/>
      <c r="I162" s="311"/>
      <c r="J162" s="311"/>
      <c r="K162" s="311"/>
      <c r="L162" s="311"/>
      <c r="M162" s="311"/>
      <c r="N162" s="311"/>
      <c r="O162" s="311"/>
      <c r="P162" s="311"/>
      <c r="Q162" s="311"/>
      <c r="R162" s="311"/>
      <c r="S162" s="311"/>
      <c r="T162" s="311"/>
      <c r="U162" s="311"/>
      <c r="V162" s="311"/>
      <c r="W162" s="311"/>
      <c r="X162" s="311"/>
      <c r="Y162" s="311"/>
      <c r="Z162" s="311"/>
      <c r="AA162" s="311"/>
      <c r="AB162" s="311"/>
      <c r="AC162" s="311"/>
      <c r="AD162" s="311"/>
      <c r="AE162" s="311"/>
    </row>
    <row r="163" spans="1:31" ht="16" x14ac:dyDescent="0.2">
      <c r="A163" s="311"/>
      <c r="B163" s="311"/>
      <c r="C163" s="311"/>
      <c r="D163" s="311"/>
      <c r="E163" s="311"/>
      <c r="F163" s="311"/>
      <c r="G163" s="311"/>
      <c r="H163" s="311"/>
      <c r="I163" s="311"/>
      <c r="J163" s="311"/>
      <c r="K163" s="311"/>
      <c r="L163" s="311"/>
      <c r="M163" s="311"/>
      <c r="N163" s="311"/>
      <c r="O163" s="311"/>
      <c r="P163" s="311"/>
      <c r="Q163" s="311"/>
      <c r="R163" s="311"/>
      <c r="S163" s="311"/>
      <c r="T163" s="311"/>
      <c r="U163" s="311"/>
      <c r="V163" s="311"/>
      <c r="W163" s="311"/>
      <c r="X163" s="311"/>
      <c r="Y163" s="311"/>
      <c r="Z163" s="311"/>
      <c r="AA163" s="311"/>
      <c r="AB163" s="311"/>
      <c r="AC163" s="311"/>
      <c r="AD163" s="311"/>
      <c r="AE163" s="311"/>
    </row>
    <row r="164" spans="1:31" ht="16" x14ac:dyDescent="0.2">
      <c r="A164" s="311"/>
      <c r="B164" s="311"/>
      <c r="C164" s="311"/>
      <c r="D164" s="311"/>
      <c r="E164" s="311"/>
      <c r="F164" s="311"/>
      <c r="G164" s="311"/>
      <c r="H164" s="311"/>
      <c r="I164" s="311"/>
      <c r="J164" s="311"/>
      <c r="K164" s="311"/>
      <c r="L164" s="311"/>
      <c r="M164" s="311"/>
      <c r="N164" s="311"/>
      <c r="O164" s="311"/>
      <c r="P164" s="311"/>
      <c r="Q164" s="311"/>
      <c r="R164" s="311"/>
      <c r="S164" s="311"/>
      <c r="T164" s="311"/>
      <c r="U164" s="311"/>
      <c r="V164" s="311"/>
      <c r="W164" s="311"/>
      <c r="X164" s="311"/>
      <c r="Y164" s="311"/>
      <c r="Z164" s="311"/>
      <c r="AA164" s="311"/>
      <c r="AB164" s="311"/>
      <c r="AC164" s="311"/>
      <c r="AD164" s="311"/>
      <c r="AE164" s="311"/>
    </row>
    <row r="165" spans="1:31" ht="16" x14ac:dyDescent="0.2">
      <c r="A165" s="311"/>
      <c r="B165" s="311"/>
      <c r="C165" s="311"/>
      <c r="D165" s="311"/>
      <c r="E165" s="311"/>
      <c r="F165" s="311"/>
      <c r="G165" s="311"/>
      <c r="H165" s="311"/>
      <c r="I165" s="311"/>
      <c r="J165" s="311"/>
      <c r="K165" s="311"/>
      <c r="L165" s="311"/>
      <c r="M165" s="311"/>
      <c r="N165" s="311"/>
      <c r="O165" s="311"/>
      <c r="P165" s="311"/>
      <c r="Q165" s="311"/>
      <c r="R165" s="311"/>
      <c r="S165" s="311"/>
      <c r="T165" s="311"/>
      <c r="U165" s="311"/>
      <c r="V165" s="311"/>
      <c r="W165" s="311"/>
      <c r="X165" s="311"/>
      <c r="Y165" s="311"/>
      <c r="Z165" s="311"/>
      <c r="AA165" s="311"/>
      <c r="AB165" s="311"/>
      <c r="AC165" s="311"/>
      <c r="AD165" s="311"/>
      <c r="AE165" s="311"/>
    </row>
    <row r="166" spans="1:31" ht="16" x14ac:dyDescent="0.2">
      <c r="A166" s="311"/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311"/>
      <c r="AB166" s="311"/>
      <c r="AC166" s="311"/>
      <c r="AD166" s="311"/>
      <c r="AE166" s="311"/>
    </row>
    <row r="167" spans="1:31" ht="16" x14ac:dyDescent="0.2">
      <c r="A167" s="311"/>
      <c r="B167" s="311"/>
      <c r="C167" s="311"/>
      <c r="D167" s="311"/>
      <c r="E167" s="311"/>
      <c r="F167" s="311"/>
      <c r="G167" s="311"/>
      <c r="H167" s="311"/>
      <c r="I167" s="311"/>
      <c r="J167" s="311"/>
      <c r="K167" s="311"/>
      <c r="L167" s="311"/>
      <c r="M167" s="311"/>
      <c r="N167" s="311"/>
      <c r="O167" s="311"/>
      <c r="P167" s="311"/>
      <c r="Q167" s="311"/>
      <c r="R167" s="311"/>
      <c r="S167" s="311"/>
      <c r="T167" s="311"/>
      <c r="U167" s="311"/>
      <c r="V167" s="311"/>
      <c r="W167" s="311"/>
      <c r="X167" s="311"/>
      <c r="Y167" s="311"/>
      <c r="Z167" s="311"/>
      <c r="AA167" s="311"/>
      <c r="AB167" s="311"/>
      <c r="AC167" s="311"/>
      <c r="AD167" s="311"/>
      <c r="AE167" s="311"/>
    </row>
    <row r="168" spans="1:31" ht="16" x14ac:dyDescent="0.2">
      <c r="A168" s="311"/>
      <c r="B168" s="311"/>
      <c r="C168" s="311"/>
      <c r="D168" s="311"/>
      <c r="E168" s="311"/>
      <c r="F168" s="311"/>
      <c r="G168" s="311"/>
      <c r="H168" s="311"/>
      <c r="I168" s="311"/>
      <c r="J168" s="311"/>
      <c r="K168" s="311"/>
      <c r="L168" s="311"/>
      <c r="M168" s="311"/>
      <c r="N168" s="311"/>
      <c r="O168" s="311"/>
      <c r="P168" s="311"/>
      <c r="Q168" s="311"/>
      <c r="R168" s="311"/>
      <c r="S168" s="311"/>
      <c r="T168" s="311"/>
      <c r="U168" s="311"/>
      <c r="V168" s="311"/>
      <c r="W168" s="311"/>
      <c r="X168" s="311"/>
      <c r="Y168" s="311"/>
      <c r="Z168" s="311"/>
      <c r="AA168" s="311"/>
      <c r="AB168" s="311"/>
      <c r="AC168" s="311"/>
      <c r="AD168" s="311"/>
      <c r="AE168" s="311"/>
    </row>
    <row r="169" spans="1:31" ht="16" x14ac:dyDescent="0.2">
      <c r="A169" s="311"/>
      <c r="B169" s="311"/>
      <c r="C169" s="311"/>
      <c r="D169" s="311"/>
      <c r="E169" s="311"/>
      <c r="F169" s="311"/>
      <c r="G169" s="311"/>
      <c r="H169" s="311"/>
      <c r="I169" s="311"/>
      <c r="J169" s="311"/>
      <c r="K169" s="311"/>
      <c r="L169" s="311"/>
      <c r="M169" s="311"/>
      <c r="N169" s="311"/>
      <c r="O169" s="311"/>
      <c r="P169" s="311"/>
      <c r="Q169" s="311"/>
      <c r="R169" s="311"/>
      <c r="S169" s="311"/>
      <c r="T169" s="311"/>
      <c r="U169" s="311"/>
      <c r="V169" s="311"/>
      <c r="W169" s="311"/>
      <c r="X169" s="311"/>
      <c r="Y169" s="311"/>
      <c r="Z169" s="311"/>
      <c r="AA169" s="311"/>
      <c r="AB169" s="311"/>
      <c r="AC169" s="311"/>
      <c r="AD169" s="311"/>
      <c r="AE169" s="311"/>
    </row>
    <row r="170" spans="1:31" ht="16" x14ac:dyDescent="0.2">
      <c r="A170" s="311"/>
      <c r="B170" s="311"/>
      <c r="C170" s="311"/>
      <c r="D170" s="311"/>
      <c r="E170" s="311"/>
      <c r="F170" s="311"/>
      <c r="G170" s="311"/>
      <c r="H170" s="311"/>
      <c r="I170" s="311"/>
      <c r="J170" s="311"/>
      <c r="K170" s="311"/>
      <c r="L170" s="311"/>
      <c r="M170" s="311"/>
      <c r="N170" s="311"/>
      <c r="O170" s="311"/>
      <c r="P170" s="311"/>
      <c r="Q170" s="311"/>
      <c r="R170" s="311"/>
      <c r="S170" s="311"/>
      <c r="T170" s="311"/>
      <c r="U170" s="311"/>
      <c r="V170" s="311"/>
      <c r="W170" s="311"/>
      <c r="X170" s="311"/>
      <c r="Y170" s="311"/>
      <c r="Z170" s="311"/>
      <c r="AA170" s="311"/>
      <c r="AB170" s="311"/>
      <c r="AC170" s="311"/>
      <c r="AD170" s="311"/>
      <c r="AE170" s="311"/>
    </row>
    <row r="171" spans="1:31" ht="16" x14ac:dyDescent="0.2">
      <c r="A171" s="311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1"/>
      <c r="S171" s="311"/>
      <c r="T171" s="311"/>
      <c r="U171" s="311"/>
      <c r="V171" s="311"/>
      <c r="W171" s="311"/>
      <c r="X171" s="311"/>
      <c r="Y171" s="311"/>
      <c r="Z171" s="311"/>
      <c r="AA171" s="311"/>
      <c r="AB171" s="311"/>
      <c r="AC171" s="311"/>
      <c r="AD171" s="311"/>
      <c r="AE171" s="311"/>
    </row>
    <row r="172" spans="1:31" ht="16" x14ac:dyDescent="0.2">
      <c r="A172" s="311"/>
      <c r="B172" s="311"/>
      <c r="C172" s="311"/>
      <c r="D172" s="311"/>
      <c r="E172" s="311"/>
      <c r="F172" s="311"/>
      <c r="G172" s="311"/>
      <c r="H172" s="311"/>
      <c r="I172" s="311"/>
      <c r="J172" s="311"/>
      <c r="K172" s="311"/>
      <c r="L172" s="311"/>
      <c r="M172" s="311"/>
      <c r="N172" s="311"/>
      <c r="O172" s="311"/>
      <c r="P172" s="311"/>
      <c r="Q172" s="311"/>
      <c r="R172" s="311"/>
      <c r="S172" s="311"/>
      <c r="T172" s="311"/>
      <c r="U172" s="311"/>
      <c r="V172" s="311"/>
      <c r="W172" s="311"/>
      <c r="X172" s="311"/>
      <c r="Y172" s="311"/>
      <c r="Z172" s="311"/>
      <c r="AA172" s="311"/>
      <c r="AB172" s="311"/>
      <c r="AC172" s="311"/>
      <c r="AD172" s="311"/>
      <c r="AE172" s="311"/>
    </row>
    <row r="173" spans="1:31" ht="16" x14ac:dyDescent="0.2">
      <c r="A173" s="311"/>
      <c r="B173" s="311"/>
      <c r="C173" s="311"/>
      <c r="D173" s="311"/>
      <c r="E173" s="311"/>
      <c r="F173" s="311"/>
      <c r="G173" s="311"/>
      <c r="H173" s="311"/>
      <c r="I173" s="311"/>
      <c r="J173" s="311"/>
      <c r="K173" s="311"/>
      <c r="L173" s="311"/>
      <c r="M173" s="311"/>
      <c r="N173" s="311"/>
      <c r="O173" s="311"/>
      <c r="P173" s="311"/>
      <c r="Q173" s="311"/>
      <c r="R173" s="311"/>
      <c r="S173" s="311"/>
      <c r="T173" s="311"/>
      <c r="U173" s="311"/>
      <c r="V173" s="311"/>
      <c r="W173" s="311"/>
      <c r="X173" s="311"/>
      <c r="Y173" s="311"/>
      <c r="Z173" s="311"/>
      <c r="AA173" s="311"/>
      <c r="AB173" s="311"/>
      <c r="AC173" s="311"/>
      <c r="AD173" s="311"/>
      <c r="AE173" s="311"/>
    </row>
    <row r="174" spans="1:31" ht="16" x14ac:dyDescent="0.2">
      <c r="A174" s="311"/>
      <c r="B174" s="311"/>
      <c r="C174" s="311"/>
      <c r="D174" s="311"/>
      <c r="E174" s="311"/>
      <c r="F174" s="311"/>
      <c r="G174" s="311"/>
      <c r="H174" s="311"/>
      <c r="I174" s="311"/>
      <c r="J174" s="311"/>
      <c r="K174" s="311"/>
      <c r="L174" s="311"/>
      <c r="M174" s="311"/>
      <c r="N174" s="311"/>
      <c r="O174" s="311"/>
      <c r="P174" s="311"/>
      <c r="Q174" s="311"/>
      <c r="R174" s="311"/>
      <c r="S174" s="311"/>
      <c r="T174" s="311"/>
      <c r="U174" s="311"/>
      <c r="V174" s="311"/>
      <c r="W174" s="311"/>
      <c r="X174" s="311"/>
      <c r="Y174" s="311"/>
      <c r="Z174" s="311"/>
      <c r="AA174" s="311"/>
      <c r="AB174" s="311"/>
      <c r="AC174" s="311"/>
      <c r="AD174" s="311"/>
      <c r="AE174" s="311"/>
    </row>
    <row r="175" spans="1:31" ht="16" x14ac:dyDescent="0.2">
      <c r="A175" s="311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1"/>
      <c r="S175" s="311"/>
      <c r="T175" s="311"/>
      <c r="U175" s="311"/>
      <c r="V175" s="311"/>
      <c r="W175" s="311"/>
      <c r="X175" s="311"/>
      <c r="Y175" s="311"/>
      <c r="Z175" s="311"/>
      <c r="AA175" s="311"/>
      <c r="AB175" s="311"/>
      <c r="AC175" s="311"/>
      <c r="AD175" s="311"/>
      <c r="AE175" s="311"/>
    </row>
    <row r="176" spans="1:31" ht="16" x14ac:dyDescent="0.2">
      <c r="A176" s="311"/>
      <c r="B176" s="311"/>
      <c r="C176" s="311"/>
      <c r="D176" s="311"/>
      <c r="E176" s="311"/>
      <c r="F176" s="311"/>
      <c r="G176" s="311"/>
      <c r="H176" s="311"/>
      <c r="I176" s="311"/>
      <c r="J176" s="311"/>
      <c r="K176" s="311"/>
      <c r="L176" s="311"/>
      <c r="M176" s="311"/>
      <c r="N176" s="311"/>
      <c r="O176" s="311"/>
      <c r="P176" s="311"/>
      <c r="Q176" s="311"/>
      <c r="R176" s="311"/>
      <c r="S176" s="311"/>
      <c r="T176" s="311"/>
      <c r="U176" s="311"/>
      <c r="V176" s="311"/>
      <c r="W176" s="311"/>
      <c r="X176" s="311"/>
      <c r="Y176" s="311"/>
      <c r="Z176" s="311"/>
      <c r="AA176" s="311"/>
      <c r="AB176" s="311"/>
      <c r="AC176" s="311"/>
      <c r="AD176" s="311"/>
      <c r="AE176" s="311"/>
    </row>
    <row r="177" spans="1:31" ht="16" x14ac:dyDescent="0.2">
      <c r="A177" s="311"/>
      <c r="B177" s="311"/>
      <c r="C177" s="311"/>
      <c r="D177" s="311"/>
      <c r="E177" s="311"/>
      <c r="F177" s="311"/>
      <c r="G177" s="311"/>
      <c r="H177" s="311"/>
      <c r="I177" s="311"/>
      <c r="J177" s="311"/>
      <c r="K177" s="311"/>
      <c r="L177" s="311"/>
      <c r="M177" s="311"/>
      <c r="N177" s="311"/>
      <c r="O177" s="311"/>
      <c r="P177" s="311"/>
      <c r="Q177" s="311"/>
      <c r="R177" s="311"/>
      <c r="S177" s="311"/>
      <c r="T177" s="311"/>
      <c r="U177" s="311"/>
      <c r="V177" s="311"/>
      <c r="W177" s="311"/>
      <c r="X177" s="311"/>
      <c r="Y177" s="311"/>
      <c r="Z177" s="311"/>
      <c r="AA177" s="311"/>
      <c r="AB177" s="311"/>
      <c r="AC177" s="311"/>
      <c r="AD177" s="311"/>
      <c r="AE177" s="311"/>
    </row>
    <row r="178" spans="1:31" ht="16" x14ac:dyDescent="0.2">
      <c r="A178" s="311"/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311"/>
      <c r="AB178" s="311"/>
      <c r="AC178" s="311"/>
      <c r="AD178" s="311"/>
      <c r="AE178" s="311"/>
    </row>
    <row r="179" spans="1:31" ht="16" x14ac:dyDescent="0.2">
      <c r="A179" s="311"/>
      <c r="B179" s="311"/>
      <c r="C179" s="311"/>
      <c r="D179" s="311"/>
      <c r="E179" s="311"/>
      <c r="F179" s="311"/>
      <c r="G179" s="311"/>
      <c r="H179" s="311"/>
      <c r="I179" s="311"/>
      <c r="J179" s="311"/>
      <c r="K179" s="311"/>
      <c r="L179" s="311"/>
      <c r="M179" s="311"/>
      <c r="N179" s="311"/>
      <c r="O179" s="311"/>
      <c r="P179" s="311"/>
      <c r="Q179" s="311"/>
      <c r="R179" s="311"/>
      <c r="S179" s="311"/>
      <c r="T179" s="311"/>
      <c r="U179" s="311"/>
      <c r="V179" s="311"/>
      <c r="W179" s="311"/>
      <c r="X179" s="311"/>
      <c r="Y179" s="311"/>
      <c r="Z179" s="311"/>
      <c r="AA179" s="311"/>
      <c r="AB179" s="311"/>
      <c r="AC179" s="311"/>
      <c r="AD179" s="311"/>
      <c r="AE179" s="311"/>
    </row>
    <row r="180" spans="1:31" ht="16" x14ac:dyDescent="0.2">
      <c r="A180" s="311"/>
      <c r="B180" s="311"/>
      <c r="C180" s="311"/>
      <c r="D180" s="311"/>
      <c r="E180" s="311"/>
      <c r="F180" s="311"/>
      <c r="G180" s="311"/>
      <c r="H180" s="311"/>
      <c r="I180" s="311"/>
      <c r="J180" s="311"/>
      <c r="K180" s="311"/>
      <c r="L180" s="311"/>
      <c r="M180" s="311"/>
      <c r="N180" s="311"/>
      <c r="O180" s="311"/>
      <c r="P180" s="311"/>
      <c r="Q180" s="311"/>
      <c r="R180" s="311"/>
      <c r="S180" s="311"/>
      <c r="T180" s="311"/>
      <c r="U180" s="311"/>
      <c r="V180" s="311"/>
      <c r="W180" s="311"/>
      <c r="X180" s="311"/>
      <c r="Y180" s="311"/>
      <c r="Z180" s="311"/>
      <c r="AA180" s="311"/>
      <c r="AB180" s="311"/>
      <c r="AC180" s="311"/>
      <c r="AD180" s="311"/>
      <c r="AE180" s="311"/>
    </row>
    <row r="181" spans="1:31" ht="16" x14ac:dyDescent="0.2">
      <c r="A181" s="311"/>
      <c r="B181" s="311"/>
      <c r="C181" s="311"/>
      <c r="D181" s="311"/>
      <c r="E181" s="311"/>
      <c r="F181" s="311"/>
      <c r="G181" s="311"/>
      <c r="H181" s="311"/>
      <c r="I181" s="311"/>
      <c r="J181" s="311"/>
      <c r="K181" s="311"/>
      <c r="L181" s="311"/>
      <c r="M181" s="311"/>
      <c r="N181" s="311"/>
      <c r="O181" s="311"/>
      <c r="P181" s="311"/>
      <c r="Q181" s="311"/>
      <c r="R181" s="311"/>
      <c r="S181" s="311"/>
      <c r="T181" s="311"/>
      <c r="U181" s="311"/>
      <c r="V181" s="311"/>
      <c r="W181" s="311"/>
      <c r="X181" s="311"/>
      <c r="Y181" s="311"/>
      <c r="Z181" s="311"/>
      <c r="AA181" s="311"/>
      <c r="AB181" s="311"/>
      <c r="AC181" s="311"/>
      <c r="AD181" s="311"/>
      <c r="AE181" s="311"/>
    </row>
    <row r="182" spans="1:31" ht="16" x14ac:dyDescent="0.2">
      <c r="A182" s="311"/>
      <c r="B182" s="311"/>
      <c r="C182" s="311"/>
      <c r="D182" s="311"/>
      <c r="E182" s="311"/>
      <c r="F182" s="311"/>
      <c r="G182" s="311"/>
      <c r="H182" s="311"/>
      <c r="I182" s="311"/>
      <c r="J182" s="311"/>
      <c r="K182" s="311"/>
      <c r="L182" s="311"/>
      <c r="M182" s="311"/>
      <c r="N182" s="311"/>
      <c r="O182" s="311"/>
      <c r="P182" s="311"/>
      <c r="Q182" s="311"/>
      <c r="R182" s="311"/>
      <c r="S182" s="311"/>
      <c r="T182" s="311"/>
      <c r="U182" s="311"/>
      <c r="V182" s="311"/>
      <c r="W182" s="311"/>
      <c r="X182" s="311"/>
      <c r="Y182" s="311"/>
      <c r="Z182" s="311"/>
      <c r="AA182" s="311"/>
      <c r="AB182" s="311"/>
      <c r="AC182" s="311"/>
      <c r="AD182" s="311"/>
      <c r="AE182" s="311"/>
    </row>
    <row r="183" spans="1:31" ht="16" x14ac:dyDescent="0.2">
      <c r="A183" s="311"/>
      <c r="B183" s="311"/>
      <c r="C183" s="311"/>
      <c r="D183" s="311"/>
      <c r="E183" s="311"/>
      <c r="F183" s="311"/>
      <c r="G183" s="311"/>
      <c r="H183" s="311"/>
      <c r="I183" s="311"/>
      <c r="J183" s="311"/>
      <c r="K183" s="311"/>
      <c r="L183" s="311"/>
      <c r="M183" s="311"/>
      <c r="N183" s="311"/>
      <c r="O183" s="311"/>
      <c r="P183" s="311"/>
      <c r="Q183" s="311"/>
      <c r="R183" s="311"/>
      <c r="S183" s="311"/>
      <c r="T183" s="311"/>
      <c r="U183" s="311"/>
      <c r="V183" s="311"/>
      <c r="W183" s="311"/>
      <c r="X183" s="311"/>
      <c r="Y183" s="311"/>
      <c r="Z183" s="311"/>
      <c r="AA183" s="311"/>
      <c r="AB183" s="311"/>
      <c r="AC183" s="311"/>
      <c r="AD183" s="311"/>
      <c r="AE183" s="311"/>
    </row>
    <row r="184" spans="1:31" ht="16" x14ac:dyDescent="0.2">
      <c r="A184" s="311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1"/>
      <c r="S184" s="311"/>
      <c r="T184" s="311"/>
      <c r="U184" s="311"/>
      <c r="V184" s="311"/>
      <c r="W184" s="311"/>
      <c r="X184" s="311"/>
      <c r="Y184" s="311"/>
      <c r="Z184" s="311"/>
      <c r="AA184" s="311"/>
      <c r="AB184" s="311"/>
      <c r="AC184" s="311"/>
      <c r="AD184" s="311"/>
      <c r="AE184" s="311"/>
    </row>
    <row r="185" spans="1:31" ht="16" x14ac:dyDescent="0.2">
      <c r="A185" s="311"/>
      <c r="B185" s="311"/>
      <c r="C185" s="311"/>
      <c r="D185" s="311"/>
      <c r="E185" s="311"/>
      <c r="F185" s="311"/>
      <c r="G185" s="311"/>
      <c r="H185" s="311"/>
      <c r="I185" s="311"/>
      <c r="J185" s="311"/>
      <c r="K185" s="311"/>
      <c r="L185" s="311"/>
      <c r="M185" s="311"/>
      <c r="N185" s="311"/>
      <c r="O185" s="311"/>
      <c r="P185" s="311"/>
      <c r="Q185" s="311"/>
      <c r="R185" s="311"/>
      <c r="S185" s="311"/>
      <c r="T185" s="311"/>
      <c r="U185" s="311"/>
      <c r="V185" s="311"/>
      <c r="W185" s="311"/>
      <c r="X185" s="311"/>
      <c r="Y185" s="311"/>
      <c r="Z185" s="311"/>
      <c r="AA185" s="311"/>
      <c r="AB185" s="311"/>
      <c r="AC185" s="311"/>
      <c r="AD185" s="311"/>
      <c r="AE185" s="311"/>
    </row>
    <row r="186" spans="1:31" ht="16" x14ac:dyDescent="0.2">
      <c r="A186" s="311"/>
      <c r="B186" s="311"/>
      <c r="C186" s="311"/>
      <c r="D186" s="311"/>
      <c r="E186" s="311"/>
      <c r="F186" s="311"/>
      <c r="G186" s="311"/>
      <c r="H186" s="311"/>
      <c r="I186" s="311"/>
      <c r="J186" s="311"/>
      <c r="K186" s="311"/>
      <c r="L186" s="311"/>
      <c r="M186" s="311"/>
      <c r="N186" s="311"/>
      <c r="O186" s="311"/>
      <c r="P186" s="311"/>
      <c r="Q186" s="311"/>
      <c r="R186" s="311"/>
      <c r="S186" s="311"/>
      <c r="T186" s="311"/>
      <c r="U186" s="311"/>
      <c r="V186" s="311"/>
      <c r="W186" s="311"/>
      <c r="X186" s="311"/>
      <c r="Y186" s="311"/>
      <c r="Z186" s="311"/>
      <c r="AA186" s="311"/>
      <c r="AB186" s="311"/>
      <c r="AC186" s="311"/>
      <c r="AD186" s="311"/>
      <c r="AE186" s="311"/>
    </row>
    <row r="187" spans="1:31" ht="16" x14ac:dyDescent="0.2">
      <c r="A187" s="311"/>
      <c r="B187" s="311"/>
      <c r="C187" s="311"/>
      <c r="D187" s="311"/>
      <c r="E187" s="311"/>
      <c r="F187" s="311"/>
      <c r="G187" s="311"/>
      <c r="H187" s="311"/>
      <c r="I187" s="311"/>
      <c r="J187" s="311"/>
      <c r="K187" s="311"/>
      <c r="L187" s="311"/>
      <c r="M187" s="311"/>
      <c r="N187" s="311"/>
      <c r="O187" s="311"/>
      <c r="P187" s="311"/>
      <c r="Q187" s="311"/>
      <c r="R187" s="311"/>
      <c r="S187" s="311"/>
      <c r="T187" s="311"/>
      <c r="U187" s="311"/>
      <c r="V187" s="311"/>
      <c r="W187" s="311"/>
      <c r="X187" s="311"/>
      <c r="Y187" s="311"/>
      <c r="Z187" s="311"/>
      <c r="AA187" s="311"/>
      <c r="AB187" s="311"/>
      <c r="AC187" s="311"/>
      <c r="AD187" s="311"/>
      <c r="AE187" s="311"/>
    </row>
    <row r="188" spans="1:31" ht="16" x14ac:dyDescent="0.2">
      <c r="A188" s="311"/>
      <c r="B188" s="311"/>
      <c r="C188" s="311"/>
      <c r="D188" s="311"/>
      <c r="E188" s="311"/>
      <c r="F188" s="311"/>
      <c r="G188" s="311"/>
      <c r="H188" s="311"/>
      <c r="I188" s="311"/>
      <c r="J188" s="311"/>
      <c r="K188" s="311"/>
      <c r="L188" s="311"/>
      <c r="M188" s="311"/>
      <c r="N188" s="311"/>
      <c r="O188" s="311"/>
      <c r="P188" s="311"/>
      <c r="Q188" s="311"/>
      <c r="R188" s="311"/>
      <c r="S188" s="311"/>
      <c r="T188" s="311"/>
      <c r="U188" s="311"/>
      <c r="V188" s="311"/>
      <c r="W188" s="311"/>
      <c r="X188" s="311"/>
      <c r="Y188" s="311"/>
      <c r="Z188" s="311"/>
      <c r="AA188" s="311"/>
      <c r="AB188" s="311"/>
      <c r="AC188" s="311"/>
      <c r="AD188" s="311"/>
      <c r="AE188" s="311"/>
    </row>
    <row r="189" spans="1:31" ht="16" x14ac:dyDescent="0.2">
      <c r="A189" s="311"/>
      <c r="B189" s="311"/>
      <c r="C189" s="311"/>
      <c r="D189" s="311"/>
      <c r="E189" s="311"/>
      <c r="F189" s="311"/>
      <c r="G189" s="311"/>
      <c r="H189" s="311"/>
      <c r="I189" s="311"/>
      <c r="J189" s="311"/>
      <c r="K189" s="311"/>
      <c r="L189" s="311"/>
      <c r="M189" s="311"/>
      <c r="N189" s="311"/>
      <c r="O189" s="311"/>
      <c r="P189" s="311"/>
      <c r="Q189" s="311"/>
      <c r="R189" s="311"/>
      <c r="S189" s="311"/>
      <c r="T189" s="311"/>
      <c r="U189" s="311"/>
      <c r="V189" s="311"/>
      <c r="W189" s="311"/>
      <c r="X189" s="311"/>
      <c r="Y189" s="311"/>
      <c r="Z189" s="311"/>
      <c r="AA189" s="311"/>
      <c r="AB189" s="311"/>
      <c r="AC189" s="311"/>
      <c r="AD189" s="311"/>
      <c r="AE189" s="311"/>
    </row>
    <row r="190" spans="1:31" ht="16" x14ac:dyDescent="0.2">
      <c r="A190" s="311"/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311"/>
      <c r="AB190" s="311"/>
      <c r="AC190" s="311"/>
      <c r="AD190" s="311"/>
      <c r="AE190" s="311"/>
    </row>
    <row r="191" spans="1:31" ht="16" x14ac:dyDescent="0.2">
      <c r="A191" s="311"/>
      <c r="B191" s="311"/>
      <c r="C191" s="311"/>
      <c r="D191" s="311"/>
      <c r="E191" s="311"/>
      <c r="F191" s="311"/>
      <c r="G191" s="311"/>
      <c r="H191" s="311"/>
      <c r="I191" s="311"/>
      <c r="J191" s="311"/>
      <c r="K191" s="311"/>
      <c r="L191" s="311"/>
      <c r="M191" s="311"/>
      <c r="N191" s="311"/>
      <c r="O191" s="311"/>
      <c r="P191" s="311"/>
      <c r="Q191" s="311"/>
      <c r="R191" s="311"/>
      <c r="S191" s="311"/>
      <c r="T191" s="311"/>
      <c r="U191" s="311"/>
      <c r="V191" s="311"/>
      <c r="W191" s="311"/>
      <c r="X191" s="311"/>
      <c r="Y191" s="311"/>
      <c r="Z191" s="311"/>
      <c r="AA191" s="311"/>
      <c r="AB191" s="311"/>
      <c r="AC191" s="311"/>
      <c r="AD191" s="311"/>
      <c r="AE191" s="311"/>
    </row>
    <row r="192" spans="1:31" ht="16" x14ac:dyDescent="0.2">
      <c r="A192" s="311"/>
      <c r="B192" s="311"/>
      <c r="C192" s="311"/>
      <c r="D192" s="311"/>
      <c r="E192" s="311"/>
      <c r="F192" s="311"/>
      <c r="G192" s="311"/>
      <c r="H192" s="311"/>
      <c r="I192" s="311"/>
      <c r="J192" s="311"/>
      <c r="K192" s="311"/>
      <c r="L192" s="311"/>
      <c r="M192" s="311"/>
      <c r="N192" s="311"/>
      <c r="O192" s="311"/>
      <c r="P192" s="311"/>
      <c r="Q192" s="311"/>
      <c r="R192" s="311"/>
      <c r="S192" s="311"/>
      <c r="T192" s="311"/>
      <c r="U192" s="311"/>
      <c r="V192" s="311"/>
      <c r="W192" s="311"/>
      <c r="X192" s="311"/>
      <c r="Y192" s="311"/>
      <c r="Z192" s="311"/>
      <c r="AA192" s="311"/>
      <c r="AB192" s="311"/>
      <c r="AC192" s="311"/>
      <c r="AD192" s="311"/>
      <c r="AE192" s="311"/>
    </row>
    <row r="193" spans="1:31" ht="16" x14ac:dyDescent="0.2">
      <c r="A193" s="311"/>
      <c r="B193" s="311"/>
      <c r="C193" s="311"/>
      <c r="D193" s="311"/>
      <c r="E193" s="311"/>
      <c r="F193" s="311"/>
      <c r="G193" s="311"/>
      <c r="H193" s="311"/>
      <c r="I193" s="311"/>
      <c r="J193" s="311"/>
      <c r="K193" s="311"/>
      <c r="L193" s="311"/>
      <c r="M193" s="311"/>
      <c r="N193" s="311"/>
      <c r="O193" s="311"/>
      <c r="P193" s="311"/>
      <c r="Q193" s="311"/>
      <c r="R193" s="311"/>
      <c r="S193" s="311"/>
      <c r="T193" s="311"/>
      <c r="U193" s="311"/>
      <c r="V193" s="311"/>
      <c r="W193" s="311"/>
      <c r="X193" s="311"/>
      <c r="Y193" s="311"/>
      <c r="Z193" s="311"/>
      <c r="AA193" s="311"/>
      <c r="AB193" s="311"/>
      <c r="AC193" s="311"/>
      <c r="AD193" s="311"/>
      <c r="AE193" s="311"/>
    </row>
    <row r="194" spans="1:31" ht="16" x14ac:dyDescent="0.2">
      <c r="A194" s="311"/>
      <c r="B194" s="311"/>
      <c r="C194" s="311"/>
      <c r="D194" s="311"/>
      <c r="E194" s="311"/>
      <c r="F194" s="311"/>
      <c r="G194" s="311"/>
      <c r="H194" s="311"/>
      <c r="I194" s="311"/>
      <c r="J194" s="311"/>
      <c r="K194" s="311"/>
      <c r="L194" s="311"/>
      <c r="M194" s="311"/>
      <c r="N194" s="311"/>
      <c r="O194" s="311"/>
      <c r="P194" s="311"/>
      <c r="Q194" s="311"/>
      <c r="R194" s="311"/>
      <c r="S194" s="311"/>
      <c r="T194" s="311"/>
      <c r="U194" s="311"/>
      <c r="V194" s="311"/>
      <c r="W194" s="311"/>
      <c r="X194" s="311"/>
      <c r="Y194" s="311"/>
      <c r="Z194" s="311"/>
      <c r="AA194" s="311"/>
      <c r="AB194" s="311"/>
      <c r="AC194" s="311"/>
      <c r="AD194" s="311"/>
      <c r="AE194" s="311"/>
    </row>
    <row r="195" spans="1:31" ht="16" x14ac:dyDescent="0.2">
      <c r="A195" s="311"/>
      <c r="B195" s="311"/>
      <c r="C195" s="311"/>
      <c r="D195" s="311"/>
      <c r="E195" s="311"/>
      <c r="F195" s="311"/>
      <c r="G195" s="311"/>
      <c r="H195" s="311"/>
      <c r="I195" s="311"/>
      <c r="J195" s="311"/>
      <c r="K195" s="311"/>
      <c r="L195" s="311"/>
      <c r="M195" s="311"/>
      <c r="N195" s="311"/>
      <c r="O195" s="311"/>
      <c r="P195" s="311"/>
      <c r="Q195" s="311"/>
      <c r="R195" s="311"/>
      <c r="S195" s="311"/>
      <c r="T195" s="311"/>
      <c r="U195" s="311"/>
      <c r="V195" s="311"/>
      <c r="W195" s="311"/>
      <c r="X195" s="311"/>
      <c r="Y195" s="311"/>
      <c r="Z195" s="311"/>
      <c r="AA195" s="311"/>
      <c r="AB195" s="311"/>
      <c r="AC195" s="311"/>
      <c r="AD195" s="311"/>
      <c r="AE195" s="311"/>
    </row>
    <row r="196" spans="1:31" ht="16" x14ac:dyDescent="0.2">
      <c r="A196" s="311"/>
      <c r="B196" s="311"/>
      <c r="C196" s="311"/>
      <c r="D196" s="311"/>
      <c r="E196" s="311"/>
      <c r="F196" s="311"/>
      <c r="G196" s="311"/>
      <c r="H196" s="311"/>
      <c r="I196" s="311"/>
      <c r="J196" s="311"/>
      <c r="K196" s="311"/>
      <c r="L196" s="311"/>
      <c r="M196" s="311"/>
      <c r="N196" s="311"/>
      <c r="O196" s="311"/>
      <c r="P196" s="311"/>
      <c r="Q196" s="311"/>
      <c r="R196" s="311"/>
      <c r="S196" s="311"/>
      <c r="T196" s="311"/>
      <c r="U196" s="311"/>
      <c r="V196" s="311"/>
      <c r="W196" s="311"/>
      <c r="X196" s="311"/>
      <c r="Y196" s="311"/>
      <c r="Z196" s="311"/>
      <c r="AA196" s="311"/>
      <c r="AB196" s="311"/>
      <c r="AC196" s="311"/>
      <c r="AD196" s="311"/>
      <c r="AE196" s="311"/>
    </row>
    <row r="197" spans="1:31" ht="16" x14ac:dyDescent="0.2">
      <c r="A197" s="311"/>
      <c r="B197" s="311"/>
      <c r="C197" s="311"/>
      <c r="D197" s="311"/>
      <c r="E197" s="311"/>
      <c r="F197" s="311"/>
      <c r="G197" s="311"/>
      <c r="H197" s="311"/>
      <c r="I197" s="311"/>
      <c r="J197" s="311"/>
      <c r="K197" s="311"/>
      <c r="L197" s="311"/>
      <c r="M197" s="311"/>
      <c r="N197" s="311"/>
      <c r="O197" s="311"/>
      <c r="P197" s="311"/>
      <c r="Q197" s="311"/>
      <c r="R197" s="311"/>
      <c r="S197" s="311"/>
      <c r="T197" s="311"/>
      <c r="U197" s="311"/>
      <c r="V197" s="311"/>
      <c r="W197" s="311"/>
      <c r="X197" s="311"/>
      <c r="Y197" s="311"/>
      <c r="Z197" s="311"/>
      <c r="AA197" s="311"/>
      <c r="AB197" s="311"/>
      <c r="AC197" s="311"/>
      <c r="AD197" s="311"/>
      <c r="AE197" s="311"/>
    </row>
    <row r="198" spans="1:31" ht="16" x14ac:dyDescent="0.2">
      <c r="A198" s="311"/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311"/>
      <c r="AB198" s="311"/>
      <c r="AC198" s="311"/>
      <c r="AD198" s="311"/>
      <c r="AE198" s="311"/>
    </row>
    <row r="199" spans="1:31" ht="16" x14ac:dyDescent="0.2">
      <c r="A199" s="311"/>
      <c r="B199" s="311"/>
      <c r="C199" s="311"/>
      <c r="D199" s="311"/>
      <c r="E199" s="311"/>
      <c r="F199" s="311"/>
      <c r="G199" s="311"/>
      <c r="H199" s="311"/>
      <c r="I199" s="311"/>
      <c r="J199" s="311"/>
      <c r="K199" s="311"/>
      <c r="L199" s="311"/>
      <c r="M199" s="311"/>
      <c r="N199" s="311"/>
      <c r="O199" s="311"/>
      <c r="P199" s="311"/>
      <c r="Q199" s="311"/>
      <c r="R199" s="311"/>
      <c r="S199" s="311"/>
      <c r="T199" s="311"/>
      <c r="U199" s="311"/>
      <c r="V199" s="311"/>
      <c r="W199" s="311"/>
      <c r="X199" s="311"/>
      <c r="Y199" s="311"/>
      <c r="Z199" s="311"/>
      <c r="AA199" s="311"/>
      <c r="AB199" s="311"/>
      <c r="AC199" s="311"/>
      <c r="AD199" s="311"/>
      <c r="AE199" s="311"/>
    </row>
    <row r="200" spans="1:31" ht="16" x14ac:dyDescent="0.2">
      <c r="A200" s="311"/>
      <c r="B200" s="311"/>
      <c r="C200" s="311"/>
      <c r="D200" s="311"/>
      <c r="E200" s="311"/>
      <c r="F200" s="311"/>
      <c r="G200" s="311"/>
      <c r="H200" s="311"/>
      <c r="I200" s="311"/>
      <c r="J200" s="311"/>
      <c r="K200" s="311"/>
      <c r="L200" s="311"/>
      <c r="M200" s="311"/>
      <c r="N200" s="311"/>
      <c r="O200" s="311"/>
      <c r="P200" s="311"/>
      <c r="Q200" s="311"/>
      <c r="R200" s="311"/>
      <c r="S200" s="311"/>
      <c r="T200" s="311"/>
      <c r="U200" s="311"/>
      <c r="V200" s="311"/>
      <c r="W200" s="311"/>
      <c r="X200" s="311"/>
      <c r="Y200" s="311"/>
      <c r="Z200" s="311"/>
      <c r="AA200" s="311"/>
      <c r="AB200" s="311"/>
      <c r="AC200" s="311"/>
      <c r="AD200" s="311"/>
      <c r="AE200" s="311"/>
    </row>
    <row r="201" spans="1:31" ht="16" x14ac:dyDescent="0.2">
      <c r="A201" s="311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  <c r="AA201" s="311"/>
      <c r="AB201" s="311"/>
      <c r="AC201" s="311"/>
      <c r="AD201" s="311"/>
      <c r="AE201" s="311"/>
    </row>
    <row r="202" spans="1:31" ht="16" x14ac:dyDescent="0.2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  <c r="AA202" s="311"/>
      <c r="AB202" s="311"/>
      <c r="AC202" s="311"/>
      <c r="AD202" s="311"/>
      <c r="AE202" s="311"/>
    </row>
    <row r="203" spans="1:31" ht="16" x14ac:dyDescent="0.2">
      <c r="A203" s="311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311"/>
      <c r="AB203" s="311"/>
      <c r="AC203" s="311"/>
      <c r="AD203" s="311"/>
      <c r="AE203" s="311"/>
    </row>
    <row r="204" spans="1:31" ht="16" x14ac:dyDescent="0.2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  <c r="AA204" s="311"/>
      <c r="AB204" s="311"/>
      <c r="AC204" s="311"/>
      <c r="AD204" s="311"/>
      <c r="AE204" s="311"/>
    </row>
    <row r="205" spans="1:31" ht="16" x14ac:dyDescent="0.2">
      <c r="A205" s="311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  <c r="AA205" s="311"/>
      <c r="AB205" s="311"/>
      <c r="AC205" s="311"/>
      <c r="AD205" s="311"/>
      <c r="AE205" s="311"/>
    </row>
    <row r="206" spans="1:31" ht="16" x14ac:dyDescent="0.2">
      <c r="A206" s="311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  <c r="AA206" s="311"/>
      <c r="AB206" s="311"/>
      <c r="AC206" s="311"/>
      <c r="AD206" s="311"/>
      <c r="AE206" s="311"/>
    </row>
    <row r="207" spans="1:31" ht="16" x14ac:dyDescent="0.2">
      <c r="A207" s="311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  <c r="AA207" s="311"/>
      <c r="AB207" s="311"/>
      <c r="AC207" s="311"/>
      <c r="AD207" s="311"/>
      <c r="AE207" s="311"/>
    </row>
    <row r="208" spans="1:31" ht="16" x14ac:dyDescent="0.2">
      <c r="A208" s="311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  <c r="AA208" s="311"/>
      <c r="AB208" s="311"/>
      <c r="AC208" s="311"/>
      <c r="AD208" s="311"/>
      <c r="AE208" s="311"/>
    </row>
    <row r="209" spans="1:31" ht="16" x14ac:dyDescent="0.2">
      <c r="A209" s="311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  <c r="AA209" s="311"/>
      <c r="AB209" s="311"/>
      <c r="AC209" s="311"/>
      <c r="AD209" s="311"/>
      <c r="AE209" s="311"/>
    </row>
    <row r="210" spans="1:31" ht="16" x14ac:dyDescent="0.2">
      <c r="A210" s="311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</row>
    <row r="211" spans="1:31" ht="16" x14ac:dyDescent="0.2">
      <c r="A211" s="311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  <c r="AA211" s="311"/>
      <c r="AB211" s="311"/>
      <c r="AC211" s="311"/>
      <c r="AD211" s="311"/>
      <c r="AE211" s="311"/>
    </row>
    <row r="212" spans="1:31" ht="16" x14ac:dyDescent="0.2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  <c r="AA212" s="311"/>
      <c r="AB212" s="311"/>
      <c r="AC212" s="311"/>
      <c r="AD212" s="311"/>
      <c r="AE212" s="311"/>
    </row>
    <row r="213" spans="1:31" ht="16" x14ac:dyDescent="0.2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  <c r="AA213" s="311"/>
      <c r="AB213" s="311"/>
      <c r="AC213" s="311"/>
      <c r="AD213" s="311"/>
      <c r="AE213" s="311"/>
    </row>
    <row r="214" spans="1:31" ht="16" x14ac:dyDescent="0.2">
      <c r="A214" s="311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311"/>
      <c r="AB214" s="311"/>
      <c r="AC214" s="311"/>
      <c r="AD214" s="311"/>
      <c r="AE214" s="311"/>
    </row>
    <row r="215" spans="1:31" ht="16" x14ac:dyDescent="0.2">
      <c r="A215" s="311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  <c r="AA215" s="311"/>
      <c r="AB215" s="311"/>
      <c r="AC215" s="311"/>
      <c r="AD215" s="311"/>
      <c r="AE215" s="311"/>
    </row>
    <row r="216" spans="1:31" ht="16" x14ac:dyDescent="0.2">
      <c r="A216" s="311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  <c r="AA216" s="311"/>
      <c r="AB216" s="311"/>
      <c r="AC216" s="311"/>
      <c r="AD216" s="311"/>
      <c r="AE216" s="311"/>
    </row>
    <row r="217" spans="1:31" ht="16" x14ac:dyDescent="0.2">
      <c r="A217" s="311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  <c r="AA217" s="311"/>
      <c r="AB217" s="311"/>
      <c r="AC217" s="311"/>
      <c r="AD217" s="311"/>
      <c r="AE217" s="311"/>
    </row>
    <row r="218" spans="1:31" ht="16" x14ac:dyDescent="0.2">
      <c r="A218" s="311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  <c r="AA218" s="311"/>
      <c r="AB218" s="311"/>
      <c r="AC218" s="311"/>
      <c r="AD218" s="311"/>
      <c r="AE218" s="311"/>
    </row>
    <row r="219" spans="1:31" ht="16" x14ac:dyDescent="0.2">
      <c r="A219" s="311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  <c r="AA219" s="311"/>
      <c r="AB219" s="311"/>
      <c r="AC219" s="311"/>
      <c r="AD219" s="311"/>
      <c r="AE219" s="311"/>
    </row>
    <row r="220" spans="1:31" ht="16" x14ac:dyDescent="0.2">
      <c r="A220" s="311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</row>
    <row r="221" spans="1:31" ht="16" x14ac:dyDescent="0.2">
      <c r="A221" s="311"/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311"/>
      <c r="AB221" s="311"/>
      <c r="AC221" s="311"/>
      <c r="AD221" s="311"/>
      <c r="AE221" s="311"/>
    </row>
    <row r="222" spans="1:31" ht="16" x14ac:dyDescent="0.2">
      <c r="A222" s="311"/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  <c r="AA222" s="311"/>
      <c r="AB222" s="311"/>
      <c r="AC222" s="311"/>
      <c r="AD222" s="311"/>
      <c r="AE222" s="311"/>
    </row>
    <row r="223" spans="1:31" ht="16" x14ac:dyDescent="0.2">
      <c r="A223" s="311"/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  <c r="AA223" s="311"/>
      <c r="AB223" s="311"/>
      <c r="AC223" s="311"/>
      <c r="AD223" s="311"/>
      <c r="AE223" s="311"/>
    </row>
    <row r="224" spans="1:31" ht="16" x14ac:dyDescent="0.2">
      <c r="A224" s="311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  <c r="AA224" s="311"/>
      <c r="AB224" s="311"/>
      <c r="AC224" s="311"/>
      <c r="AD224" s="311"/>
      <c r="AE224" s="311"/>
    </row>
    <row r="225" spans="1:31" ht="16" x14ac:dyDescent="0.2">
      <c r="A225" s="311"/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  <c r="AA225" s="311"/>
      <c r="AB225" s="311"/>
      <c r="AC225" s="311"/>
      <c r="AD225" s="311"/>
      <c r="AE225" s="311"/>
    </row>
    <row r="226" spans="1:31" ht="16" x14ac:dyDescent="0.2">
      <c r="A226" s="311"/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  <c r="AA226" s="311"/>
      <c r="AB226" s="311"/>
      <c r="AC226" s="311"/>
      <c r="AD226" s="311"/>
      <c r="AE226" s="311"/>
    </row>
    <row r="227" spans="1:31" ht="16" x14ac:dyDescent="0.2">
      <c r="A227" s="311"/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311"/>
      <c r="AB227" s="311"/>
      <c r="AC227" s="311"/>
      <c r="AD227" s="311"/>
      <c r="AE227" s="311"/>
    </row>
    <row r="228" spans="1:31" ht="16" x14ac:dyDescent="0.2">
      <c r="A228" s="311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  <c r="AA228" s="311"/>
      <c r="AB228" s="311"/>
      <c r="AC228" s="311"/>
      <c r="AD228" s="311"/>
      <c r="AE228" s="311"/>
    </row>
    <row r="229" spans="1:31" ht="16" x14ac:dyDescent="0.2">
      <c r="A229" s="311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  <c r="AA229" s="311"/>
      <c r="AB229" s="311"/>
      <c r="AC229" s="311"/>
      <c r="AD229" s="311"/>
      <c r="AE229" s="311"/>
    </row>
    <row r="230" spans="1:31" ht="16" x14ac:dyDescent="0.2">
      <c r="A230" s="311"/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  <c r="AA230" s="311"/>
      <c r="AB230" s="311"/>
      <c r="AC230" s="311"/>
      <c r="AD230" s="311"/>
      <c r="AE230" s="311"/>
    </row>
    <row r="231" spans="1:31" ht="16" x14ac:dyDescent="0.2">
      <c r="A231" s="311"/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  <c r="AA231" s="311"/>
      <c r="AB231" s="311"/>
      <c r="AC231" s="311"/>
      <c r="AD231" s="311"/>
      <c r="AE231" s="311"/>
    </row>
    <row r="232" spans="1:31" ht="16" x14ac:dyDescent="0.2">
      <c r="A232" s="311"/>
      <c r="B232" s="311"/>
      <c r="C232" s="311"/>
      <c r="D232" s="311"/>
      <c r="E232" s="311"/>
      <c r="F232" s="311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  <c r="AA232" s="311"/>
      <c r="AB232" s="311"/>
      <c r="AC232" s="311"/>
      <c r="AD232" s="311"/>
      <c r="AE232" s="311"/>
    </row>
    <row r="233" spans="1:31" ht="16" x14ac:dyDescent="0.2">
      <c r="A233" s="311"/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311"/>
      <c r="AB233" s="311"/>
      <c r="AC233" s="311"/>
      <c r="AD233" s="311"/>
      <c r="AE233" s="311"/>
    </row>
    <row r="234" spans="1:31" ht="16" x14ac:dyDescent="0.2">
      <c r="A234" s="311"/>
      <c r="B234" s="311"/>
      <c r="C234" s="311"/>
      <c r="D234" s="311"/>
      <c r="E234" s="311"/>
      <c r="F234" s="311"/>
      <c r="G234" s="311"/>
      <c r="H234" s="311"/>
      <c r="I234" s="311"/>
      <c r="J234" s="311"/>
      <c r="K234" s="311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  <c r="AA234" s="311"/>
      <c r="AB234" s="311"/>
      <c r="AC234" s="311"/>
      <c r="AD234" s="311"/>
      <c r="AE234" s="311"/>
    </row>
    <row r="235" spans="1:31" ht="16" x14ac:dyDescent="0.2">
      <c r="A235" s="311"/>
      <c r="B235" s="311"/>
      <c r="C235" s="311"/>
      <c r="D235" s="311"/>
      <c r="E235" s="311"/>
      <c r="F235" s="311"/>
      <c r="G235" s="311"/>
      <c r="H235" s="311"/>
      <c r="I235" s="311"/>
      <c r="J235" s="311"/>
      <c r="K235" s="311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  <c r="AA235" s="311"/>
      <c r="AB235" s="311"/>
      <c r="AC235" s="311"/>
      <c r="AD235" s="311"/>
      <c r="AE235" s="311"/>
    </row>
    <row r="236" spans="1:31" ht="16" x14ac:dyDescent="0.2">
      <c r="A236" s="311"/>
      <c r="B236" s="311"/>
      <c r="C236" s="311"/>
      <c r="D236" s="311"/>
      <c r="E236" s="311"/>
      <c r="F236" s="311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  <c r="AA236" s="311"/>
      <c r="AB236" s="311"/>
      <c r="AC236" s="311"/>
      <c r="AD236" s="311"/>
      <c r="AE236" s="311"/>
    </row>
    <row r="237" spans="1:31" ht="16" x14ac:dyDescent="0.2">
      <c r="A237" s="311"/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  <c r="AA237" s="311"/>
      <c r="AB237" s="311"/>
      <c r="AC237" s="311"/>
      <c r="AD237" s="311"/>
      <c r="AE237" s="311"/>
    </row>
    <row r="238" spans="1:31" ht="16" x14ac:dyDescent="0.2">
      <c r="A238" s="311"/>
      <c r="B238" s="311"/>
      <c r="C238" s="311"/>
      <c r="D238" s="311"/>
      <c r="E238" s="311"/>
      <c r="F238" s="311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  <c r="AA238" s="311"/>
      <c r="AB238" s="311"/>
      <c r="AC238" s="311"/>
      <c r="AD238" s="311"/>
      <c r="AE238" s="311"/>
    </row>
    <row r="239" spans="1:31" ht="16" x14ac:dyDescent="0.2">
      <c r="A239" s="311"/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  <c r="AA239" s="311"/>
      <c r="AB239" s="311"/>
      <c r="AC239" s="311"/>
      <c r="AD239" s="311"/>
      <c r="AE239" s="311"/>
    </row>
    <row r="240" spans="1:31" ht="16" x14ac:dyDescent="0.2">
      <c r="A240" s="311"/>
      <c r="B240" s="311"/>
      <c r="C240" s="311"/>
      <c r="D240" s="311"/>
      <c r="E240" s="311"/>
      <c r="F240" s="311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  <c r="AA240" s="311"/>
      <c r="AB240" s="311"/>
      <c r="AC240" s="311"/>
      <c r="AD240" s="311"/>
      <c r="AE240" s="311"/>
    </row>
    <row r="241" spans="1:31" ht="16" x14ac:dyDescent="0.2">
      <c r="A241" s="311"/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  <c r="AA241" s="311"/>
      <c r="AB241" s="311"/>
      <c r="AC241" s="311"/>
      <c r="AD241" s="311"/>
      <c r="AE241" s="311"/>
    </row>
    <row r="242" spans="1:31" ht="16" x14ac:dyDescent="0.2">
      <c r="A242" s="311"/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  <c r="AA242" s="311"/>
      <c r="AB242" s="311"/>
      <c r="AC242" s="311"/>
      <c r="AD242" s="311"/>
      <c r="AE242" s="311"/>
    </row>
    <row r="243" spans="1:31" ht="16" x14ac:dyDescent="0.2">
      <c r="A243" s="311"/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311"/>
      <c r="AB243" s="311"/>
      <c r="AC243" s="311"/>
      <c r="AD243" s="311"/>
      <c r="AE243" s="311"/>
    </row>
    <row r="244" spans="1:31" ht="16" x14ac:dyDescent="0.2">
      <c r="A244" s="311"/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  <c r="AA244" s="311"/>
      <c r="AB244" s="311"/>
      <c r="AC244" s="311"/>
      <c r="AD244" s="311"/>
      <c r="AE244" s="311"/>
    </row>
    <row r="245" spans="1:31" ht="16" x14ac:dyDescent="0.2">
      <c r="A245" s="311"/>
      <c r="B245" s="311"/>
      <c r="C245" s="311"/>
      <c r="D245" s="311"/>
      <c r="E245" s="311"/>
      <c r="F245" s="311"/>
      <c r="G245" s="311"/>
      <c r="H245" s="311"/>
      <c r="I245" s="311"/>
      <c r="J245" s="311"/>
      <c r="K245" s="311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  <c r="AA245" s="311"/>
      <c r="AB245" s="311"/>
      <c r="AC245" s="311"/>
      <c r="AD245" s="311"/>
      <c r="AE245" s="311"/>
    </row>
    <row r="246" spans="1:31" ht="16" x14ac:dyDescent="0.2">
      <c r="A246" s="311"/>
      <c r="B246" s="311"/>
      <c r="C246" s="311"/>
      <c r="D246" s="311"/>
      <c r="E246" s="311"/>
      <c r="F246" s="311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  <c r="AA246" s="311"/>
      <c r="AB246" s="311"/>
      <c r="AC246" s="311"/>
      <c r="AD246" s="311"/>
      <c r="AE246" s="311"/>
    </row>
    <row r="247" spans="1:31" ht="16" x14ac:dyDescent="0.2">
      <c r="A247" s="311"/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  <c r="AA247" s="311"/>
      <c r="AB247" s="311"/>
      <c r="AC247" s="311"/>
      <c r="AD247" s="311"/>
      <c r="AE247" s="311"/>
    </row>
    <row r="248" spans="1:31" ht="16" x14ac:dyDescent="0.2">
      <c r="A248" s="311"/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  <c r="AA248" s="311"/>
      <c r="AB248" s="311"/>
      <c r="AC248" s="311"/>
      <c r="AD248" s="311"/>
      <c r="AE248" s="311"/>
    </row>
    <row r="249" spans="1:31" ht="16" x14ac:dyDescent="0.2">
      <c r="A249" s="311"/>
      <c r="B249" s="311"/>
      <c r="C249" s="311"/>
      <c r="D249" s="311"/>
      <c r="E249" s="311"/>
      <c r="F249" s="311"/>
      <c r="G249" s="311"/>
      <c r="H249" s="311"/>
      <c r="I249" s="311"/>
      <c r="J249" s="311"/>
      <c r="K249" s="311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  <c r="AA249" s="311"/>
      <c r="AB249" s="311"/>
      <c r="AC249" s="311"/>
      <c r="AD249" s="311"/>
      <c r="AE249" s="311"/>
    </row>
    <row r="250" spans="1:31" ht="16" x14ac:dyDescent="0.2">
      <c r="A250" s="311"/>
      <c r="B250" s="311"/>
      <c r="C250" s="311"/>
      <c r="D250" s="311"/>
      <c r="E250" s="311"/>
      <c r="F250" s="311"/>
      <c r="G250" s="311"/>
      <c r="H250" s="311"/>
      <c r="I250" s="311"/>
      <c r="J250" s="311"/>
      <c r="K250" s="311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  <c r="AA250" s="311"/>
      <c r="AB250" s="311"/>
      <c r="AC250" s="311"/>
      <c r="AD250" s="311"/>
      <c r="AE250" s="311"/>
    </row>
    <row r="251" spans="1:31" ht="16" x14ac:dyDescent="0.2">
      <c r="A251" s="311"/>
      <c r="B251" s="311"/>
      <c r="C251" s="311"/>
      <c r="D251" s="311"/>
      <c r="E251" s="311"/>
      <c r="F251" s="311"/>
      <c r="G251" s="311"/>
      <c r="H251" s="311"/>
      <c r="I251" s="311"/>
      <c r="J251" s="311"/>
      <c r="K251" s="311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  <c r="AA251" s="311"/>
      <c r="AB251" s="311"/>
      <c r="AC251" s="311"/>
      <c r="AD251" s="311"/>
      <c r="AE251" s="311"/>
    </row>
    <row r="252" spans="1:31" ht="16" x14ac:dyDescent="0.2">
      <c r="A252" s="311"/>
      <c r="B252" s="311"/>
      <c r="C252" s="311"/>
      <c r="D252" s="311"/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  <c r="AA252" s="311"/>
      <c r="AB252" s="311"/>
      <c r="AC252" s="311"/>
      <c r="AD252" s="311"/>
      <c r="AE252" s="311"/>
    </row>
    <row r="253" spans="1:31" ht="16" x14ac:dyDescent="0.2">
      <c r="A253" s="311"/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  <c r="AA253" s="311"/>
      <c r="AB253" s="311"/>
      <c r="AC253" s="311"/>
      <c r="AD253" s="311"/>
      <c r="AE253" s="311"/>
    </row>
    <row r="254" spans="1:31" ht="16" x14ac:dyDescent="0.2">
      <c r="A254" s="311"/>
      <c r="B254" s="311"/>
      <c r="C254" s="311"/>
      <c r="D254" s="311"/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  <c r="AA254" s="311"/>
      <c r="AB254" s="311"/>
      <c r="AC254" s="311"/>
      <c r="AD254" s="311"/>
      <c r="AE254" s="311"/>
    </row>
    <row r="255" spans="1:31" ht="16" x14ac:dyDescent="0.2">
      <c r="A255" s="311"/>
      <c r="B255" s="311"/>
      <c r="C255" s="311"/>
      <c r="D255" s="311"/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  <c r="AA255" s="311"/>
      <c r="AB255" s="311"/>
      <c r="AC255" s="311"/>
      <c r="AD255" s="311"/>
      <c r="AE255" s="311"/>
    </row>
    <row r="256" spans="1:31" ht="16" x14ac:dyDescent="0.2">
      <c r="A256" s="311"/>
      <c r="B256" s="311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  <c r="AA256" s="311"/>
      <c r="AB256" s="311"/>
      <c r="AC256" s="311"/>
      <c r="AD256" s="311"/>
      <c r="AE256" s="311"/>
    </row>
    <row r="257" spans="1:31" ht="16" x14ac:dyDescent="0.2">
      <c r="A257" s="311"/>
      <c r="B257" s="311"/>
      <c r="C257" s="311"/>
      <c r="D257" s="311"/>
      <c r="E257" s="311"/>
      <c r="F257" s="311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  <c r="AA257" s="311"/>
      <c r="AB257" s="311"/>
      <c r="AC257" s="311"/>
      <c r="AD257" s="311"/>
      <c r="AE257" s="311"/>
    </row>
    <row r="258" spans="1:31" ht="16" x14ac:dyDescent="0.2">
      <c r="A258" s="311"/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  <c r="AA258" s="311"/>
      <c r="AB258" s="311"/>
      <c r="AC258" s="311"/>
      <c r="AD258" s="311"/>
      <c r="AE258" s="311"/>
    </row>
    <row r="259" spans="1:31" ht="16" x14ac:dyDescent="0.2">
      <c r="A259" s="311"/>
      <c r="B259" s="311"/>
      <c r="C259" s="311"/>
      <c r="D259" s="311"/>
      <c r="E259" s="311"/>
      <c r="F259" s="311"/>
      <c r="G259" s="311"/>
      <c r="H259" s="311"/>
      <c r="I259" s="311"/>
      <c r="J259" s="311"/>
      <c r="K259" s="311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  <c r="AA259" s="311"/>
      <c r="AB259" s="311"/>
      <c r="AC259" s="311"/>
      <c r="AD259" s="311"/>
      <c r="AE259" s="311"/>
    </row>
    <row r="260" spans="1:31" ht="16" x14ac:dyDescent="0.2">
      <c r="A260" s="311"/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  <c r="AA260" s="311"/>
      <c r="AB260" s="311"/>
      <c r="AC260" s="311"/>
      <c r="AD260" s="311"/>
      <c r="AE260" s="311"/>
    </row>
    <row r="261" spans="1:31" ht="16" x14ac:dyDescent="0.2">
      <c r="A261" s="311"/>
      <c r="B261" s="311"/>
      <c r="C261" s="311"/>
      <c r="D261" s="311"/>
      <c r="E261" s="311"/>
      <c r="F261" s="311"/>
      <c r="G261" s="311"/>
      <c r="H261" s="311"/>
      <c r="I261" s="311"/>
      <c r="J261" s="311"/>
      <c r="K261" s="311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  <c r="AA261" s="311"/>
      <c r="AB261" s="311"/>
      <c r="AC261" s="311"/>
      <c r="AD261" s="311"/>
      <c r="AE261" s="311"/>
    </row>
    <row r="262" spans="1:31" ht="16" x14ac:dyDescent="0.2">
      <c r="A262" s="311"/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  <c r="AA262" s="311"/>
      <c r="AB262" s="311"/>
      <c r="AC262" s="311"/>
      <c r="AD262" s="311"/>
      <c r="AE262" s="311"/>
    </row>
    <row r="263" spans="1:31" ht="16" x14ac:dyDescent="0.2">
      <c r="A263" s="311"/>
      <c r="B263" s="311"/>
      <c r="C263" s="311"/>
      <c r="D263" s="311"/>
      <c r="E263" s="311"/>
      <c r="F263" s="311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  <c r="AA263" s="311"/>
      <c r="AB263" s="311"/>
      <c r="AC263" s="311"/>
      <c r="AD263" s="311"/>
      <c r="AE263" s="311"/>
    </row>
    <row r="264" spans="1:31" ht="16" x14ac:dyDescent="0.2">
      <c r="A264" s="311"/>
      <c r="B264" s="311"/>
      <c r="C264" s="311"/>
      <c r="D264" s="311"/>
      <c r="E264" s="311"/>
      <c r="F264" s="311"/>
      <c r="G264" s="311"/>
      <c r="H264" s="311"/>
      <c r="I264" s="311"/>
      <c r="J264" s="311"/>
      <c r="K264" s="311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  <c r="AA264" s="311"/>
      <c r="AB264" s="311"/>
      <c r="AC264" s="311"/>
      <c r="AD264" s="311"/>
      <c r="AE264" s="311"/>
    </row>
    <row r="265" spans="1:31" ht="16" x14ac:dyDescent="0.2">
      <c r="A265" s="311"/>
      <c r="B265" s="311"/>
      <c r="C265" s="311"/>
      <c r="D265" s="311"/>
      <c r="E265" s="311"/>
      <c r="F265" s="311"/>
      <c r="G265" s="311"/>
      <c r="H265" s="311"/>
      <c r="I265" s="311"/>
      <c r="J265" s="311"/>
      <c r="K265" s="311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  <c r="AA265" s="311"/>
      <c r="AB265" s="311"/>
      <c r="AC265" s="311"/>
      <c r="AD265" s="311"/>
      <c r="AE265" s="311"/>
    </row>
    <row r="266" spans="1:31" ht="16" x14ac:dyDescent="0.2">
      <c r="A266" s="31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  <c r="AA266" s="311"/>
      <c r="AB266" s="311"/>
      <c r="AC266" s="311"/>
      <c r="AD266" s="311"/>
      <c r="AE266" s="311"/>
    </row>
    <row r="267" spans="1:31" ht="16" x14ac:dyDescent="0.2">
      <c r="A267" s="311"/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  <c r="AA267" s="311"/>
      <c r="AB267" s="311"/>
      <c r="AC267" s="311"/>
      <c r="AD267" s="311"/>
      <c r="AE267" s="311"/>
    </row>
    <row r="268" spans="1:31" ht="16" x14ac:dyDescent="0.2">
      <c r="A268" s="311"/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  <c r="AA268" s="311"/>
      <c r="AB268" s="311"/>
      <c r="AC268" s="311"/>
      <c r="AD268" s="311"/>
      <c r="AE268" s="311"/>
    </row>
    <row r="269" spans="1:31" ht="16" x14ac:dyDescent="0.2">
      <c r="A269" s="311"/>
      <c r="B269" s="311"/>
      <c r="C269" s="311"/>
      <c r="D269" s="311"/>
      <c r="E269" s="311"/>
      <c r="F269" s="311"/>
      <c r="G269" s="311"/>
      <c r="H269" s="311"/>
      <c r="I269" s="311"/>
      <c r="J269" s="311"/>
      <c r="K269" s="311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  <c r="AA269" s="311"/>
      <c r="AB269" s="311"/>
      <c r="AC269" s="311"/>
      <c r="AD269" s="311"/>
      <c r="AE269" s="311"/>
    </row>
    <row r="270" spans="1:31" ht="16" x14ac:dyDescent="0.2">
      <c r="A270" s="311"/>
      <c r="B270" s="311"/>
      <c r="C270" s="311"/>
      <c r="D270" s="311"/>
      <c r="E270" s="311"/>
      <c r="F270" s="311"/>
      <c r="G270" s="311"/>
      <c r="H270" s="311"/>
      <c r="I270" s="311"/>
      <c r="J270" s="311"/>
      <c r="K270" s="311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  <c r="AA270" s="311"/>
      <c r="AB270" s="311"/>
      <c r="AC270" s="311"/>
      <c r="AD270" s="311"/>
      <c r="AE270" s="311"/>
    </row>
    <row r="271" spans="1:31" ht="16" x14ac:dyDescent="0.2">
      <c r="A271" s="311"/>
      <c r="B271" s="311"/>
      <c r="C271" s="311"/>
      <c r="D271" s="311"/>
      <c r="E271" s="311"/>
      <c r="F271" s="311"/>
      <c r="G271" s="311"/>
      <c r="H271" s="311"/>
      <c r="I271" s="311"/>
      <c r="J271" s="311"/>
      <c r="K271" s="311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  <c r="AA271" s="311"/>
      <c r="AB271" s="311"/>
      <c r="AC271" s="311"/>
      <c r="AD271" s="311"/>
      <c r="AE271" s="311"/>
    </row>
    <row r="272" spans="1:31" ht="16" x14ac:dyDescent="0.2">
      <c r="A272" s="311"/>
      <c r="B272" s="311"/>
      <c r="C272" s="311"/>
      <c r="D272" s="311"/>
      <c r="E272" s="311"/>
      <c r="F272" s="311"/>
      <c r="G272" s="311"/>
      <c r="H272" s="311"/>
      <c r="I272" s="311"/>
      <c r="J272" s="311"/>
      <c r="K272" s="311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  <c r="AA272" s="311"/>
      <c r="AB272" s="311"/>
      <c r="AC272" s="311"/>
      <c r="AD272" s="311"/>
      <c r="AE272" s="311"/>
    </row>
    <row r="273" spans="1:31" ht="16" x14ac:dyDescent="0.2">
      <c r="A273" s="311"/>
      <c r="B273" s="311"/>
      <c r="C273" s="311"/>
      <c r="D273" s="311"/>
      <c r="E273" s="311"/>
      <c r="F273" s="311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  <c r="AA273" s="311"/>
      <c r="AB273" s="311"/>
      <c r="AC273" s="311"/>
      <c r="AD273" s="311"/>
      <c r="AE273" s="311"/>
    </row>
    <row r="274" spans="1:31" ht="16" x14ac:dyDescent="0.2">
      <c r="A274" s="311"/>
      <c r="B274" s="311"/>
      <c r="C274" s="311"/>
      <c r="D274" s="311"/>
      <c r="E274" s="311"/>
      <c r="F274" s="311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  <c r="AA274" s="311"/>
      <c r="AB274" s="311"/>
      <c r="AC274" s="311"/>
      <c r="AD274" s="311"/>
      <c r="AE274" s="311"/>
    </row>
    <row r="275" spans="1:31" ht="16" x14ac:dyDescent="0.2">
      <c r="A275" s="311"/>
      <c r="B275" s="311"/>
      <c r="C275" s="311"/>
      <c r="D275" s="311"/>
      <c r="E275" s="311"/>
      <c r="F275" s="311"/>
      <c r="G275" s="311"/>
      <c r="H275" s="311"/>
      <c r="I275" s="311"/>
      <c r="J275" s="311"/>
      <c r="K275" s="311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  <c r="AA275" s="311"/>
      <c r="AB275" s="311"/>
      <c r="AC275" s="311"/>
      <c r="AD275" s="311"/>
      <c r="AE275" s="311"/>
    </row>
    <row r="276" spans="1:31" ht="16" x14ac:dyDescent="0.2">
      <c r="A276" s="311"/>
      <c r="B276" s="311"/>
      <c r="C276" s="311"/>
      <c r="D276" s="311"/>
      <c r="E276" s="311"/>
      <c r="F276" s="311"/>
      <c r="G276" s="311"/>
      <c r="H276" s="311"/>
      <c r="I276" s="311"/>
      <c r="J276" s="311"/>
      <c r="K276" s="311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  <c r="AA276" s="311"/>
      <c r="AB276" s="311"/>
      <c r="AC276" s="311"/>
      <c r="AD276" s="311"/>
      <c r="AE276" s="311"/>
    </row>
    <row r="277" spans="1:31" ht="16" x14ac:dyDescent="0.2">
      <c r="A277" s="311"/>
      <c r="B277" s="311"/>
      <c r="C277" s="311"/>
      <c r="D277" s="311"/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  <c r="AA277" s="311"/>
      <c r="AB277" s="311"/>
      <c r="AC277" s="311"/>
      <c r="AD277" s="311"/>
      <c r="AE277" s="311"/>
    </row>
    <row r="278" spans="1:31" ht="16" x14ac:dyDescent="0.2">
      <c r="A278" s="311"/>
      <c r="B278" s="311"/>
      <c r="C278" s="311"/>
      <c r="D278" s="311"/>
      <c r="E278" s="311"/>
      <c r="F278" s="311"/>
      <c r="G278" s="311"/>
      <c r="H278" s="311"/>
      <c r="I278" s="311"/>
      <c r="J278" s="311"/>
      <c r="K278" s="311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  <c r="AA278" s="311"/>
      <c r="AB278" s="311"/>
      <c r="AC278" s="311"/>
      <c r="AD278" s="311"/>
      <c r="AE278" s="311"/>
    </row>
    <row r="279" spans="1:31" ht="16" x14ac:dyDescent="0.2">
      <c r="A279" s="311"/>
      <c r="B279" s="311"/>
      <c r="C279" s="311"/>
      <c r="D279" s="311"/>
      <c r="E279" s="311"/>
      <c r="F279" s="311"/>
      <c r="G279" s="311"/>
      <c r="H279" s="311"/>
      <c r="I279" s="311"/>
      <c r="J279" s="311"/>
      <c r="K279" s="311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  <c r="AA279" s="311"/>
      <c r="AB279" s="311"/>
      <c r="AC279" s="311"/>
      <c r="AD279" s="311"/>
      <c r="AE279" s="311"/>
    </row>
    <row r="280" spans="1:31" ht="16" x14ac:dyDescent="0.2">
      <c r="A280" s="311"/>
      <c r="B280" s="311"/>
      <c r="C280" s="311"/>
      <c r="D280" s="311"/>
      <c r="E280" s="311"/>
      <c r="F280" s="311"/>
      <c r="G280" s="311"/>
      <c r="H280" s="311"/>
      <c r="I280" s="311"/>
      <c r="J280" s="311"/>
      <c r="K280" s="311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  <c r="AA280" s="311"/>
      <c r="AB280" s="311"/>
      <c r="AC280" s="311"/>
      <c r="AD280" s="311"/>
      <c r="AE280" s="311"/>
    </row>
    <row r="281" spans="1:31" ht="16" x14ac:dyDescent="0.2">
      <c r="A281" s="311"/>
      <c r="B281" s="311"/>
      <c r="C281" s="311"/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  <c r="AA281" s="311"/>
      <c r="AB281" s="311"/>
      <c r="AC281" s="311"/>
      <c r="AD281" s="311"/>
      <c r="AE281" s="311"/>
    </row>
    <row r="282" spans="1:31" ht="16" x14ac:dyDescent="0.2">
      <c r="A282" s="311"/>
      <c r="B282" s="311"/>
      <c r="C282" s="311"/>
      <c r="D282" s="311"/>
      <c r="E282" s="311"/>
      <c r="F282" s="311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  <c r="AA282" s="311"/>
      <c r="AB282" s="311"/>
      <c r="AC282" s="311"/>
      <c r="AD282" s="311"/>
      <c r="AE282" s="311"/>
    </row>
    <row r="283" spans="1:31" ht="16" x14ac:dyDescent="0.2">
      <c r="A283" s="311"/>
      <c r="B283" s="311"/>
      <c r="C283" s="311"/>
      <c r="D283" s="311"/>
      <c r="E283" s="311"/>
      <c r="F283" s="311"/>
      <c r="G283" s="311"/>
      <c r="H283" s="311"/>
      <c r="I283" s="311"/>
      <c r="J283" s="311"/>
      <c r="K283" s="311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  <c r="AA283" s="311"/>
      <c r="AB283" s="311"/>
      <c r="AC283" s="311"/>
      <c r="AD283" s="311"/>
      <c r="AE283" s="311"/>
    </row>
    <row r="284" spans="1:31" ht="16" x14ac:dyDescent="0.2">
      <c r="A284" s="311"/>
      <c r="B284" s="311"/>
      <c r="C284" s="311"/>
      <c r="D284" s="311"/>
      <c r="E284" s="311"/>
      <c r="F284" s="311"/>
      <c r="G284" s="311"/>
      <c r="H284" s="311"/>
      <c r="I284" s="311"/>
      <c r="J284" s="311"/>
      <c r="K284" s="311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  <c r="AA284" s="311"/>
      <c r="AB284" s="311"/>
      <c r="AC284" s="311"/>
      <c r="AD284" s="311"/>
      <c r="AE284" s="311"/>
    </row>
    <row r="285" spans="1:31" ht="16" x14ac:dyDescent="0.2">
      <c r="A285" s="311"/>
      <c r="B285" s="311"/>
      <c r="C285" s="311"/>
      <c r="D285" s="311"/>
      <c r="E285" s="311"/>
      <c r="F285" s="311"/>
      <c r="G285" s="311"/>
      <c r="H285" s="311"/>
      <c r="I285" s="311"/>
      <c r="J285" s="311"/>
      <c r="K285" s="311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  <c r="AA285" s="311"/>
      <c r="AB285" s="311"/>
      <c r="AC285" s="311"/>
      <c r="AD285" s="311"/>
      <c r="AE285" s="311"/>
    </row>
    <row r="286" spans="1:31" ht="16" x14ac:dyDescent="0.2">
      <c r="A286" s="311"/>
      <c r="B286" s="311"/>
      <c r="C286" s="311"/>
      <c r="D286" s="311"/>
      <c r="E286" s="311"/>
      <c r="F286" s="311"/>
      <c r="G286" s="311"/>
      <c r="H286" s="311"/>
      <c r="I286" s="311"/>
      <c r="J286" s="311"/>
      <c r="K286" s="311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  <c r="AA286" s="311"/>
      <c r="AB286" s="311"/>
      <c r="AC286" s="311"/>
      <c r="AD286" s="311"/>
      <c r="AE286" s="311"/>
    </row>
    <row r="287" spans="1:31" ht="16" x14ac:dyDescent="0.2">
      <c r="A287" s="311"/>
      <c r="B287" s="311"/>
      <c r="C287" s="311"/>
      <c r="D287" s="311"/>
      <c r="E287" s="311"/>
      <c r="F287" s="311"/>
      <c r="G287" s="311"/>
      <c r="H287" s="311"/>
      <c r="I287" s="311"/>
      <c r="J287" s="311"/>
      <c r="K287" s="311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  <c r="AA287" s="311"/>
      <c r="AB287" s="311"/>
      <c r="AC287" s="311"/>
      <c r="AD287" s="311"/>
      <c r="AE287" s="311"/>
    </row>
    <row r="288" spans="1:31" ht="16" x14ac:dyDescent="0.2">
      <c r="A288" s="311"/>
      <c r="B288" s="311"/>
      <c r="C288" s="311"/>
      <c r="D288" s="311"/>
      <c r="E288" s="311"/>
      <c r="F288" s="311"/>
      <c r="G288" s="311"/>
      <c r="H288" s="311"/>
      <c r="I288" s="311"/>
      <c r="J288" s="311"/>
      <c r="K288" s="311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  <c r="AA288" s="311"/>
      <c r="AB288" s="311"/>
      <c r="AC288" s="311"/>
      <c r="AD288" s="311"/>
      <c r="AE288" s="311"/>
    </row>
    <row r="289" spans="1:31" ht="16" x14ac:dyDescent="0.2">
      <c r="A289" s="311"/>
      <c r="B289" s="311"/>
      <c r="C289" s="311"/>
      <c r="D289" s="311"/>
      <c r="E289" s="311"/>
      <c r="F289" s="311"/>
      <c r="G289" s="311"/>
      <c r="H289" s="311"/>
      <c r="I289" s="311"/>
      <c r="J289" s="311"/>
      <c r="K289" s="311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  <c r="AA289" s="311"/>
      <c r="AB289" s="311"/>
      <c r="AC289" s="311"/>
      <c r="AD289" s="311"/>
      <c r="AE289" s="311"/>
    </row>
    <row r="290" spans="1:31" ht="16" x14ac:dyDescent="0.2">
      <c r="A290" s="311"/>
      <c r="B290" s="311"/>
      <c r="C290" s="311"/>
      <c r="D290" s="311"/>
      <c r="E290" s="311"/>
      <c r="F290" s="311"/>
      <c r="G290" s="311"/>
      <c r="H290" s="311"/>
      <c r="I290" s="311"/>
      <c r="J290" s="311"/>
      <c r="K290" s="311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  <c r="AA290" s="311"/>
      <c r="AB290" s="311"/>
      <c r="AC290" s="311"/>
      <c r="AD290" s="311"/>
      <c r="AE290" s="311"/>
    </row>
    <row r="291" spans="1:31" ht="16" x14ac:dyDescent="0.2">
      <c r="A291" s="311"/>
      <c r="B291" s="311"/>
      <c r="C291" s="311"/>
      <c r="D291" s="311"/>
      <c r="E291" s="311"/>
      <c r="F291" s="311"/>
      <c r="G291" s="311"/>
      <c r="H291" s="311"/>
      <c r="I291" s="311"/>
      <c r="J291" s="311"/>
      <c r="K291" s="311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  <c r="AA291" s="311"/>
      <c r="AB291" s="311"/>
      <c r="AC291" s="311"/>
      <c r="AD291" s="311"/>
      <c r="AE291" s="311"/>
    </row>
    <row r="292" spans="1:31" ht="16" x14ac:dyDescent="0.2">
      <c r="A292" s="311"/>
      <c r="B292" s="311"/>
      <c r="C292" s="311"/>
      <c r="D292" s="311"/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  <c r="AA292" s="311"/>
      <c r="AB292" s="311"/>
      <c r="AC292" s="311"/>
      <c r="AD292" s="311"/>
      <c r="AE292" s="311"/>
    </row>
    <row r="293" spans="1:31" ht="16" x14ac:dyDescent="0.2">
      <c r="A293" s="311"/>
      <c r="B293" s="311"/>
      <c r="C293" s="311"/>
      <c r="D293" s="311"/>
      <c r="E293" s="311"/>
      <c r="F293" s="311"/>
      <c r="G293" s="311"/>
      <c r="H293" s="311"/>
      <c r="I293" s="311"/>
      <c r="J293" s="311"/>
      <c r="K293" s="311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  <c r="AA293" s="311"/>
      <c r="AB293" s="311"/>
      <c r="AC293" s="311"/>
      <c r="AD293" s="311"/>
      <c r="AE293" s="311"/>
    </row>
    <row r="294" spans="1:31" ht="16" x14ac:dyDescent="0.2">
      <c r="A294" s="311"/>
      <c r="B294" s="311"/>
      <c r="C294" s="311"/>
      <c r="D294" s="311"/>
      <c r="E294" s="311"/>
      <c r="F294" s="311"/>
      <c r="G294" s="311"/>
      <c r="H294" s="311"/>
      <c r="I294" s="311"/>
      <c r="J294" s="311"/>
      <c r="K294" s="311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  <c r="AA294" s="311"/>
      <c r="AB294" s="311"/>
      <c r="AC294" s="311"/>
      <c r="AD294" s="311"/>
      <c r="AE294" s="311"/>
    </row>
    <row r="295" spans="1:31" ht="16" x14ac:dyDescent="0.2">
      <c r="A295" s="311"/>
      <c r="B295" s="311"/>
      <c r="C295" s="311"/>
      <c r="D295" s="311"/>
      <c r="E295" s="311"/>
      <c r="F295" s="311"/>
      <c r="G295" s="311"/>
      <c r="H295" s="311"/>
      <c r="I295" s="311"/>
      <c r="J295" s="311"/>
      <c r="K295" s="311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  <c r="AA295" s="311"/>
      <c r="AB295" s="311"/>
      <c r="AC295" s="311"/>
      <c r="AD295" s="311"/>
      <c r="AE295" s="311"/>
    </row>
    <row r="296" spans="1:31" ht="16" x14ac:dyDescent="0.2">
      <c r="A296" s="311"/>
      <c r="B296" s="311"/>
      <c r="C296" s="311"/>
      <c r="D296" s="311"/>
      <c r="E296" s="311"/>
      <c r="F296" s="311"/>
      <c r="G296" s="311"/>
      <c r="H296" s="311"/>
      <c r="I296" s="311"/>
      <c r="J296" s="311"/>
      <c r="K296" s="311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  <c r="AA296" s="311"/>
      <c r="AB296" s="311"/>
      <c r="AC296" s="311"/>
      <c r="AD296" s="311"/>
      <c r="AE296" s="311"/>
    </row>
    <row r="297" spans="1:31" ht="16" x14ac:dyDescent="0.2">
      <c r="A297" s="311"/>
      <c r="B297" s="311"/>
      <c r="C297" s="311"/>
      <c r="D297" s="311"/>
      <c r="E297" s="311"/>
      <c r="F297" s="311"/>
      <c r="G297" s="311"/>
      <c r="H297" s="311"/>
      <c r="I297" s="311"/>
      <c r="J297" s="311"/>
      <c r="K297" s="311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  <c r="AA297" s="311"/>
      <c r="AB297" s="311"/>
      <c r="AC297" s="311"/>
      <c r="AD297" s="311"/>
      <c r="AE297" s="311"/>
    </row>
    <row r="298" spans="1:31" ht="16" x14ac:dyDescent="0.2">
      <c r="A298" s="311"/>
      <c r="B298" s="311"/>
      <c r="C298" s="311"/>
      <c r="D298" s="311"/>
      <c r="E298" s="311"/>
      <c r="F298" s="311"/>
      <c r="G298" s="311"/>
      <c r="H298" s="311"/>
      <c r="I298" s="311"/>
      <c r="J298" s="311"/>
      <c r="K298" s="311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  <c r="AA298" s="311"/>
      <c r="AB298" s="311"/>
      <c r="AC298" s="311"/>
      <c r="AD298" s="311"/>
      <c r="AE298" s="311"/>
    </row>
    <row r="299" spans="1:31" ht="16" x14ac:dyDescent="0.2">
      <c r="A299" s="311"/>
      <c r="B299" s="311"/>
      <c r="C299" s="311"/>
      <c r="D299" s="311"/>
      <c r="E299" s="311"/>
      <c r="F299" s="311"/>
      <c r="G299" s="311"/>
      <c r="H299" s="311"/>
      <c r="I299" s="311"/>
      <c r="J299" s="311"/>
      <c r="K299" s="311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  <c r="AA299" s="311"/>
      <c r="AB299" s="311"/>
      <c r="AC299" s="311"/>
      <c r="AD299" s="311"/>
      <c r="AE299" s="311"/>
    </row>
    <row r="300" spans="1:31" ht="16" x14ac:dyDescent="0.2">
      <c r="A300" s="311"/>
      <c r="B300" s="311"/>
      <c r="C300" s="311"/>
      <c r="D300" s="311"/>
      <c r="E300" s="311"/>
      <c r="F300" s="311"/>
      <c r="G300" s="311"/>
      <c r="H300" s="311"/>
      <c r="I300" s="311"/>
      <c r="J300" s="311"/>
      <c r="K300" s="311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  <c r="AA300" s="311"/>
      <c r="AB300" s="311"/>
      <c r="AC300" s="311"/>
      <c r="AD300" s="311"/>
      <c r="AE300" s="311"/>
    </row>
    <row r="301" spans="1:31" ht="16" x14ac:dyDescent="0.2">
      <c r="A301" s="311"/>
      <c r="B301" s="311"/>
      <c r="C301" s="311"/>
      <c r="D301" s="311"/>
      <c r="E301" s="311"/>
      <c r="F301" s="311"/>
      <c r="G301" s="311"/>
      <c r="H301" s="311"/>
      <c r="I301" s="311"/>
      <c r="J301" s="311"/>
      <c r="K301" s="311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  <c r="AA301" s="311"/>
      <c r="AB301" s="311"/>
      <c r="AC301" s="311"/>
      <c r="AD301" s="311"/>
      <c r="AE301" s="311"/>
    </row>
    <row r="302" spans="1:31" ht="16" x14ac:dyDescent="0.2">
      <c r="A302" s="311"/>
      <c r="B302" s="311"/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</row>
    <row r="303" spans="1:31" ht="16" x14ac:dyDescent="0.2">
      <c r="A303" s="311"/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  <c r="AA303" s="311"/>
      <c r="AB303" s="311"/>
      <c r="AC303" s="311"/>
      <c r="AD303" s="311"/>
      <c r="AE303" s="311"/>
    </row>
    <row r="304" spans="1:31" ht="16" x14ac:dyDescent="0.2">
      <c r="A304" s="311"/>
      <c r="B304" s="311"/>
      <c r="C304" s="311"/>
      <c r="D304" s="311"/>
      <c r="E304" s="311"/>
      <c r="F304" s="311"/>
      <c r="G304" s="311"/>
      <c r="H304" s="311"/>
      <c r="I304" s="311"/>
      <c r="J304" s="311"/>
      <c r="K304" s="311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  <c r="AA304" s="311"/>
      <c r="AB304" s="311"/>
      <c r="AC304" s="311"/>
      <c r="AD304" s="311"/>
      <c r="AE304" s="311"/>
    </row>
    <row r="305" spans="1:31" ht="16" x14ac:dyDescent="0.2">
      <c r="A305" s="311"/>
      <c r="B305" s="311"/>
      <c r="C305" s="311"/>
      <c r="D305" s="311"/>
      <c r="E305" s="311"/>
      <c r="F305" s="311"/>
      <c r="G305" s="311"/>
      <c r="H305" s="311"/>
      <c r="I305" s="311"/>
      <c r="J305" s="311"/>
      <c r="K305" s="311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  <c r="AA305" s="311"/>
      <c r="AB305" s="311"/>
      <c r="AC305" s="311"/>
      <c r="AD305" s="311"/>
      <c r="AE305" s="311"/>
    </row>
    <row r="306" spans="1:31" ht="16" x14ac:dyDescent="0.2">
      <c r="A306" s="311"/>
      <c r="B306" s="311"/>
      <c r="C306" s="311"/>
      <c r="D306" s="311"/>
      <c r="E306" s="311"/>
      <c r="F306" s="311"/>
      <c r="G306" s="311"/>
      <c r="H306" s="311"/>
      <c r="I306" s="311"/>
      <c r="J306" s="311"/>
      <c r="K306" s="311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  <c r="AA306" s="311"/>
      <c r="AB306" s="311"/>
      <c r="AC306" s="311"/>
      <c r="AD306" s="311"/>
      <c r="AE306" s="311"/>
    </row>
    <row r="307" spans="1:31" ht="16" x14ac:dyDescent="0.2">
      <c r="A307" s="311"/>
      <c r="B307" s="311"/>
      <c r="C307" s="311"/>
      <c r="D307" s="311"/>
      <c r="E307" s="311"/>
      <c r="F307" s="311"/>
      <c r="G307" s="311"/>
      <c r="H307" s="311"/>
      <c r="I307" s="311"/>
      <c r="J307" s="311"/>
      <c r="K307" s="311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  <c r="AA307" s="311"/>
      <c r="AB307" s="311"/>
      <c r="AC307" s="311"/>
      <c r="AD307" s="311"/>
      <c r="AE307" s="311"/>
    </row>
    <row r="308" spans="1:31" ht="16" x14ac:dyDescent="0.2">
      <c r="A308" s="311"/>
      <c r="B308" s="311"/>
      <c r="C308" s="311"/>
      <c r="D308" s="311"/>
      <c r="E308" s="311"/>
      <c r="F308" s="311"/>
      <c r="G308" s="311"/>
      <c r="H308" s="311"/>
      <c r="I308" s="311"/>
      <c r="J308" s="311"/>
      <c r="K308" s="311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  <c r="AA308" s="311"/>
      <c r="AB308" s="311"/>
      <c r="AC308" s="311"/>
      <c r="AD308" s="311"/>
      <c r="AE308" s="311"/>
    </row>
    <row r="309" spans="1:31" ht="16" x14ac:dyDescent="0.2">
      <c r="A309" s="311"/>
      <c r="B309" s="311"/>
      <c r="C309" s="311"/>
      <c r="D309" s="311"/>
      <c r="E309" s="311"/>
      <c r="F309" s="311"/>
      <c r="G309" s="311"/>
      <c r="H309" s="311"/>
      <c r="I309" s="311"/>
      <c r="J309" s="311"/>
      <c r="K309" s="311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  <c r="AA309" s="311"/>
      <c r="AB309" s="311"/>
      <c r="AC309" s="311"/>
      <c r="AD309" s="311"/>
      <c r="AE309" s="311"/>
    </row>
    <row r="310" spans="1:31" ht="16" x14ac:dyDescent="0.2">
      <c r="A310" s="311"/>
      <c r="B310" s="311"/>
      <c r="C310" s="311"/>
      <c r="D310" s="311"/>
      <c r="E310" s="311"/>
      <c r="F310" s="311"/>
      <c r="G310" s="311"/>
      <c r="H310" s="311"/>
      <c r="I310" s="311"/>
      <c r="J310" s="311"/>
      <c r="K310" s="311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  <c r="AA310" s="311"/>
      <c r="AB310" s="311"/>
      <c r="AC310" s="311"/>
      <c r="AD310" s="311"/>
      <c r="AE310" s="311"/>
    </row>
    <row r="311" spans="1:31" ht="16" x14ac:dyDescent="0.2">
      <c r="A311" s="311"/>
      <c r="B311" s="311"/>
      <c r="C311" s="311"/>
      <c r="D311" s="311"/>
      <c r="E311" s="311"/>
      <c r="F311" s="311"/>
      <c r="G311" s="311"/>
      <c r="H311" s="311"/>
      <c r="I311" s="311"/>
      <c r="J311" s="311"/>
      <c r="K311" s="311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  <c r="AA311" s="311"/>
      <c r="AB311" s="311"/>
      <c r="AC311" s="311"/>
      <c r="AD311" s="311"/>
      <c r="AE311" s="311"/>
    </row>
    <row r="312" spans="1:31" ht="16" x14ac:dyDescent="0.2">
      <c r="A312" s="311"/>
      <c r="B312" s="311"/>
      <c r="C312" s="311"/>
      <c r="D312" s="311"/>
      <c r="E312" s="311"/>
      <c r="F312" s="311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  <c r="AA312" s="311"/>
      <c r="AB312" s="311"/>
      <c r="AC312" s="311"/>
      <c r="AD312" s="311"/>
      <c r="AE312" s="311"/>
    </row>
    <row r="313" spans="1:31" ht="16" x14ac:dyDescent="0.2">
      <c r="A313" s="311"/>
      <c r="B313" s="311"/>
      <c r="C313" s="311"/>
      <c r="D313" s="311"/>
      <c r="E313" s="311"/>
      <c r="F313" s="311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  <c r="AA313" s="311"/>
      <c r="AB313" s="311"/>
      <c r="AC313" s="311"/>
      <c r="AD313" s="311"/>
      <c r="AE313" s="311"/>
    </row>
    <row r="314" spans="1:31" ht="16" x14ac:dyDescent="0.2">
      <c r="A314" s="311"/>
      <c r="B314" s="311"/>
      <c r="C314" s="311"/>
      <c r="D314" s="311"/>
      <c r="E314" s="311"/>
      <c r="F314" s="311"/>
      <c r="G314" s="311"/>
      <c r="H314" s="311"/>
      <c r="I314" s="311"/>
      <c r="J314" s="311"/>
      <c r="K314" s="311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  <c r="AA314" s="311"/>
      <c r="AB314" s="311"/>
      <c r="AC314" s="311"/>
      <c r="AD314" s="311"/>
      <c r="AE314" s="311"/>
    </row>
    <row r="315" spans="1:31" ht="16" x14ac:dyDescent="0.2">
      <c r="A315" s="311"/>
      <c r="B315" s="311"/>
      <c r="C315" s="311"/>
      <c r="D315" s="311"/>
      <c r="E315" s="311"/>
      <c r="F315" s="311"/>
      <c r="G315" s="311"/>
      <c r="H315" s="311"/>
      <c r="I315" s="311"/>
      <c r="J315" s="311"/>
      <c r="K315" s="311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  <c r="AA315" s="311"/>
      <c r="AB315" s="311"/>
      <c r="AC315" s="311"/>
      <c r="AD315" s="311"/>
      <c r="AE315" s="311"/>
    </row>
    <row r="316" spans="1:31" ht="16" x14ac:dyDescent="0.2">
      <c r="A316" s="311"/>
      <c r="B316" s="311"/>
      <c r="C316" s="311"/>
      <c r="D316" s="311"/>
      <c r="E316" s="311"/>
      <c r="F316" s="311"/>
      <c r="G316" s="311"/>
      <c r="H316" s="311"/>
      <c r="I316" s="311"/>
      <c r="J316" s="311"/>
      <c r="K316" s="311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  <c r="AA316" s="311"/>
      <c r="AB316" s="311"/>
      <c r="AC316" s="311"/>
      <c r="AD316" s="311"/>
      <c r="AE316" s="311"/>
    </row>
    <row r="317" spans="1:31" ht="16" x14ac:dyDescent="0.2">
      <c r="A317" s="311"/>
      <c r="B317" s="311"/>
      <c r="C317" s="311"/>
      <c r="D317" s="311"/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  <c r="AA317" s="311"/>
      <c r="AB317" s="311"/>
      <c r="AC317" s="311"/>
      <c r="AD317" s="311"/>
      <c r="AE317" s="311"/>
    </row>
    <row r="318" spans="1:31" ht="16" x14ac:dyDescent="0.2">
      <c r="A318" s="311"/>
      <c r="B318" s="311"/>
      <c r="C318" s="311"/>
      <c r="D318" s="311"/>
      <c r="E318" s="311"/>
      <c r="F318" s="311"/>
      <c r="G318" s="311"/>
      <c r="H318" s="311"/>
      <c r="I318" s="311"/>
      <c r="J318" s="311"/>
      <c r="K318" s="311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  <c r="AA318" s="311"/>
      <c r="AB318" s="311"/>
      <c r="AC318" s="311"/>
      <c r="AD318" s="311"/>
      <c r="AE318" s="311"/>
    </row>
    <row r="319" spans="1:31" ht="16" x14ac:dyDescent="0.2">
      <c r="A319" s="311"/>
      <c r="B319" s="311"/>
      <c r="C319" s="311"/>
      <c r="D319" s="311"/>
      <c r="E319" s="311"/>
      <c r="F319" s="311"/>
      <c r="G319" s="311"/>
      <c r="H319" s="311"/>
      <c r="I319" s="311"/>
      <c r="J319" s="311"/>
      <c r="K319" s="311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  <c r="AA319" s="311"/>
      <c r="AB319" s="311"/>
      <c r="AC319" s="311"/>
      <c r="AD319" s="311"/>
      <c r="AE319" s="311"/>
    </row>
    <row r="320" spans="1:31" ht="16" x14ac:dyDescent="0.2">
      <c r="A320" s="311"/>
      <c r="B320" s="311"/>
      <c r="C320" s="311"/>
      <c r="D320" s="311"/>
      <c r="E320" s="311"/>
      <c r="F320" s="311"/>
      <c r="G320" s="311"/>
      <c r="H320" s="311"/>
      <c r="I320" s="311"/>
      <c r="J320" s="311"/>
      <c r="K320" s="311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  <c r="AA320" s="311"/>
      <c r="AB320" s="311"/>
      <c r="AC320" s="311"/>
      <c r="AD320" s="311"/>
      <c r="AE320" s="311"/>
    </row>
    <row r="321" spans="1:31" ht="16" x14ac:dyDescent="0.2">
      <c r="A321" s="311"/>
      <c r="B321" s="311"/>
      <c r="C321" s="311"/>
      <c r="D321" s="311"/>
      <c r="E321" s="311"/>
      <c r="F321" s="311"/>
      <c r="G321" s="311"/>
      <c r="H321" s="311"/>
      <c r="I321" s="311"/>
      <c r="J321" s="311"/>
      <c r="K321" s="311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  <c r="AA321" s="311"/>
      <c r="AB321" s="311"/>
      <c r="AC321" s="311"/>
      <c r="AD321" s="311"/>
      <c r="AE321" s="311"/>
    </row>
    <row r="322" spans="1:31" ht="16" x14ac:dyDescent="0.2">
      <c r="A322" s="311"/>
      <c r="B322" s="311"/>
      <c r="C322" s="311"/>
      <c r="D322" s="311"/>
      <c r="E322" s="311"/>
      <c r="F322" s="311"/>
      <c r="G322" s="311"/>
      <c r="H322" s="311"/>
      <c r="I322" s="311"/>
      <c r="J322" s="311"/>
      <c r="K322" s="311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  <c r="AA322" s="311"/>
      <c r="AB322" s="311"/>
      <c r="AC322" s="311"/>
      <c r="AD322" s="311"/>
      <c r="AE322" s="311"/>
    </row>
    <row r="323" spans="1:31" ht="16" x14ac:dyDescent="0.2">
      <c r="A323" s="311"/>
      <c r="B323" s="311"/>
      <c r="C323" s="311"/>
      <c r="D323" s="311"/>
      <c r="E323" s="311"/>
      <c r="F323" s="311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</row>
    <row r="324" spans="1:31" ht="16" x14ac:dyDescent="0.2">
      <c r="A324" s="311"/>
      <c r="B324" s="311"/>
      <c r="C324" s="311"/>
      <c r="D324" s="311"/>
      <c r="E324" s="311"/>
      <c r="F324" s="311"/>
      <c r="G324" s="311"/>
      <c r="H324" s="311"/>
      <c r="I324" s="311"/>
      <c r="J324" s="311"/>
      <c r="K324" s="311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  <c r="AA324" s="311"/>
      <c r="AB324" s="311"/>
      <c r="AC324" s="311"/>
      <c r="AD324" s="311"/>
      <c r="AE324" s="311"/>
    </row>
    <row r="325" spans="1:31" ht="16" x14ac:dyDescent="0.2">
      <c r="A325" s="311"/>
      <c r="B325" s="311"/>
      <c r="C325" s="311"/>
      <c r="D325" s="311"/>
      <c r="E325" s="311"/>
      <c r="F325" s="311"/>
      <c r="G325" s="311"/>
      <c r="H325" s="311"/>
      <c r="I325" s="311"/>
      <c r="J325" s="311"/>
      <c r="K325" s="311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  <c r="AA325" s="311"/>
      <c r="AB325" s="311"/>
      <c r="AC325" s="311"/>
      <c r="AD325" s="311"/>
      <c r="AE325" s="311"/>
    </row>
    <row r="326" spans="1:31" ht="16" x14ac:dyDescent="0.2">
      <c r="A326" s="311"/>
      <c r="B326" s="311"/>
      <c r="C326" s="311"/>
      <c r="D326" s="311"/>
      <c r="E326" s="311"/>
      <c r="F326" s="311"/>
      <c r="G326" s="311"/>
      <c r="H326" s="311"/>
      <c r="I326" s="311"/>
      <c r="J326" s="311"/>
      <c r="K326" s="311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  <c r="AA326" s="311"/>
      <c r="AB326" s="311"/>
      <c r="AC326" s="311"/>
      <c r="AD326" s="311"/>
      <c r="AE326" s="311"/>
    </row>
    <row r="327" spans="1:31" ht="16" x14ac:dyDescent="0.2">
      <c r="A327" s="311"/>
      <c r="B327" s="311"/>
      <c r="C327" s="311"/>
      <c r="D327" s="311"/>
      <c r="E327" s="311"/>
      <c r="F327" s="311"/>
      <c r="G327" s="311"/>
      <c r="H327" s="311"/>
      <c r="I327" s="311"/>
      <c r="J327" s="311"/>
      <c r="K327" s="311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  <c r="AA327" s="311"/>
      <c r="AB327" s="311"/>
      <c r="AC327" s="311"/>
      <c r="AD327" s="311"/>
      <c r="AE327" s="311"/>
    </row>
    <row r="328" spans="1:31" ht="16" x14ac:dyDescent="0.2">
      <c r="A328" s="311"/>
      <c r="B328" s="311"/>
      <c r="C328" s="311"/>
      <c r="D328" s="311"/>
      <c r="E328" s="311"/>
      <c r="F328" s="311"/>
      <c r="G328" s="311"/>
      <c r="H328" s="311"/>
      <c r="I328" s="311"/>
      <c r="J328" s="311"/>
      <c r="K328" s="311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  <c r="AA328" s="311"/>
      <c r="AB328" s="311"/>
      <c r="AC328" s="311"/>
      <c r="AD328" s="311"/>
      <c r="AE328" s="311"/>
    </row>
    <row r="329" spans="1:31" ht="16" x14ac:dyDescent="0.2">
      <c r="A329" s="311"/>
      <c r="B329" s="311"/>
      <c r="C329" s="311"/>
      <c r="D329" s="311"/>
      <c r="E329" s="311"/>
      <c r="F329" s="311"/>
      <c r="G329" s="311"/>
      <c r="H329" s="311"/>
      <c r="I329" s="311"/>
      <c r="J329" s="311"/>
      <c r="K329" s="311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  <c r="AA329" s="311"/>
      <c r="AB329" s="311"/>
      <c r="AC329" s="311"/>
      <c r="AD329" s="311"/>
      <c r="AE329" s="311"/>
    </row>
    <row r="330" spans="1:31" ht="16" x14ac:dyDescent="0.2">
      <c r="A330" s="311"/>
      <c r="B330" s="311"/>
      <c r="C330" s="311"/>
      <c r="D330" s="311"/>
      <c r="E330" s="311"/>
      <c r="F330" s="311"/>
      <c r="G330" s="311"/>
      <c r="H330" s="311"/>
      <c r="I330" s="311"/>
      <c r="J330" s="311"/>
      <c r="K330" s="311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  <c r="AA330" s="311"/>
      <c r="AB330" s="311"/>
      <c r="AC330" s="311"/>
      <c r="AD330" s="311"/>
      <c r="AE330" s="311"/>
    </row>
    <row r="331" spans="1:31" ht="16" x14ac:dyDescent="0.2">
      <c r="A331" s="311"/>
      <c r="B331" s="311"/>
      <c r="C331" s="311"/>
      <c r="D331" s="311"/>
      <c r="E331" s="311"/>
      <c r="F331" s="311"/>
      <c r="G331" s="311"/>
      <c r="H331" s="311"/>
      <c r="I331" s="311"/>
      <c r="J331" s="311"/>
      <c r="K331" s="311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  <c r="AA331" s="311"/>
      <c r="AB331" s="311"/>
      <c r="AC331" s="311"/>
      <c r="AD331" s="311"/>
      <c r="AE331" s="311"/>
    </row>
    <row r="332" spans="1:31" ht="16" x14ac:dyDescent="0.2">
      <c r="A332" s="311"/>
      <c r="B332" s="311"/>
      <c r="C332" s="311"/>
      <c r="D332" s="311"/>
      <c r="E332" s="311"/>
      <c r="F332" s="311"/>
      <c r="G332" s="311"/>
      <c r="H332" s="311"/>
      <c r="I332" s="311"/>
      <c r="J332" s="311"/>
      <c r="K332" s="311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  <c r="AA332" s="311"/>
      <c r="AB332" s="311"/>
      <c r="AC332" s="311"/>
      <c r="AD332" s="311"/>
      <c r="AE332" s="311"/>
    </row>
    <row r="333" spans="1:31" ht="16" x14ac:dyDescent="0.2">
      <c r="A333" s="311"/>
      <c r="B333" s="311"/>
      <c r="C333" s="311"/>
      <c r="D333" s="311"/>
      <c r="E333" s="311"/>
      <c r="F333" s="311"/>
      <c r="G333" s="311"/>
      <c r="H333" s="311"/>
      <c r="I333" s="311"/>
      <c r="J333" s="311"/>
      <c r="K333" s="311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  <c r="AA333" s="311"/>
      <c r="AB333" s="311"/>
      <c r="AC333" s="311"/>
      <c r="AD333" s="311"/>
      <c r="AE333" s="311"/>
    </row>
    <row r="334" spans="1:31" ht="16" x14ac:dyDescent="0.2">
      <c r="A334" s="311"/>
      <c r="B334" s="311"/>
      <c r="C334" s="311"/>
      <c r="D334" s="311"/>
      <c r="E334" s="311"/>
      <c r="F334" s="311"/>
      <c r="G334" s="311"/>
      <c r="H334" s="311"/>
      <c r="I334" s="311"/>
      <c r="J334" s="311"/>
      <c r="K334" s="311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  <c r="AA334" s="311"/>
      <c r="AB334" s="311"/>
      <c r="AC334" s="311"/>
      <c r="AD334" s="311"/>
      <c r="AE334" s="311"/>
    </row>
    <row r="335" spans="1:31" ht="16" x14ac:dyDescent="0.2">
      <c r="A335" s="311"/>
      <c r="B335" s="311"/>
      <c r="C335" s="311"/>
      <c r="D335" s="311"/>
      <c r="E335" s="311"/>
      <c r="F335" s="311"/>
      <c r="G335" s="311"/>
      <c r="H335" s="311"/>
      <c r="I335" s="311"/>
      <c r="J335" s="311"/>
      <c r="K335" s="311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  <c r="AA335" s="311"/>
      <c r="AB335" s="311"/>
      <c r="AC335" s="311"/>
      <c r="AD335" s="311"/>
      <c r="AE335" s="311"/>
    </row>
    <row r="336" spans="1:31" ht="16" x14ac:dyDescent="0.2">
      <c r="A336" s="311"/>
      <c r="B336" s="311"/>
      <c r="C336" s="311"/>
      <c r="D336" s="311"/>
      <c r="E336" s="311"/>
      <c r="F336" s="311"/>
      <c r="G336" s="311"/>
      <c r="H336" s="311"/>
      <c r="I336" s="311"/>
      <c r="J336" s="311"/>
      <c r="K336" s="311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  <c r="AA336" s="311"/>
      <c r="AB336" s="311"/>
      <c r="AC336" s="311"/>
      <c r="AD336" s="311"/>
      <c r="AE336" s="311"/>
    </row>
    <row r="337" spans="1:31" ht="16" x14ac:dyDescent="0.2">
      <c r="A337" s="311"/>
      <c r="B337" s="311"/>
      <c r="C337" s="311"/>
      <c r="D337" s="311"/>
      <c r="E337" s="311"/>
      <c r="F337" s="311"/>
      <c r="G337" s="311"/>
      <c r="H337" s="311"/>
      <c r="I337" s="311"/>
      <c r="J337" s="311"/>
      <c r="K337" s="311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  <c r="AA337" s="311"/>
      <c r="AB337" s="311"/>
      <c r="AC337" s="311"/>
      <c r="AD337" s="311"/>
      <c r="AE337" s="311"/>
    </row>
    <row r="338" spans="1:31" ht="16" x14ac:dyDescent="0.2">
      <c r="A338" s="311"/>
      <c r="B338" s="311"/>
      <c r="C338" s="311"/>
      <c r="D338" s="311"/>
      <c r="E338" s="311"/>
      <c r="F338" s="311"/>
      <c r="G338" s="311"/>
      <c r="H338" s="311"/>
      <c r="I338" s="311"/>
      <c r="J338" s="311"/>
      <c r="K338" s="311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  <c r="AA338" s="311"/>
      <c r="AB338" s="311"/>
      <c r="AC338" s="311"/>
      <c r="AD338" s="311"/>
      <c r="AE338" s="311"/>
    </row>
    <row r="339" spans="1:31" ht="16" x14ac:dyDescent="0.2">
      <c r="A339" s="311"/>
      <c r="B339" s="311"/>
      <c r="C339" s="311"/>
      <c r="D339" s="311"/>
      <c r="E339" s="311"/>
      <c r="F339" s="311"/>
      <c r="G339" s="311"/>
      <c r="H339" s="311"/>
      <c r="I339" s="311"/>
      <c r="J339" s="311"/>
      <c r="K339" s="311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  <c r="AA339" s="311"/>
      <c r="AB339" s="311"/>
      <c r="AC339" s="311"/>
      <c r="AD339" s="311"/>
      <c r="AE339" s="311"/>
    </row>
    <row r="340" spans="1:31" ht="16" x14ac:dyDescent="0.2">
      <c r="A340" s="311"/>
      <c r="B340" s="311"/>
      <c r="C340" s="311"/>
      <c r="D340" s="311"/>
      <c r="E340" s="311"/>
      <c r="F340" s="311"/>
      <c r="G340" s="311"/>
      <c r="H340" s="311"/>
      <c r="I340" s="311"/>
      <c r="J340" s="311"/>
      <c r="K340" s="311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  <c r="AA340" s="311"/>
      <c r="AB340" s="311"/>
      <c r="AC340" s="311"/>
      <c r="AD340" s="311"/>
      <c r="AE340" s="311"/>
    </row>
    <row r="341" spans="1:31" ht="16" x14ac:dyDescent="0.2">
      <c r="A341" s="311"/>
      <c r="B341" s="311"/>
      <c r="C341" s="311"/>
      <c r="D341" s="311"/>
      <c r="E341" s="311"/>
      <c r="F341" s="311"/>
      <c r="G341" s="311"/>
      <c r="H341" s="311"/>
      <c r="I341" s="311"/>
      <c r="J341" s="311"/>
      <c r="K341" s="311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  <c r="AA341" s="311"/>
      <c r="AB341" s="311"/>
      <c r="AC341" s="311"/>
      <c r="AD341" s="311"/>
      <c r="AE341" s="311"/>
    </row>
    <row r="342" spans="1:31" ht="16" x14ac:dyDescent="0.2">
      <c r="A342" s="311"/>
      <c r="B342" s="311"/>
      <c r="C342" s="311"/>
      <c r="D342" s="311"/>
      <c r="E342" s="311"/>
      <c r="F342" s="311"/>
      <c r="G342" s="311"/>
      <c r="H342" s="311"/>
      <c r="I342" s="311"/>
      <c r="J342" s="311"/>
      <c r="K342" s="311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  <c r="AA342" s="311"/>
      <c r="AB342" s="311"/>
      <c r="AC342" s="311"/>
      <c r="AD342" s="311"/>
      <c r="AE342" s="311"/>
    </row>
    <row r="343" spans="1:31" ht="16" x14ac:dyDescent="0.2">
      <c r="A343" s="311"/>
      <c r="B343" s="311"/>
      <c r="C343" s="311"/>
      <c r="D343" s="311"/>
      <c r="E343" s="311"/>
      <c r="F343" s="311"/>
      <c r="G343" s="311"/>
      <c r="H343" s="311"/>
      <c r="I343" s="311"/>
      <c r="J343" s="311"/>
      <c r="K343" s="311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  <c r="AA343" s="311"/>
      <c r="AB343" s="311"/>
      <c r="AC343" s="311"/>
      <c r="AD343" s="311"/>
      <c r="AE343" s="311"/>
    </row>
    <row r="344" spans="1:31" ht="16" x14ac:dyDescent="0.2">
      <c r="A344" s="311"/>
      <c r="B344" s="311"/>
      <c r="C344" s="311"/>
      <c r="D344" s="311"/>
      <c r="E344" s="311"/>
      <c r="F344" s="311"/>
      <c r="G344" s="311"/>
      <c r="H344" s="311"/>
      <c r="I344" s="311"/>
      <c r="J344" s="311"/>
      <c r="K344" s="311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  <c r="AA344" s="311"/>
      <c r="AB344" s="311"/>
      <c r="AC344" s="311"/>
      <c r="AD344" s="311"/>
      <c r="AE344" s="311"/>
    </row>
    <row r="345" spans="1:31" ht="16" x14ac:dyDescent="0.2">
      <c r="A345" s="311"/>
      <c r="B345" s="311"/>
      <c r="C345" s="311"/>
      <c r="D345" s="311"/>
      <c r="E345" s="311"/>
      <c r="F345" s="311"/>
      <c r="G345" s="311"/>
      <c r="H345" s="311"/>
      <c r="I345" s="311"/>
      <c r="J345" s="311"/>
      <c r="K345" s="311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  <c r="AA345" s="311"/>
      <c r="AB345" s="311"/>
      <c r="AC345" s="311"/>
      <c r="AD345" s="311"/>
      <c r="AE345" s="311"/>
    </row>
    <row r="346" spans="1:31" ht="16" x14ac:dyDescent="0.2">
      <c r="A346" s="311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  <c r="AA346" s="311"/>
      <c r="AB346" s="311"/>
      <c r="AC346" s="311"/>
      <c r="AD346" s="311"/>
      <c r="AE346" s="311"/>
    </row>
    <row r="347" spans="1:31" ht="16" x14ac:dyDescent="0.2">
      <c r="A347" s="311"/>
      <c r="B347" s="311"/>
      <c r="C347" s="311"/>
      <c r="D347" s="311"/>
      <c r="E347" s="311"/>
      <c r="F347" s="311"/>
      <c r="G347" s="311"/>
      <c r="H347" s="311"/>
      <c r="I347" s="311"/>
      <c r="J347" s="311"/>
      <c r="K347" s="311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  <c r="AA347" s="311"/>
      <c r="AB347" s="311"/>
      <c r="AC347" s="311"/>
      <c r="AD347" s="311"/>
      <c r="AE347" s="311"/>
    </row>
    <row r="348" spans="1:31" ht="16" x14ac:dyDescent="0.2">
      <c r="A348" s="311"/>
      <c r="B348" s="311"/>
      <c r="C348" s="311"/>
      <c r="D348" s="311"/>
      <c r="E348" s="311"/>
      <c r="F348" s="311"/>
      <c r="G348" s="311"/>
      <c r="H348" s="311"/>
      <c r="I348" s="311"/>
      <c r="J348" s="311"/>
      <c r="K348" s="311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  <c r="AA348" s="311"/>
      <c r="AB348" s="311"/>
      <c r="AC348" s="311"/>
      <c r="AD348" s="311"/>
      <c r="AE348" s="311"/>
    </row>
    <row r="349" spans="1:31" ht="16" x14ac:dyDescent="0.2">
      <c r="A349" s="311"/>
      <c r="B349" s="311"/>
      <c r="C349" s="311"/>
      <c r="D349" s="311"/>
      <c r="E349" s="311"/>
      <c r="F349" s="311"/>
      <c r="G349" s="311"/>
      <c r="H349" s="311"/>
      <c r="I349" s="311"/>
      <c r="J349" s="311"/>
      <c r="K349" s="311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  <c r="AA349" s="311"/>
      <c r="AB349" s="311"/>
      <c r="AC349" s="311"/>
      <c r="AD349" s="311"/>
      <c r="AE349" s="311"/>
    </row>
    <row r="350" spans="1:31" ht="16" x14ac:dyDescent="0.2">
      <c r="A350" s="311"/>
      <c r="B350" s="311"/>
      <c r="C350" s="311"/>
      <c r="D350" s="311"/>
      <c r="E350" s="311"/>
      <c r="F350" s="311"/>
      <c r="G350" s="311"/>
      <c r="H350" s="311"/>
      <c r="I350" s="311"/>
      <c r="J350" s="311"/>
      <c r="K350" s="311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  <c r="AA350" s="311"/>
      <c r="AB350" s="311"/>
      <c r="AC350" s="311"/>
      <c r="AD350" s="311"/>
      <c r="AE350" s="311"/>
    </row>
    <row r="351" spans="1:31" ht="16" x14ac:dyDescent="0.2">
      <c r="A351" s="311"/>
      <c r="B351" s="311"/>
      <c r="C351" s="311"/>
      <c r="D351" s="311"/>
      <c r="E351" s="311"/>
      <c r="F351" s="311"/>
      <c r="G351" s="311"/>
      <c r="H351" s="311"/>
      <c r="I351" s="311"/>
      <c r="J351" s="311"/>
      <c r="K351" s="311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  <c r="AA351" s="311"/>
      <c r="AB351" s="311"/>
      <c r="AC351" s="311"/>
      <c r="AD351" s="311"/>
      <c r="AE351" s="311"/>
    </row>
    <row r="352" spans="1:31" ht="16" x14ac:dyDescent="0.2">
      <c r="A352" s="311"/>
      <c r="B352" s="311"/>
      <c r="C352" s="311"/>
      <c r="D352" s="311"/>
      <c r="E352" s="311"/>
      <c r="F352" s="311"/>
      <c r="G352" s="311"/>
      <c r="H352" s="311"/>
      <c r="I352" s="311"/>
      <c r="J352" s="311"/>
      <c r="K352" s="311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  <c r="AA352" s="311"/>
      <c r="AB352" s="311"/>
      <c r="AC352" s="311"/>
      <c r="AD352" s="311"/>
      <c r="AE352" s="311"/>
    </row>
    <row r="353" spans="1:31" ht="16" x14ac:dyDescent="0.2">
      <c r="A353" s="311"/>
      <c r="B353" s="311"/>
      <c r="C353" s="311"/>
      <c r="D353" s="311"/>
      <c r="E353" s="311"/>
      <c r="F353" s="311"/>
      <c r="G353" s="311"/>
      <c r="H353" s="311"/>
      <c r="I353" s="311"/>
      <c r="J353" s="311"/>
      <c r="K353" s="311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  <c r="AA353" s="311"/>
      <c r="AB353" s="311"/>
      <c r="AC353" s="311"/>
      <c r="AD353" s="311"/>
      <c r="AE353" s="311"/>
    </row>
    <row r="354" spans="1:31" ht="16" x14ac:dyDescent="0.2">
      <c r="A354" s="311"/>
      <c r="B354" s="311"/>
      <c r="C354" s="311"/>
      <c r="D354" s="311"/>
      <c r="E354" s="311"/>
      <c r="F354" s="311"/>
      <c r="G354" s="311"/>
      <c r="H354" s="311"/>
      <c r="I354" s="311"/>
      <c r="J354" s="311"/>
      <c r="K354" s="311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  <c r="AA354" s="311"/>
      <c r="AB354" s="311"/>
      <c r="AC354" s="311"/>
      <c r="AD354" s="311"/>
      <c r="AE354" s="311"/>
    </row>
    <row r="355" spans="1:31" ht="16" x14ac:dyDescent="0.2">
      <c r="A355" s="311"/>
      <c r="B355" s="311"/>
      <c r="C355" s="311"/>
      <c r="D355" s="311"/>
      <c r="E355" s="311"/>
      <c r="F355" s="311"/>
      <c r="G355" s="311"/>
      <c r="H355" s="311"/>
      <c r="I355" s="311"/>
      <c r="J355" s="311"/>
      <c r="K355" s="311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  <c r="AA355" s="311"/>
      <c r="AB355" s="311"/>
      <c r="AC355" s="311"/>
      <c r="AD355" s="311"/>
      <c r="AE355" s="311"/>
    </row>
    <row r="356" spans="1:31" ht="16" x14ac:dyDescent="0.2">
      <c r="A356" s="311"/>
      <c r="B356" s="311"/>
      <c r="C356" s="311"/>
      <c r="D356" s="311"/>
      <c r="E356" s="311"/>
      <c r="F356" s="311"/>
      <c r="G356" s="311"/>
      <c r="H356" s="311"/>
      <c r="I356" s="311"/>
      <c r="J356" s="311"/>
      <c r="K356" s="311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  <c r="AA356" s="311"/>
      <c r="AB356" s="311"/>
      <c r="AC356" s="311"/>
      <c r="AD356" s="311"/>
      <c r="AE356" s="311"/>
    </row>
    <row r="357" spans="1:31" ht="16" x14ac:dyDescent="0.2">
      <c r="A357" s="311"/>
      <c r="B357" s="311"/>
      <c r="C357" s="311"/>
      <c r="D357" s="311"/>
      <c r="E357" s="311"/>
      <c r="F357" s="311"/>
      <c r="G357" s="311"/>
      <c r="H357" s="311"/>
      <c r="I357" s="311"/>
      <c r="J357" s="311"/>
      <c r="K357" s="311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  <c r="AA357" s="311"/>
      <c r="AB357" s="311"/>
      <c r="AC357" s="311"/>
      <c r="AD357" s="311"/>
      <c r="AE357" s="311"/>
    </row>
    <row r="358" spans="1:31" ht="16" x14ac:dyDescent="0.2">
      <c r="A358" s="311"/>
      <c r="B358" s="311"/>
      <c r="C358" s="311"/>
      <c r="D358" s="311"/>
      <c r="E358" s="311"/>
      <c r="F358" s="311"/>
      <c r="G358" s="311"/>
      <c r="H358" s="311"/>
      <c r="I358" s="311"/>
      <c r="J358" s="311"/>
      <c r="K358" s="311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  <c r="AA358" s="311"/>
      <c r="AB358" s="311"/>
      <c r="AC358" s="311"/>
      <c r="AD358" s="311"/>
      <c r="AE358" s="311"/>
    </row>
    <row r="359" spans="1:31" ht="16" x14ac:dyDescent="0.2">
      <c r="A359" s="311"/>
      <c r="B359" s="311"/>
      <c r="C359" s="311"/>
      <c r="D359" s="311"/>
      <c r="E359" s="311"/>
      <c r="F359" s="311"/>
      <c r="G359" s="311"/>
      <c r="H359" s="311"/>
      <c r="I359" s="311"/>
      <c r="J359" s="311"/>
      <c r="K359" s="311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  <c r="AA359" s="311"/>
      <c r="AB359" s="311"/>
      <c r="AC359" s="311"/>
      <c r="AD359" s="311"/>
      <c r="AE359" s="311"/>
    </row>
    <row r="360" spans="1:31" ht="16" x14ac:dyDescent="0.2">
      <c r="A360" s="311"/>
      <c r="B360" s="311"/>
      <c r="C360" s="311"/>
      <c r="D360" s="311"/>
      <c r="E360" s="311"/>
      <c r="F360" s="311"/>
      <c r="G360" s="311"/>
      <c r="H360" s="311"/>
      <c r="I360" s="311"/>
      <c r="J360" s="311"/>
      <c r="K360" s="311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  <c r="AA360" s="311"/>
      <c r="AB360" s="311"/>
      <c r="AC360" s="311"/>
      <c r="AD360" s="311"/>
      <c r="AE360" s="311"/>
    </row>
    <row r="361" spans="1:31" ht="16" x14ac:dyDescent="0.2">
      <c r="A361" s="311"/>
      <c r="B361" s="311"/>
      <c r="C361" s="311"/>
      <c r="D361" s="311"/>
      <c r="E361" s="311"/>
      <c r="F361" s="311"/>
      <c r="G361" s="311"/>
      <c r="H361" s="311"/>
      <c r="I361" s="311"/>
      <c r="J361" s="311"/>
      <c r="K361" s="311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  <c r="AA361" s="311"/>
      <c r="AB361" s="311"/>
      <c r="AC361" s="311"/>
      <c r="AD361" s="311"/>
      <c r="AE361" s="311"/>
    </row>
    <row r="362" spans="1:31" ht="16" x14ac:dyDescent="0.2">
      <c r="A362" s="311"/>
      <c r="B362" s="311"/>
      <c r="C362" s="311"/>
      <c r="D362" s="311"/>
      <c r="E362" s="311"/>
      <c r="F362" s="311"/>
      <c r="G362" s="311"/>
      <c r="H362" s="311"/>
      <c r="I362" s="311"/>
      <c r="J362" s="311"/>
      <c r="K362" s="311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  <c r="AA362" s="311"/>
      <c r="AB362" s="311"/>
      <c r="AC362" s="311"/>
      <c r="AD362" s="311"/>
      <c r="AE362" s="311"/>
    </row>
    <row r="363" spans="1:31" ht="16" x14ac:dyDescent="0.2">
      <c r="A363" s="311"/>
      <c r="B363" s="311"/>
      <c r="C363" s="311"/>
      <c r="D363" s="311"/>
      <c r="E363" s="311"/>
      <c r="F363" s="311"/>
      <c r="G363" s="311"/>
      <c r="H363" s="311"/>
      <c r="I363" s="311"/>
      <c r="J363" s="311"/>
      <c r="K363" s="311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  <c r="AA363" s="311"/>
      <c r="AB363" s="311"/>
      <c r="AC363" s="311"/>
      <c r="AD363" s="311"/>
      <c r="AE363" s="311"/>
    </row>
    <row r="364" spans="1:31" ht="16" x14ac:dyDescent="0.2">
      <c r="A364" s="311"/>
      <c r="B364" s="311"/>
      <c r="C364" s="311"/>
      <c r="D364" s="311"/>
      <c r="E364" s="311"/>
      <c r="F364" s="311"/>
      <c r="G364" s="311"/>
      <c r="H364" s="311"/>
      <c r="I364" s="311"/>
      <c r="J364" s="311"/>
      <c r="K364" s="311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  <c r="AA364" s="311"/>
      <c r="AB364" s="311"/>
      <c r="AC364" s="311"/>
      <c r="AD364" s="311"/>
      <c r="AE364" s="311"/>
    </row>
    <row r="365" spans="1:31" ht="16" x14ac:dyDescent="0.2">
      <c r="A365" s="311"/>
      <c r="B365" s="311"/>
      <c r="C365" s="311"/>
      <c r="D365" s="311"/>
      <c r="E365" s="311"/>
      <c r="F365" s="311"/>
      <c r="G365" s="311"/>
      <c r="H365" s="311"/>
      <c r="I365" s="311"/>
      <c r="J365" s="311"/>
      <c r="K365" s="311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  <c r="AA365" s="311"/>
      <c r="AB365" s="311"/>
      <c r="AC365" s="311"/>
      <c r="AD365" s="311"/>
      <c r="AE365" s="311"/>
    </row>
    <row r="366" spans="1:31" ht="16" x14ac:dyDescent="0.2">
      <c r="A366" s="311"/>
      <c r="B366" s="311"/>
      <c r="C366" s="311"/>
      <c r="D366" s="311"/>
      <c r="E366" s="311"/>
      <c r="F366" s="311"/>
      <c r="G366" s="311"/>
      <c r="H366" s="311"/>
      <c r="I366" s="311"/>
      <c r="J366" s="311"/>
      <c r="K366" s="311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  <c r="AA366" s="311"/>
      <c r="AB366" s="311"/>
      <c r="AC366" s="311"/>
      <c r="AD366" s="311"/>
      <c r="AE366" s="311"/>
    </row>
    <row r="367" spans="1:31" ht="16" x14ac:dyDescent="0.2">
      <c r="A367" s="311"/>
      <c r="B367" s="311"/>
      <c r="C367" s="311"/>
      <c r="D367" s="311"/>
      <c r="E367" s="311"/>
      <c r="F367" s="311"/>
      <c r="G367" s="311"/>
      <c r="H367" s="311"/>
      <c r="I367" s="311"/>
      <c r="J367" s="311"/>
      <c r="K367" s="311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  <c r="AA367" s="311"/>
      <c r="AB367" s="311"/>
      <c r="AC367" s="311"/>
      <c r="AD367" s="311"/>
      <c r="AE367" s="311"/>
    </row>
    <row r="368" spans="1:31" ht="16" x14ac:dyDescent="0.2">
      <c r="A368" s="311"/>
      <c r="B368" s="311"/>
      <c r="C368" s="311"/>
      <c r="D368" s="311"/>
      <c r="E368" s="311"/>
      <c r="F368" s="311"/>
      <c r="G368" s="311"/>
      <c r="H368" s="311"/>
      <c r="I368" s="311"/>
      <c r="J368" s="311"/>
      <c r="K368" s="311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  <c r="AA368" s="311"/>
      <c r="AB368" s="311"/>
      <c r="AC368" s="311"/>
      <c r="AD368" s="311"/>
      <c r="AE368" s="311"/>
    </row>
    <row r="369" spans="1:31" ht="16" x14ac:dyDescent="0.2">
      <c r="A369" s="311"/>
      <c r="B369" s="311"/>
      <c r="C369" s="311"/>
      <c r="D369" s="311"/>
      <c r="E369" s="311"/>
      <c r="F369" s="311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  <c r="AA369" s="311"/>
      <c r="AB369" s="311"/>
      <c r="AC369" s="311"/>
      <c r="AD369" s="311"/>
      <c r="AE369" s="311"/>
    </row>
    <row r="370" spans="1:31" ht="16" x14ac:dyDescent="0.2">
      <c r="A370" s="311"/>
      <c r="B370" s="311"/>
      <c r="C370" s="311"/>
      <c r="D370" s="311"/>
      <c r="E370" s="311"/>
      <c r="F370" s="311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  <c r="AA370" s="311"/>
      <c r="AB370" s="311"/>
      <c r="AC370" s="311"/>
      <c r="AD370" s="311"/>
      <c r="AE370" s="311"/>
    </row>
    <row r="371" spans="1:31" ht="16" x14ac:dyDescent="0.2">
      <c r="A371" s="311"/>
      <c r="B371" s="311"/>
      <c r="C371" s="311"/>
      <c r="D371" s="311"/>
      <c r="E371" s="311"/>
      <c r="F371" s="311"/>
      <c r="G371" s="311"/>
      <c r="H371" s="311"/>
      <c r="I371" s="311"/>
      <c r="J371" s="311"/>
      <c r="K371" s="311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  <c r="AA371" s="311"/>
      <c r="AB371" s="311"/>
      <c r="AC371" s="311"/>
      <c r="AD371" s="311"/>
      <c r="AE371" s="311"/>
    </row>
    <row r="372" spans="1:31" ht="16" x14ac:dyDescent="0.2">
      <c r="A372" s="311"/>
      <c r="B372" s="311"/>
      <c r="C372" s="311"/>
      <c r="D372" s="311"/>
      <c r="E372" s="311"/>
      <c r="F372" s="311"/>
      <c r="G372" s="311"/>
      <c r="H372" s="311"/>
      <c r="I372" s="311"/>
      <c r="J372" s="311"/>
      <c r="K372" s="311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  <c r="AA372" s="311"/>
      <c r="AB372" s="311"/>
      <c r="AC372" s="311"/>
      <c r="AD372" s="311"/>
      <c r="AE372" s="311"/>
    </row>
    <row r="373" spans="1:31" ht="16" x14ac:dyDescent="0.2">
      <c r="A373" s="311"/>
      <c r="B373" s="311"/>
      <c r="C373" s="311"/>
      <c r="D373" s="311"/>
      <c r="E373" s="311"/>
      <c r="F373" s="311"/>
      <c r="G373" s="311"/>
      <c r="H373" s="311"/>
      <c r="I373" s="311"/>
      <c r="J373" s="311"/>
      <c r="K373" s="311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  <c r="AA373" s="311"/>
      <c r="AB373" s="311"/>
      <c r="AC373" s="311"/>
      <c r="AD373" s="311"/>
      <c r="AE373" s="311"/>
    </row>
    <row r="374" spans="1:31" ht="16" x14ac:dyDescent="0.2">
      <c r="A374" s="311"/>
      <c r="B374" s="311"/>
      <c r="C374" s="311"/>
      <c r="D374" s="311"/>
      <c r="E374" s="311"/>
      <c r="F374" s="311"/>
      <c r="G374" s="311"/>
      <c r="H374" s="311"/>
      <c r="I374" s="311"/>
      <c r="J374" s="311"/>
      <c r="K374" s="311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  <c r="AA374" s="311"/>
      <c r="AB374" s="311"/>
      <c r="AC374" s="311"/>
      <c r="AD374" s="311"/>
      <c r="AE374" s="311"/>
    </row>
    <row r="375" spans="1:31" ht="16" x14ac:dyDescent="0.2">
      <c r="A375" s="311"/>
      <c r="B375" s="311"/>
      <c r="C375" s="311"/>
      <c r="D375" s="311"/>
      <c r="E375" s="311"/>
      <c r="F375" s="311"/>
      <c r="G375" s="311"/>
      <c r="H375" s="311"/>
      <c r="I375" s="311"/>
      <c r="J375" s="311"/>
      <c r="K375" s="311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  <c r="AA375" s="311"/>
      <c r="AB375" s="311"/>
      <c r="AC375" s="311"/>
      <c r="AD375" s="311"/>
      <c r="AE375" s="311"/>
    </row>
    <row r="376" spans="1:31" ht="16" x14ac:dyDescent="0.2">
      <c r="A376" s="311"/>
      <c r="B376" s="311"/>
      <c r="C376" s="311"/>
      <c r="D376" s="311"/>
      <c r="E376" s="311"/>
      <c r="F376" s="311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  <c r="AA376" s="311"/>
      <c r="AB376" s="311"/>
      <c r="AC376" s="311"/>
      <c r="AD376" s="311"/>
      <c r="AE376" s="311"/>
    </row>
    <row r="377" spans="1:31" ht="16" x14ac:dyDescent="0.2">
      <c r="A377" s="311"/>
      <c r="B377" s="311"/>
      <c r="C377" s="311"/>
      <c r="D377" s="311"/>
      <c r="E377" s="311"/>
      <c r="F377" s="311"/>
      <c r="G377" s="311"/>
      <c r="H377" s="311"/>
      <c r="I377" s="311"/>
      <c r="J377" s="311"/>
      <c r="K377" s="311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  <c r="AA377" s="311"/>
      <c r="AB377" s="311"/>
      <c r="AC377" s="311"/>
      <c r="AD377" s="311"/>
      <c r="AE377" s="311"/>
    </row>
    <row r="378" spans="1:31" ht="16" x14ac:dyDescent="0.2">
      <c r="A378" s="311"/>
      <c r="B378" s="311"/>
      <c r="C378" s="311"/>
      <c r="D378" s="311"/>
      <c r="E378" s="311"/>
      <c r="F378" s="311"/>
      <c r="G378" s="311"/>
      <c r="H378" s="311"/>
      <c r="I378" s="311"/>
      <c r="J378" s="311"/>
      <c r="K378" s="311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  <c r="AA378" s="311"/>
      <c r="AB378" s="311"/>
      <c r="AC378" s="311"/>
      <c r="AD378" s="311"/>
      <c r="AE378" s="311"/>
    </row>
    <row r="379" spans="1:31" ht="16" x14ac:dyDescent="0.2">
      <c r="A379" s="311"/>
      <c r="B379" s="311"/>
      <c r="C379" s="311"/>
      <c r="D379" s="311"/>
      <c r="E379" s="311"/>
      <c r="F379" s="311"/>
      <c r="G379" s="311"/>
      <c r="H379" s="311"/>
      <c r="I379" s="311"/>
      <c r="J379" s="311"/>
      <c r="K379" s="311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  <c r="AA379" s="311"/>
      <c r="AB379" s="311"/>
      <c r="AC379" s="311"/>
      <c r="AD379" s="311"/>
      <c r="AE379" s="311"/>
    </row>
    <row r="380" spans="1:31" ht="16" x14ac:dyDescent="0.2">
      <c r="A380" s="311"/>
      <c r="B380" s="311"/>
      <c r="C380" s="311"/>
      <c r="D380" s="311"/>
      <c r="E380" s="311"/>
      <c r="F380" s="311"/>
      <c r="G380" s="311"/>
      <c r="H380" s="311"/>
      <c r="I380" s="311"/>
      <c r="J380" s="311"/>
      <c r="K380" s="311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  <c r="AA380" s="311"/>
      <c r="AB380" s="311"/>
      <c r="AC380" s="311"/>
      <c r="AD380" s="311"/>
      <c r="AE380" s="311"/>
    </row>
    <row r="381" spans="1:31" ht="16" x14ac:dyDescent="0.2">
      <c r="A381" s="311"/>
      <c r="B381" s="311"/>
      <c r="C381" s="311"/>
      <c r="D381" s="311"/>
      <c r="E381" s="311"/>
      <c r="F381" s="311"/>
      <c r="G381" s="311"/>
      <c r="H381" s="311"/>
      <c r="I381" s="311"/>
      <c r="J381" s="311"/>
      <c r="K381" s="311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  <c r="AA381" s="311"/>
      <c r="AB381" s="311"/>
      <c r="AC381" s="311"/>
      <c r="AD381" s="311"/>
      <c r="AE381" s="311"/>
    </row>
    <row r="382" spans="1:31" ht="16" x14ac:dyDescent="0.2">
      <c r="A382" s="311"/>
      <c r="B382" s="311"/>
      <c r="C382" s="311"/>
      <c r="D382" s="311"/>
      <c r="E382" s="311"/>
      <c r="F382" s="311"/>
      <c r="G382" s="311"/>
      <c r="H382" s="311"/>
      <c r="I382" s="311"/>
      <c r="J382" s="311"/>
      <c r="K382" s="311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  <c r="AA382" s="311"/>
      <c r="AB382" s="311"/>
      <c r="AC382" s="311"/>
      <c r="AD382" s="311"/>
      <c r="AE382" s="311"/>
    </row>
    <row r="383" spans="1:31" ht="16" x14ac:dyDescent="0.2">
      <c r="A383" s="311"/>
      <c r="B383" s="311"/>
      <c r="C383" s="311"/>
      <c r="D383" s="311"/>
      <c r="E383" s="311"/>
      <c r="F383" s="311"/>
      <c r="G383" s="311"/>
      <c r="H383" s="311"/>
      <c r="I383" s="311"/>
      <c r="J383" s="311"/>
      <c r="K383" s="311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  <c r="AA383" s="311"/>
      <c r="AB383" s="311"/>
      <c r="AC383" s="311"/>
      <c r="AD383" s="311"/>
      <c r="AE383" s="311"/>
    </row>
    <row r="384" spans="1:31" ht="16" x14ac:dyDescent="0.2">
      <c r="A384" s="311"/>
      <c r="B384" s="311"/>
      <c r="C384" s="311"/>
      <c r="D384" s="311"/>
      <c r="E384" s="311"/>
      <c r="F384" s="311"/>
      <c r="G384" s="311"/>
      <c r="H384" s="311"/>
      <c r="I384" s="311"/>
      <c r="J384" s="311"/>
      <c r="K384" s="311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  <c r="AA384" s="311"/>
      <c r="AB384" s="311"/>
      <c r="AC384" s="311"/>
      <c r="AD384" s="311"/>
      <c r="AE384" s="311"/>
    </row>
    <row r="385" spans="1:31" ht="16" x14ac:dyDescent="0.2">
      <c r="A385" s="311"/>
      <c r="B385" s="311"/>
      <c r="C385" s="311"/>
      <c r="D385" s="311"/>
      <c r="E385" s="311"/>
      <c r="F385" s="311"/>
      <c r="G385" s="311"/>
      <c r="H385" s="311"/>
      <c r="I385" s="311"/>
      <c r="J385" s="311"/>
      <c r="K385" s="311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  <c r="AA385" s="311"/>
      <c r="AB385" s="311"/>
      <c r="AC385" s="311"/>
      <c r="AD385" s="311"/>
      <c r="AE385" s="311"/>
    </row>
    <row r="386" spans="1:31" ht="16" x14ac:dyDescent="0.2">
      <c r="A386" s="311"/>
      <c r="B386" s="311"/>
      <c r="C386" s="311"/>
      <c r="D386" s="311"/>
      <c r="E386" s="311"/>
      <c r="F386" s="311"/>
      <c r="G386" s="311"/>
      <c r="H386" s="311"/>
      <c r="I386" s="311"/>
      <c r="J386" s="311"/>
      <c r="K386" s="311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  <c r="AA386" s="311"/>
      <c r="AB386" s="311"/>
      <c r="AC386" s="311"/>
      <c r="AD386" s="311"/>
      <c r="AE386" s="311"/>
    </row>
    <row r="387" spans="1:31" ht="16" x14ac:dyDescent="0.2">
      <c r="A387" s="311"/>
      <c r="B387" s="311"/>
      <c r="C387" s="311"/>
      <c r="D387" s="311"/>
      <c r="E387" s="311"/>
      <c r="F387" s="311"/>
      <c r="G387" s="311"/>
      <c r="H387" s="311"/>
      <c r="I387" s="311"/>
      <c r="J387" s="311"/>
      <c r="K387" s="311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  <c r="AA387" s="311"/>
      <c r="AB387" s="311"/>
      <c r="AC387" s="311"/>
      <c r="AD387" s="311"/>
      <c r="AE387" s="311"/>
    </row>
    <row r="388" spans="1:31" ht="16" x14ac:dyDescent="0.2">
      <c r="A388" s="311"/>
      <c r="B388" s="311"/>
      <c r="C388" s="311"/>
      <c r="D388" s="311"/>
      <c r="E388" s="311"/>
      <c r="F388" s="311"/>
      <c r="G388" s="311"/>
      <c r="H388" s="311"/>
      <c r="I388" s="311"/>
      <c r="J388" s="311"/>
      <c r="K388" s="311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  <c r="AA388" s="311"/>
      <c r="AB388" s="311"/>
      <c r="AC388" s="311"/>
      <c r="AD388" s="311"/>
      <c r="AE388" s="311"/>
    </row>
    <row r="389" spans="1:31" ht="16" x14ac:dyDescent="0.2">
      <c r="A389" s="311"/>
      <c r="B389" s="311"/>
      <c r="C389" s="311"/>
      <c r="D389" s="311"/>
      <c r="E389" s="311"/>
      <c r="F389" s="311"/>
      <c r="G389" s="311"/>
      <c r="H389" s="311"/>
      <c r="I389" s="311"/>
      <c r="J389" s="311"/>
      <c r="K389" s="311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  <c r="AA389" s="311"/>
      <c r="AB389" s="311"/>
      <c r="AC389" s="311"/>
      <c r="AD389" s="311"/>
      <c r="AE389" s="311"/>
    </row>
    <row r="390" spans="1:31" ht="16" x14ac:dyDescent="0.2">
      <c r="A390" s="311"/>
      <c r="B390" s="311"/>
      <c r="C390" s="311"/>
      <c r="D390" s="311"/>
      <c r="E390" s="311"/>
      <c r="F390" s="311"/>
      <c r="G390" s="311"/>
      <c r="H390" s="311"/>
      <c r="I390" s="311"/>
      <c r="J390" s="311"/>
      <c r="K390" s="311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  <c r="AA390" s="311"/>
      <c r="AB390" s="311"/>
      <c r="AC390" s="311"/>
      <c r="AD390" s="311"/>
      <c r="AE390" s="311"/>
    </row>
    <row r="391" spans="1:31" ht="16" x14ac:dyDescent="0.2">
      <c r="A391" s="311"/>
      <c r="B391" s="311"/>
      <c r="C391" s="311"/>
      <c r="D391" s="311"/>
      <c r="E391" s="311"/>
      <c r="F391" s="311"/>
      <c r="G391" s="311"/>
      <c r="H391" s="311"/>
      <c r="I391" s="311"/>
      <c r="J391" s="311"/>
      <c r="K391" s="311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  <c r="AA391" s="311"/>
      <c r="AB391" s="311"/>
      <c r="AC391" s="311"/>
      <c r="AD391" s="311"/>
      <c r="AE391" s="311"/>
    </row>
    <row r="392" spans="1:31" ht="16" x14ac:dyDescent="0.2">
      <c r="A392" s="311"/>
      <c r="B392" s="311"/>
      <c r="C392" s="311"/>
      <c r="D392" s="311"/>
      <c r="E392" s="311"/>
      <c r="F392" s="311"/>
      <c r="G392" s="311"/>
      <c r="H392" s="311"/>
      <c r="I392" s="311"/>
      <c r="J392" s="311"/>
      <c r="K392" s="311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  <c r="AA392" s="311"/>
      <c r="AB392" s="311"/>
      <c r="AC392" s="311"/>
      <c r="AD392" s="311"/>
      <c r="AE392" s="311"/>
    </row>
    <row r="393" spans="1:31" ht="16" x14ac:dyDescent="0.2">
      <c r="A393" s="311"/>
      <c r="B393" s="311"/>
      <c r="C393" s="311"/>
      <c r="D393" s="311"/>
      <c r="E393" s="311"/>
      <c r="F393" s="311"/>
      <c r="G393" s="311"/>
      <c r="H393" s="311"/>
      <c r="I393" s="311"/>
      <c r="J393" s="311"/>
      <c r="K393" s="311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  <c r="AA393" s="311"/>
      <c r="AB393" s="311"/>
      <c r="AC393" s="311"/>
      <c r="AD393" s="311"/>
      <c r="AE393" s="311"/>
    </row>
    <row r="394" spans="1:31" ht="16" x14ac:dyDescent="0.2">
      <c r="A394" s="311"/>
      <c r="B394" s="311"/>
      <c r="C394" s="311"/>
      <c r="D394" s="311"/>
      <c r="E394" s="311"/>
      <c r="F394" s="311"/>
      <c r="G394" s="311"/>
      <c r="H394" s="311"/>
      <c r="I394" s="311"/>
      <c r="J394" s="311"/>
      <c r="K394" s="311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  <c r="AA394" s="311"/>
      <c r="AB394" s="311"/>
      <c r="AC394" s="311"/>
      <c r="AD394" s="311"/>
      <c r="AE394" s="311"/>
    </row>
    <row r="395" spans="1:31" ht="16" x14ac:dyDescent="0.2">
      <c r="A395" s="311"/>
      <c r="B395" s="311"/>
      <c r="C395" s="311"/>
      <c r="D395" s="311"/>
      <c r="E395" s="311"/>
      <c r="F395" s="311"/>
      <c r="G395" s="311"/>
      <c r="H395" s="311"/>
      <c r="I395" s="311"/>
      <c r="J395" s="311"/>
      <c r="K395" s="311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  <c r="AA395" s="311"/>
      <c r="AB395" s="311"/>
      <c r="AC395" s="311"/>
      <c r="AD395" s="311"/>
      <c r="AE395" s="311"/>
    </row>
    <row r="396" spans="1:31" ht="16" x14ac:dyDescent="0.2">
      <c r="A396" s="31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  <c r="AA396" s="311"/>
      <c r="AB396" s="311"/>
      <c r="AC396" s="311"/>
      <c r="AD396" s="311"/>
      <c r="AE396" s="311"/>
    </row>
    <row r="397" spans="1:31" ht="16" x14ac:dyDescent="0.2">
      <c r="A397" s="311"/>
      <c r="B397" s="311"/>
      <c r="C397" s="311"/>
      <c r="D397" s="311"/>
      <c r="E397" s="311"/>
      <c r="F397" s="311"/>
      <c r="G397" s="311"/>
      <c r="H397" s="311"/>
      <c r="I397" s="311"/>
      <c r="J397" s="311"/>
      <c r="K397" s="311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  <c r="AA397" s="311"/>
      <c r="AB397" s="311"/>
      <c r="AC397" s="311"/>
      <c r="AD397" s="311"/>
      <c r="AE397" s="311"/>
    </row>
    <row r="398" spans="1:31" ht="16" x14ac:dyDescent="0.2">
      <c r="A398" s="311"/>
      <c r="B398" s="311"/>
      <c r="C398" s="311"/>
      <c r="D398" s="311"/>
      <c r="E398" s="311"/>
      <c r="F398" s="311"/>
      <c r="G398" s="311"/>
      <c r="H398" s="311"/>
      <c r="I398" s="311"/>
      <c r="J398" s="311"/>
      <c r="K398" s="311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  <c r="AA398" s="311"/>
      <c r="AB398" s="311"/>
      <c r="AC398" s="311"/>
      <c r="AD398" s="311"/>
      <c r="AE398" s="311"/>
    </row>
    <row r="399" spans="1:31" ht="16" x14ac:dyDescent="0.2">
      <c r="A399" s="311"/>
      <c r="B399" s="311"/>
      <c r="C399" s="311"/>
      <c r="D399" s="311"/>
      <c r="E399" s="311"/>
      <c r="F399" s="311"/>
      <c r="G399" s="311"/>
      <c r="H399" s="311"/>
      <c r="I399" s="311"/>
      <c r="J399" s="311"/>
      <c r="K399" s="311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  <c r="AA399" s="311"/>
      <c r="AB399" s="311"/>
      <c r="AC399" s="311"/>
      <c r="AD399" s="311"/>
      <c r="AE399" s="311"/>
    </row>
    <row r="400" spans="1:31" ht="16" x14ac:dyDescent="0.2">
      <c r="A400" s="311"/>
      <c r="B400" s="311"/>
      <c r="C400" s="311"/>
      <c r="D400" s="311"/>
      <c r="E400" s="311"/>
      <c r="F400" s="311"/>
      <c r="G400" s="311"/>
      <c r="H400" s="311"/>
      <c r="I400" s="311"/>
      <c r="J400" s="311"/>
      <c r="K400" s="311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  <c r="AA400" s="311"/>
      <c r="AB400" s="311"/>
      <c r="AC400" s="311"/>
      <c r="AD400" s="311"/>
      <c r="AE400" s="311"/>
    </row>
    <row r="401" spans="1:31" ht="16" x14ac:dyDescent="0.2">
      <c r="A401" s="311"/>
      <c r="B401" s="311"/>
      <c r="C401" s="311"/>
      <c r="D401" s="311"/>
      <c r="E401" s="311"/>
      <c r="F401" s="311"/>
      <c r="G401" s="311"/>
      <c r="H401" s="311"/>
      <c r="I401" s="311"/>
      <c r="J401" s="311"/>
      <c r="K401" s="311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  <c r="AA401" s="311"/>
      <c r="AB401" s="311"/>
      <c r="AC401" s="311"/>
      <c r="AD401" s="311"/>
      <c r="AE401" s="311"/>
    </row>
    <row r="402" spans="1:31" ht="16" x14ac:dyDescent="0.2">
      <c r="A402" s="311"/>
      <c r="B402" s="311"/>
      <c r="C402" s="311"/>
      <c r="D402" s="311"/>
      <c r="E402" s="311"/>
      <c r="F402" s="311"/>
      <c r="G402" s="311"/>
      <c r="H402" s="311"/>
      <c r="I402" s="311"/>
      <c r="J402" s="311"/>
      <c r="K402" s="311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  <c r="AA402" s="311"/>
      <c r="AB402" s="311"/>
      <c r="AC402" s="311"/>
      <c r="AD402" s="311"/>
      <c r="AE402" s="311"/>
    </row>
    <row r="403" spans="1:31" ht="16" x14ac:dyDescent="0.2">
      <c r="A403" s="311"/>
      <c r="B403" s="311"/>
      <c r="C403" s="311"/>
      <c r="D403" s="311"/>
      <c r="E403" s="311"/>
      <c r="F403" s="311"/>
      <c r="G403" s="311"/>
      <c r="H403" s="311"/>
      <c r="I403" s="311"/>
      <c r="J403" s="311"/>
      <c r="K403" s="311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  <c r="AA403" s="311"/>
      <c r="AB403" s="311"/>
      <c r="AC403" s="311"/>
      <c r="AD403" s="311"/>
      <c r="AE403" s="311"/>
    </row>
    <row r="404" spans="1:31" ht="16" x14ac:dyDescent="0.2">
      <c r="A404" s="311"/>
      <c r="B404" s="311"/>
      <c r="C404" s="311"/>
      <c r="D404" s="311"/>
      <c r="E404" s="311"/>
      <c r="F404" s="311"/>
      <c r="G404" s="311"/>
      <c r="H404" s="311"/>
      <c r="I404" s="311"/>
      <c r="J404" s="311"/>
      <c r="K404" s="311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  <c r="AA404" s="311"/>
      <c r="AB404" s="311"/>
      <c r="AC404" s="311"/>
      <c r="AD404" s="311"/>
      <c r="AE404" s="311"/>
    </row>
    <row r="405" spans="1:31" ht="16" x14ac:dyDescent="0.2">
      <c r="A405" s="311"/>
      <c r="B405" s="311"/>
      <c r="C405" s="311"/>
      <c r="D405" s="311"/>
      <c r="E405" s="311"/>
      <c r="F405" s="311"/>
      <c r="G405" s="311"/>
      <c r="H405" s="311"/>
      <c r="I405" s="311"/>
      <c r="J405" s="311"/>
      <c r="K405" s="311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  <c r="AA405" s="311"/>
      <c r="AB405" s="311"/>
      <c r="AC405" s="311"/>
      <c r="AD405" s="311"/>
      <c r="AE405" s="311"/>
    </row>
    <row r="406" spans="1:31" ht="16" x14ac:dyDescent="0.2">
      <c r="A406" s="311"/>
      <c r="B406" s="311"/>
      <c r="C406" s="311"/>
      <c r="D406" s="311"/>
      <c r="E406" s="311"/>
      <c r="F406" s="311"/>
      <c r="G406" s="311"/>
      <c r="H406" s="311"/>
      <c r="I406" s="311"/>
      <c r="J406" s="311"/>
      <c r="K406" s="311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  <c r="AA406" s="311"/>
      <c r="AB406" s="311"/>
      <c r="AC406" s="311"/>
      <c r="AD406" s="311"/>
      <c r="AE406" s="311"/>
    </row>
    <row r="407" spans="1:31" ht="16" x14ac:dyDescent="0.2">
      <c r="A407" s="311"/>
      <c r="B407" s="311"/>
      <c r="C407" s="311"/>
      <c r="D407" s="311"/>
      <c r="E407" s="311"/>
      <c r="F407" s="311"/>
      <c r="G407" s="311"/>
      <c r="H407" s="311"/>
      <c r="I407" s="311"/>
      <c r="J407" s="311"/>
      <c r="K407" s="311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  <c r="AA407" s="311"/>
      <c r="AB407" s="311"/>
      <c r="AC407" s="311"/>
      <c r="AD407" s="311"/>
      <c r="AE407" s="311"/>
    </row>
    <row r="408" spans="1:31" ht="16" x14ac:dyDescent="0.2">
      <c r="A408" s="311"/>
      <c r="B408" s="311"/>
      <c r="C408" s="311"/>
      <c r="D408" s="311"/>
      <c r="E408" s="311"/>
      <c r="F408" s="311"/>
      <c r="G408" s="311"/>
      <c r="H408" s="311"/>
      <c r="I408" s="311"/>
      <c r="J408" s="311"/>
      <c r="K408" s="311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  <c r="AA408" s="311"/>
      <c r="AB408" s="311"/>
      <c r="AC408" s="311"/>
      <c r="AD408" s="311"/>
      <c r="AE408" s="311"/>
    </row>
    <row r="409" spans="1:31" ht="16" x14ac:dyDescent="0.2">
      <c r="A409" s="311"/>
      <c r="B409" s="311"/>
      <c r="C409" s="311"/>
      <c r="D409" s="311"/>
      <c r="E409" s="311"/>
      <c r="F409" s="311"/>
      <c r="G409" s="311"/>
      <c r="H409" s="311"/>
      <c r="I409" s="311"/>
      <c r="J409" s="311"/>
      <c r="K409" s="311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  <c r="AA409" s="311"/>
      <c r="AB409" s="311"/>
      <c r="AC409" s="311"/>
      <c r="AD409" s="311"/>
      <c r="AE409" s="311"/>
    </row>
    <row r="410" spans="1:31" ht="16" x14ac:dyDescent="0.2">
      <c r="A410" s="311"/>
      <c r="B410" s="311"/>
      <c r="C410" s="311"/>
      <c r="D410" s="311"/>
      <c r="E410" s="311"/>
      <c r="F410" s="311"/>
      <c r="G410" s="311"/>
      <c r="H410" s="311"/>
      <c r="I410" s="311"/>
      <c r="J410" s="311"/>
      <c r="K410" s="311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  <c r="AA410" s="311"/>
      <c r="AB410" s="311"/>
      <c r="AC410" s="311"/>
      <c r="AD410" s="311"/>
      <c r="AE410" s="311"/>
    </row>
    <row r="411" spans="1:31" ht="16" x14ac:dyDescent="0.2">
      <c r="A411" s="311"/>
      <c r="B411" s="311"/>
      <c r="C411" s="311"/>
      <c r="D411" s="311"/>
      <c r="E411" s="311"/>
      <c r="F411" s="311"/>
      <c r="G411" s="311"/>
      <c r="H411" s="311"/>
      <c r="I411" s="311"/>
      <c r="J411" s="311"/>
      <c r="K411" s="311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  <c r="AA411" s="311"/>
      <c r="AB411" s="311"/>
      <c r="AC411" s="311"/>
      <c r="AD411" s="311"/>
      <c r="AE411" s="311"/>
    </row>
    <row r="412" spans="1:31" ht="16" x14ac:dyDescent="0.2">
      <c r="A412" s="311"/>
      <c r="B412" s="311"/>
      <c r="C412" s="311"/>
      <c r="D412" s="311"/>
      <c r="E412" s="311"/>
      <c r="F412" s="311"/>
      <c r="G412" s="311"/>
      <c r="H412" s="311"/>
      <c r="I412" s="311"/>
      <c r="J412" s="311"/>
      <c r="K412" s="311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  <c r="AA412" s="311"/>
      <c r="AB412" s="311"/>
      <c r="AC412" s="311"/>
      <c r="AD412" s="311"/>
      <c r="AE412" s="311"/>
    </row>
    <row r="413" spans="1:31" ht="16" x14ac:dyDescent="0.2">
      <c r="A413" s="311"/>
      <c r="B413" s="311"/>
      <c r="C413" s="311"/>
      <c r="D413" s="311"/>
      <c r="E413" s="311"/>
      <c r="F413" s="311"/>
      <c r="G413" s="311"/>
      <c r="H413" s="311"/>
      <c r="I413" s="311"/>
      <c r="J413" s="311"/>
      <c r="K413" s="311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  <c r="AA413" s="311"/>
      <c r="AB413" s="311"/>
      <c r="AC413" s="311"/>
      <c r="AD413" s="311"/>
      <c r="AE413" s="311"/>
    </row>
    <row r="414" spans="1:31" ht="16" x14ac:dyDescent="0.2">
      <c r="A414" s="311"/>
      <c r="B414" s="311"/>
      <c r="C414" s="311"/>
      <c r="D414" s="311"/>
      <c r="E414" s="311"/>
      <c r="F414" s="311"/>
      <c r="G414" s="311"/>
      <c r="H414" s="311"/>
      <c r="I414" s="311"/>
      <c r="J414" s="311"/>
      <c r="K414" s="311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  <c r="AA414" s="311"/>
      <c r="AB414" s="311"/>
      <c r="AC414" s="311"/>
      <c r="AD414" s="311"/>
      <c r="AE414" s="311"/>
    </row>
    <row r="415" spans="1:31" ht="16" x14ac:dyDescent="0.2">
      <c r="A415" s="311"/>
      <c r="B415" s="311"/>
      <c r="C415" s="311"/>
      <c r="D415" s="311"/>
      <c r="E415" s="311"/>
      <c r="F415" s="311"/>
      <c r="G415" s="311"/>
      <c r="H415" s="311"/>
      <c r="I415" s="311"/>
      <c r="J415" s="311"/>
      <c r="K415" s="311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  <c r="AA415" s="311"/>
      <c r="AB415" s="311"/>
      <c r="AC415" s="311"/>
      <c r="AD415" s="311"/>
      <c r="AE415" s="311"/>
    </row>
    <row r="416" spans="1:31" ht="16" x14ac:dyDescent="0.2">
      <c r="A416" s="311"/>
      <c r="B416" s="311"/>
      <c r="C416" s="311"/>
      <c r="D416" s="311"/>
      <c r="E416" s="311"/>
      <c r="F416" s="311"/>
      <c r="G416" s="311"/>
      <c r="H416" s="311"/>
      <c r="I416" s="311"/>
      <c r="J416" s="311"/>
      <c r="K416" s="311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  <c r="AA416" s="311"/>
      <c r="AB416" s="311"/>
      <c r="AC416" s="311"/>
      <c r="AD416" s="311"/>
      <c r="AE416" s="311"/>
    </row>
    <row r="417" spans="1:31" ht="16" x14ac:dyDescent="0.2">
      <c r="A417" s="311"/>
      <c r="B417" s="311"/>
      <c r="C417" s="311"/>
      <c r="D417" s="311"/>
      <c r="E417" s="311"/>
      <c r="F417" s="311"/>
      <c r="G417" s="311"/>
      <c r="H417" s="311"/>
      <c r="I417" s="311"/>
      <c r="J417" s="311"/>
      <c r="K417" s="311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  <c r="AA417" s="311"/>
      <c r="AB417" s="311"/>
      <c r="AC417" s="311"/>
      <c r="AD417" s="311"/>
      <c r="AE417" s="311"/>
    </row>
    <row r="418" spans="1:31" ht="16" x14ac:dyDescent="0.2">
      <c r="A418" s="311"/>
      <c r="B418" s="311"/>
      <c r="C418" s="311"/>
      <c r="D418" s="311"/>
      <c r="E418" s="311"/>
      <c r="F418" s="311"/>
      <c r="G418" s="311"/>
      <c r="H418" s="311"/>
      <c r="I418" s="311"/>
      <c r="J418" s="311"/>
      <c r="K418" s="311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  <c r="AA418" s="311"/>
      <c r="AB418" s="311"/>
      <c r="AC418" s="311"/>
      <c r="AD418" s="311"/>
      <c r="AE418" s="311"/>
    </row>
    <row r="419" spans="1:31" ht="16" x14ac:dyDescent="0.2">
      <c r="A419" s="311"/>
      <c r="B419" s="311"/>
      <c r="C419" s="311"/>
      <c r="D419" s="311"/>
      <c r="E419" s="311"/>
      <c r="F419" s="311"/>
      <c r="G419" s="311"/>
      <c r="H419" s="311"/>
      <c r="I419" s="311"/>
      <c r="J419" s="311"/>
      <c r="K419" s="311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  <c r="AA419" s="311"/>
      <c r="AB419" s="311"/>
      <c r="AC419" s="311"/>
      <c r="AD419" s="311"/>
      <c r="AE419" s="311"/>
    </row>
    <row r="420" spans="1:31" ht="16" x14ac:dyDescent="0.2">
      <c r="A420" s="311"/>
      <c r="B420" s="311"/>
      <c r="C420" s="311"/>
      <c r="D420" s="311"/>
      <c r="E420" s="311"/>
      <c r="F420" s="311"/>
      <c r="G420" s="311"/>
      <c r="H420" s="311"/>
      <c r="I420" s="311"/>
      <c r="J420" s="311"/>
      <c r="K420" s="311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  <c r="AA420" s="311"/>
      <c r="AB420" s="311"/>
      <c r="AC420" s="311"/>
      <c r="AD420" s="311"/>
      <c r="AE420" s="311"/>
    </row>
    <row r="421" spans="1:31" ht="16" x14ac:dyDescent="0.2">
      <c r="A421" s="311"/>
      <c r="B421" s="311"/>
      <c r="C421" s="311"/>
      <c r="D421" s="311"/>
      <c r="E421" s="311"/>
      <c r="F421" s="311"/>
      <c r="G421" s="311"/>
      <c r="H421" s="311"/>
      <c r="I421" s="311"/>
      <c r="J421" s="311"/>
      <c r="K421" s="311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  <c r="AA421" s="311"/>
      <c r="AB421" s="311"/>
      <c r="AC421" s="311"/>
      <c r="AD421" s="311"/>
      <c r="AE421" s="311"/>
    </row>
    <row r="422" spans="1:31" ht="16" x14ac:dyDescent="0.2">
      <c r="A422" s="311"/>
      <c r="B422" s="311"/>
      <c r="C422" s="311"/>
      <c r="D422" s="311"/>
      <c r="E422" s="311"/>
      <c r="F422" s="311"/>
      <c r="G422" s="311"/>
      <c r="H422" s="311"/>
      <c r="I422" s="311"/>
      <c r="J422" s="311"/>
      <c r="K422" s="311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  <c r="AA422" s="311"/>
      <c r="AB422" s="311"/>
      <c r="AC422" s="311"/>
      <c r="AD422" s="311"/>
      <c r="AE422" s="311"/>
    </row>
    <row r="423" spans="1:31" ht="16" x14ac:dyDescent="0.2">
      <c r="A423" s="311"/>
      <c r="B423" s="311"/>
      <c r="C423" s="311"/>
      <c r="D423" s="311"/>
      <c r="E423" s="311"/>
      <c r="F423" s="311"/>
      <c r="G423" s="311"/>
      <c r="H423" s="311"/>
      <c r="I423" s="311"/>
      <c r="J423" s="311"/>
      <c r="K423" s="311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  <c r="AA423" s="311"/>
      <c r="AB423" s="311"/>
      <c r="AC423" s="311"/>
      <c r="AD423" s="311"/>
      <c r="AE423" s="311"/>
    </row>
    <row r="424" spans="1:31" ht="16" x14ac:dyDescent="0.2">
      <c r="A424" s="311"/>
      <c r="B424" s="311"/>
      <c r="C424" s="311"/>
      <c r="D424" s="311"/>
      <c r="E424" s="311"/>
      <c r="F424" s="311"/>
      <c r="G424" s="311"/>
      <c r="H424" s="311"/>
      <c r="I424" s="311"/>
      <c r="J424" s="311"/>
      <c r="K424" s="311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  <c r="AA424" s="311"/>
      <c r="AB424" s="311"/>
      <c r="AC424" s="311"/>
      <c r="AD424" s="311"/>
      <c r="AE424" s="311"/>
    </row>
    <row r="425" spans="1:31" ht="16" x14ac:dyDescent="0.2">
      <c r="A425" s="311"/>
      <c r="B425" s="311"/>
      <c r="C425" s="311"/>
      <c r="D425" s="311"/>
      <c r="E425" s="311"/>
      <c r="F425" s="311"/>
      <c r="G425" s="311"/>
      <c r="H425" s="311"/>
      <c r="I425" s="311"/>
      <c r="J425" s="311"/>
      <c r="K425" s="311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  <c r="AA425" s="311"/>
      <c r="AB425" s="311"/>
      <c r="AC425" s="311"/>
      <c r="AD425" s="311"/>
      <c r="AE425" s="311"/>
    </row>
    <row r="426" spans="1:31" ht="16" x14ac:dyDescent="0.2">
      <c r="A426" s="311"/>
      <c r="B426" s="311"/>
      <c r="C426" s="311"/>
      <c r="D426" s="311"/>
      <c r="E426" s="311"/>
      <c r="F426" s="311"/>
      <c r="G426" s="311"/>
      <c r="H426" s="311"/>
      <c r="I426" s="311"/>
      <c r="J426" s="311"/>
      <c r="K426" s="311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  <c r="AA426" s="311"/>
      <c r="AB426" s="311"/>
      <c r="AC426" s="311"/>
      <c r="AD426" s="311"/>
      <c r="AE426" s="311"/>
    </row>
    <row r="427" spans="1:31" ht="16" x14ac:dyDescent="0.2">
      <c r="A427" s="311"/>
      <c r="B427" s="311"/>
      <c r="C427" s="311"/>
      <c r="D427" s="311"/>
      <c r="E427" s="311"/>
      <c r="F427" s="311"/>
      <c r="G427" s="311"/>
      <c r="H427" s="311"/>
      <c r="I427" s="311"/>
      <c r="J427" s="311"/>
      <c r="K427" s="311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  <c r="AA427" s="311"/>
      <c r="AB427" s="311"/>
      <c r="AC427" s="311"/>
      <c r="AD427" s="311"/>
      <c r="AE427" s="311"/>
    </row>
    <row r="428" spans="1:31" ht="16" x14ac:dyDescent="0.2">
      <c r="A428" s="311"/>
      <c r="B428" s="311"/>
      <c r="C428" s="311"/>
      <c r="D428" s="311"/>
      <c r="E428" s="311"/>
      <c r="F428" s="311"/>
      <c r="G428" s="311"/>
      <c r="H428" s="311"/>
      <c r="I428" s="311"/>
      <c r="J428" s="311"/>
      <c r="K428" s="311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  <c r="AA428" s="311"/>
      <c r="AB428" s="311"/>
      <c r="AC428" s="311"/>
      <c r="AD428" s="311"/>
      <c r="AE428" s="311"/>
    </row>
    <row r="429" spans="1:31" ht="16" x14ac:dyDescent="0.2">
      <c r="A429" s="311"/>
      <c r="B429" s="311"/>
      <c r="C429" s="311"/>
      <c r="D429" s="311"/>
      <c r="E429" s="311"/>
      <c r="F429" s="311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  <c r="AA429" s="311"/>
      <c r="AB429" s="311"/>
      <c r="AC429" s="311"/>
      <c r="AD429" s="311"/>
      <c r="AE429" s="311"/>
    </row>
    <row r="430" spans="1:31" ht="16" x14ac:dyDescent="0.2">
      <c r="A430" s="311"/>
      <c r="B430" s="311"/>
      <c r="C430" s="311"/>
      <c r="D430" s="311"/>
      <c r="E430" s="311"/>
      <c r="F430" s="311"/>
      <c r="G430" s="311"/>
      <c r="H430" s="311"/>
      <c r="I430" s="311"/>
      <c r="J430" s="311"/>
      <c r="K430" s="311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  <c r="AA430" s="311"/>
      <c r="AB430" s="311"/>
      <c r="AC430" s="311"/>
      <c r="AD430" s="311"/>
      <c r="AE430" s="311"/>
    </row>
    <row r="431" spans="1:31" ht="16" x14ac:dyDescent="0.2">
      <c r="A431" s="311"/>
      <c r="B431" s="311"/>
      <c r="C431" s="311"/>
      <c r="D431" s="311"/>
      <c r="E431" s="311"/>
      <c r="F431" s="311"/>
      <c r="G431" s="311"/>
      <c r="H431" s="311"/>
      <c r="I431" s="311"/>
      <c r="J431" s="311"/>
      <c r="K431" s="311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  <c r="AA431" s="311"/>
      <c r="AB431" s="311"/>
      <c r="AC431" s="311"/>
      <c r="AD431" s="311"/>
      <c r="AE431" s="311"/>
    </row>
    <row r="432" spans="1:31" ht="16" x14ac:dyDescent="0.2">
      <c r="A432" s="311"/>
      <c r="B432" s="311"/>
      <c r="C432" s="311"/>
      <c r="D432" s="311"/>
      <c r="E432" s="311"/>
      <c r="F432" s="311"/>
      <c r="G432" s="311"/>
      <c r="H432" s="311"/>
      <c r="I432" s="311"/>
      <c r="J432" s="311"/>
      <c r="K432" s="311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  <c r="AA432" s="311"/>
      <c r="AB432" s="311"/>
      <c r="AC432" s="311"/>
      <c r="AD432" s="311"/>
      <c r="AE432" s="311"/>
    </row>
    <row r="433" spans="1:31" ht="16" x14ac:dyDescent="0.2">
      <c r="A433" s="311"/>
      <c r="B433" s="311"/>
      <c r="C433" s="311"/>
      <c r="D433" s="311"/>
      <c r="E433" s="311"/>
      <c r="F433" s="311"/>
      <c r="G433" s="311"/>
      <c r="H433" s="311"/>
      <c r="I433" s="311"/>
      <c r="J433" s="311"/>
      <c r="K433" s="311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  <c r="AA433" s="311"/>
      <c r="AB433" s="311"/>
      <c r="AC433" s="311"/>
      <c r="AD433" s="311"/>
      <c r="AE433" s="311"/>
    </row>
    <row r="434" spans="1:31" ht="16" x14ac:dyDescent="0.2">
      <c r="A434" s="311"/>
      <c r="B434" s="311"/>
      <c r="C434" s="311"/>
      <c r="D434" s="311"/>
      <c r="E434" s="311"/>
      <c r="F434" s="311"/>
      <c r="G434" s="311"/>
      <c r="H434" s="311"/>
      <c r="I434" s="311"/>
      <c r="J434" s="311"/>
      <c r="K434" s="311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  <c r="AA434" s="311"/>
      <c r="AB434" s="311"/>
      <c r="AC434" s="311"/>
      <c r="AD434" s="311"/>
      <c r="AE434" s="311"/>
    </row>
    <row r="435" spans="1:31" ht="16" x14ac:dyDescent="0.2">
      <c r="A435" s="311"/>
      <c r="B435" s="311"/>
      <c r="C435" s="311"/>
      <c r="D435" s="311"/>
      <c r="E435" s="311"/>
      <c r="F435" s="311"/>
      <c r="G435" s="311"/>
      <c r="H435" s="311"/>
      <c r="I435" s="311"/>
      <c r="J435" s="311"/>
      <c r="K435" s="311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  <c r="AA435" s="311"/>
      <c r="AB435" s="311"/>
      <c r="AC435" s="311"/>
      <c r="AD435" s="311"/>
      <c r="AE435" s="311"/>
    </row>
    <row r="436" spans="1:31" ht="16" x14ac:dyDescent="0.2">
      <c r="A436" s="311"/>
      <c r="B436" s="311"/>
      <c r="C436" s="311"/>
      <c r="D436" s="311"/>
      <c r="E436" s="311"/>
      <c r="F436" s="311"/>
      <c r="G436" s="311"/>
      <c r="H436" s="311"/>
      <c r="I436" s="311"/>
      <c r="J436" s="311"/>
      <c r="K436" s="311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  <c r="AA436" s="311"/>
      <c r="AB436" s="311"/>
      <c r="AC436" s="311"/>
      <c r="AD436" s="311"/>
      <c r="AE436" s="311"/>
    </row>
    <row r="437" spans="1:31" ht="16" x14ac:dyDescent="0.2">
      <c r="A437" s="311"/>
      <c r="B437" s="311"/>
      <c r="C437" s="311"/>
      <c r="D437" s="311"/>
      <c r="E437" s="311"/>
      <c r="F437" s="311"/>
      <c r="G437" s="311"/>
      <c r="H437" s="311"/>
      <c r="I437" s="311"/>
      <c r="J437" s="311"/>
      <c r="K437" s="311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  <c r="AA437" s="311"/>
      <c r="AB437" s="311"/>
      <c r="AC437" s="311"/>
      <c r="AD437" s="311"/>
      <c r="AE437" s="311"/>
    </row>
    <row r="438" spans="1:31" ht="16" x14ac:dyDescent="0.2">
      <c r="A438" s="311"/>
      <c r="B438" s="311"/>
      <c r="C438" s="311"/>
      <c r="D438" s="311"/>
      <c r="E438" s="311"/>
      <c r="F438" s="311"/>
      <c r="G438" s="311"/>
      <c r="H438" s="311"/>
      <c r="I438" s="311"/>
      <c r="J438" s="311"/>
      <c r="K438" s="311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  <c r="AA438" s="311"/>
      <c r="AB438" s="311"/>
      <c r="AC438" s="311"/>
      <c r="AD438" s="311"/>
      <c r="AE438" s="311"/>
    </row>
    <row r="439" spans="1:31" ht="16" x14ac:dyDescent="0.2">
      <c r="A439" s="311"/>
      <c r="B439" s="311"/>
      <c r="C439" s="311"/>
      <c r="D439" s="311"/>
      <c r="E439" s="311"/>
      <c r="F439" s="311"/>
      <c r="G439" s="311"/>
      <c r="H439" s="311"/>
      <c r="I439" s="311"/>
      <c r="J439" s="311"/>
      <c r="K439" s="311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  <c r="AA439" s="311"/>
      <c r="AB439" s="311"/>
      <c r="AC439" s="311"/>
      <c r="AD439" s="311"/>
      <c r="AE439" s="311"/>
    </row>
    <row r="440" spans="1:31" ht="16" x14ac:dyDescent="0.2">
      <c r="A440" s="311"/>
      <c r="B440" s="311"/>
      <c r="C440" s="311"/>
      <c r="D440" s="311"/>
      <c r="E440" s="311"/>
      <c r="F440" s="311"/>
      <c r="G440" s="311"/>
      <c r="H440" s="311"/>
      <c r="I440" s="311"/>
      <c r="J440" s="311"/>
      <c r="K440" s="311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  <c r="AA440" s="311"/>
      <c r="AB440" s="311"/>
      <c r="AC440" s="311"/>
      <c r="AD440" s="311"/>
      <c r="AE440" s="311"/>
    </row>
    <row r="441" spans="1:31" ht="16" x14ac:dyDescent="0.2">
      <c r="A441" s="311"/>
      <c r="B441" s="311"/>
      <c r="C441" s="311"/>
      <c r="D441" s="311"/>
      <c r="E441" s="311"/>
      <c r="F441" s="311"/>
      <c r="G441" s="311"/>
      <c r="H441" s="311"/>
      <c r="I441" s="311"/>
      <c r="J441" s="311"/>
      <c r="K441" s="311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  <c r="AA441" s="311"/>
      <c r="AB441" s="311"/>
      <c r="AC441" s="311"/>
      <c r="AD441" s="311"/>
      <c r="AE441" s="311"/>
    </row>
    <row r="442" spans="1:31" ht="16" x14ac:dyDescent="0.2">
      <c r="A442" s="311"/>
      <c r="B442" s="311"/>
      <c r="C442" s="311"/>
      <c r="D442" s="311"/>
      <c r="E442" s="311"/>
      <c r="F442" s="311"/>
      <c r="G442" s="311"/>
      <c r="H442" s="311"/>
      <c r="I442" s="311"/>
      <c r="J442" s="311"/>
      <c r="K442" s="311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  <c r="AA442" s="311"/>
      <c r="AB442" s="311"/>
      <c r="AC442" s="311"/>
      <c r="AD442" s="311"/>
      <c r="AE442" s="311"/>
    </row>
    <row r="443" spans="1:31" ht="16" x14ac:dyDescent="0.2">
      <c r="A443" s="311"/>
      <c r="B443" s="311"/>
      <c r="C443" s="311"/>
      <c r="D443" s="311"/>
      <c r="E443" s="311"/>
      <c r="F443" s="311"/>
      <c r="G443" s="311"/>
      <c r="H443" s="311"/>
      <c r="I443" s="311"/>
      <c r="J443" s="311"/>
      <c r="K443" s="311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  <c r="AA443" s="311"/>
      <c r="AB443" s="311"/>
      <c r="AC443" s="311"/>
      <c r="AD443" s="311"/>
      <c r="AE443" s="311"/>
    </row>
    <row r="444" spans="1:31" ht="16" x14ac:dyDescent="0.2">
      <c r="A444" s="311"/>
      <c r="B444" s="311"/>
      <c r="C444" s="311"/>
      <c r="D444" s="311"/>
      <c r="E444" s="311"/>
      <c r="F444" s="311"/>
      <c r="G444" s="311"/>
      <c r="H444" s="311"/>
      <c r="I444" s="311"/>
      <c r="J444" s="311"/>
      <c r="K444" s="311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  <c r="AA444" s="311"/>
      <c r="AB444" s="311"/>
      <c r="AC444" s="311"/>
      <c r="AD444" s="311"/>
      <c r="AE444" s="311"/>
    </row>
    <row r="445" spans="1:31" ht="16" x14ac:dyDescent="0.2">
      <c r="A445" s="311"/>
      <c r="B445" s="311"/>
      <c r="C445" s="311"/>
      <c r="D445" s="311"/>
      <c r="E445" s="311"/>
      <c r="F445" s="311"/>
      <c r="G445" s="311"/>
      <c r="H445" s="311"/>
      <c r="I445" s="311"/>
      <c r="J445" s="311"/>
      <c r="K445" s="311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  <c r="AA445" s="311"/>
      <c r="AB445" s="311"/>
      <c r="AC445" s="311"/>
      <c r="AD445" s="311"/>
      <c r="AE445" s="311"/>
    </row>
    <row r="446" spans="1:31" ht="16" x14ac:dyDescent="0.2">
      <c r="A446" s="311"/>
      <c r="B446" s="311"/>
      <c r="C446" s="311"/>
      <c r="D446" s="311"/>
      <c r="E446" s="311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  <c r="AA446" s="311"/>
      <c r="AB446" s="311"/>
      <c r="AC446" s="311"/>
      <c r="AD446" s="311"/>
      <c r="AE446" s="311"/>
    </row>
    <row r="447" spans="1:31" ht="16" x14ac:dyDescent="0.2">
      <c r="A447" s="311"/>
      <c r="B447" s="311"/>
      <c r="C447" s="311"/>
      <c r="D447" s="311"/>
      <c r="E447" s="311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  <c r="AA447" s="311"/>
      <c r="AB447" s="311"/>
      <c r="AC447" s="311"/>
      <c r="AD447" s="311"/>
      <c r="AE447" s="311"/>
    </row>
    <row r="448" spans="1:31" ht="16" x14ac:dyDescent="0.2">
      <c r="A448" s="311"/>
      <c r="B448" s="311"/>
      <c r="C448" s="311"/>
      <c r="D448" s="311"/>
      <c r="E448" s="311"/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  <c r="AA448" s="311"/>
      <c r="AB448" s="311"/>
      <c r="AC448" s="311"/>
      <c r="AD448" s="311"/>
      <c r="AE448" s="311"/>
    </row>
    <row r="449" spans="1:31" ht="16" x14ac:dyDescent="0.2">
      <c r="A449" s="311"/>
      <c r="B449" s="311"/>
      <c r="C449" s="311"/>
      <c r="D449" s="311"/>
      <c r="E449" s="311"/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  <c r="AA449" s="311"/>
      <c r="AB449" s="311"/>
      <c r="AC449" s="311"/>
      <c r="AD449" s="311"/>
      <c r="AE449" s="311"/>
    </row>
    <row r="450" spans="1:31" ht="16" x14ac:dyDescent="0.2">
      <c r="A450" s="311"/>
      <c r="B450" s="311"/>
      <c r="C450" s="311"/>
      <c r="D450" s="311"/>
      <c r="E450" s="311"/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  <c r="AA450" s="311"/>
      <c r="AB450" s="311"/>
      <c r="AC450" s="311"/>
      <c r="AD450" s="311"/>
      <c r="AE450" s="311"/>
    </row>
    <row r="451" spans="1:31" ht="16" x14ac:dyDescent="0.2">
      <c r="A451" s="311"/>
      <c r="B451" s="311"/>
      <c r="C451" s="311"/>
      <c r="D451" s="311"/>
      <c r="E451" s="311"/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  <c r="AA451" s="311"/>
      <c r="AB451" s="311"/>
      <c r="AC451" s="311"/>
      <c r="AD451" s="311"/>
      <c r="AE451" s="311"/>
    </row>
    <row r="452" spans="1:31" ht="16" x14ac:dyDescent="0.2">
      <c r="A452" s="311"/>
      <c r="B452" s="311"/>
      <c r="C452" s="311"/>
      <c r="D452" s="311"/>
      <c r="E452" s="311"/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  <c r="AA452" s="311"/>
      <c r="AB452" s="311"/>
      <c r="AC452" s="311"/>
      <c r="AD452" s="311"/>
      <c r="AE452" s="311"/>
    </row>
    <row r="453" spans="1:31" ht="16" x14ac:dyDescent="0.2">
      <c r="A453" s="311"/>
      <c r="B453" s="311"/>
      <c r="C453" s="311"/>
      <c r="D453" s="311"/>
      <c r="E453" s="311"/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  <c r="AA453" s="311"/>
      <c r="AB453" s="311"/>
      <c r="AC453" s="311"/>
      <c r="AD453" s="311"/>
      <c r="AE453" s="311"/>
    </row>
    <row r="454" spans="1:31" ht="16" x14ac:dyDescent="0.2">
      <c r="A454" s="311"/>
      <c r="B454" s="311"/>
      <c r="C454" s="311"/>
      <c r="D454" s="311"/>
      <c r="E454" s="311"/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  <c r="AA454" s="311"/>
      <c r="AB454" s="311"/>
      <c r="AC454" s="311"/>
      <c r="AD454" s="311"/>
      <c r="AE454" s="311"/>
    </row>
    <row r="455" spans="1:31" ht="16" x14ac:dyDescent="0.2">
      <c r="A455" s="311"/>
      <c r="B455" s="311"/>
      <c r="C455" s="311"/>
      <c r="D455" s="311"/>
      <c r="E455" s="311"/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  <c r="AA455" s="311"/>
      <c r="AB455" s="311"/>
      <c r="AC455" s="311"/>
      <c r="AD455" s="311"/>
      <c r="AE455" s="311"/>
    </row>
    <row r="456" spans="1:31" ht="16" x14ac:dyDescent="0.2">
      <c r="A456" s="311"/>
      <c r="B456" s="311"/>
      <c r="C456" s="311"/>
      <c r="D456" s="311"/>
      <c r="E456" s="311"/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  <c r="AA456" s="311"/>
      <c r="AB456" s="311"/>
      <c r="AC456" s="311"/>
      <c r="AD456" s="311"/>
      <c r="AE456" s="311"/>
    </row>
    <row r="457" spans="1:31" ht="16" x14ac:dyDescent="0.2">
      <c r="A457" s="311"/>
      <c r="B457" s="311"/>
      <c r="C457" s="311"/>
      <c r="D457" s="311"/>
      <c r="E457" s="311"/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  <c r="AA457" s="311"/>
      <c r="AB457" s="311"/>
      <c r="AC457" s="311"/>
      <c r="AD457" s="311"/>
      <c r="AE457" s="311"/>
    </row>
    <row r="458" spans="1:31" ht="16" x14ac:dyDescent="0.2">
      <c r="A458" s="311"/>
      <c r="B458" s="311"/>
      <c r="C458" s="311"/>
      <c r="D458" s="311"/>
      <c r="E458" s="311"/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  <c r="AA458" s="311"/>
      <c r="AB458" s="311"/>
      <c r="AC458" s="311"/>
      <c r="AD458" s="311"/>
      <c r="AE458" s="311"/>
    </row>
    <row r="459" spans="1:31" ht="16" x14ac:dyDescent="0.2">
      <c r="A459" s="311"/>
      <c r="B459" s="311"/>
      <c r="C459" s="311"/>
      <c r="D459" s="311"/>
      <c r="E459" s="311"/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  <c r="AA459" s="311"/>
      <c r="AB459" s="311"/>
      <c r="AC459" s="311"/>
      <c r="AD459" s="311"/>
      <c r="AE459" s="311"/>
    </row>
    <row r="460" spans="1:31" ht="16" x14ac:dyDescent="0.2">
      <c r="A460" s="311"/>
      <c r="B460" s="311"/>
      <c r="C460" s="311"/>
      <c r="D460" s="311"/>
      <c r="E460" s="311"/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  <c r="AA460" s="311"/>
      <c r="AB460" s="311"/>
      <c r="AC460" s="311"/>
      <c r="AD460" s="311"/>
      <c r="AE460" s="311"/>
    </row>
    <row r="461" spans="1:31" ht="16" x14ac:dyDescent="0.2">
      <c r="A461" s="311"/>
      <c r="B461" s="311"/>
      <c r="C461" s="311"/>
      <c r="D461" s="311"/>
      <c r="E461" s="311"/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  <c r="AA461" s="311"/>
      <c r="AB461" s="311"/>
      <c r="AC461" s="311"/>
      <c r="AD461" s="311"/>
      <c r="AE461" s="311"/>
    </row>
    <row r="462" spans="1:31" ht="16" x14ac:dyDescent="0.2">
      <c r="A462" s="311"/>
      <c r="B462" s="311"/>
      <c r="C462" s="311"/>
      <c r="D462" s="311"/>
      <c r="E462" s="311"/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  <c r="AA462" s="311"/>
      <c r="AB462" s="311"/>
      <c r="AC462" s="311"/>
      <c r="AD462" s="311"/>
      <c r="AE462" s="311"/>
    </row>
    <row r="463" spans="1:31" ht="16" x14ac:dyDescent="0.2">
      <c r="A463" s="311"/>
      <c r="B463" s="311"/>
      <c r="C463" s="311"/>
      <c r="D463" s="311"/>
      <c r="E463" s="311"/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  <c r="AA463" s="311"/>
      <c r="AB463" s="311"/>
      <c r="AC463" s="311"/>
      <c r="AD463" s="311"/>
      <c r="AE463" s="311"/>
    </row>
    <row r="464" spans="1:31" ht="16" x14ac:dyDescent="0.2">
      <c r="A464" s="311"/>
      <c r="B464" s="311"/>
      <c r="C464" s="311"/>
      <c r="D464" s="311"/>
      <c r="E464" s="311"/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  <c r="AA464" s="311"/>
      <c r="AB464" s="311"/>
      <c r="AC464" s="311"/>
      <c r="AD464" s="311"/>
      <c r="AE464" s="311"/>
    </row>
    <row r="465" spans="1:31" ht="16" x14ac:dyDescent="0.2">
      <c r="A465" s="311"/>
      <c r="B465" s="311"/>
      <c r="C465" s="311"/>
      <c r="D465" s="311"/>
      <c r="E465" s="311"/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  <c r="AA465" s="311"/>
      <c r="AB465" s="311"/>
      <c r="AC465" s="311"/>
      <c r="AD465" s="311"/>
      <c r="AE465" s="311"/>
    </row>
    <row r="466" spans="1:31" ht="16" x14ac:dyDescent="0.2">
      <c r="A466" s="311"/>
      <c r="B466" s="311"/>
      <c r="C466" s="311"/>
      <c r="D466" s="311"/>
      <c r="E466" s="311"/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  <c r="AA466" s="311"/>
      <c r="AB466" s="311"/>
      <c r="AC466" s="311"/>
      <c r="AD466" s="311"/>
      <c r="AE466" s="311"/>
    </row>
    <row r="467" spans="1:31" ht="16" x14ac:dyDescent="0.2">
      <c r="A467" s="311"/>
      <c r="B467" s="311"/>
      <c r="C467" s="311"/>
      <c r="D467" s="311"/>
      <c r="E467" s="311"/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  <c r="AA467" s="311"/>
      <c r="AB467" s="311"/>
      <c r="AC467" s="311"/>
      <c r="AD467" s="311"/>
      <c r="AE467" s="311"/>
    </row>
    <row r="468" spans="1:31" ht="16" x14ac:dyDescent="0.2">
      <c r="A468" s="311"/>
      <c r="B468" s="311"/>
      <c r="C468" s="311"/>
      <c r="D468" s="311"/>
      <c r="E468" s="311"/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  <c r="AA468" s="311"/>
      <c r="AB468" s="311"/>
      <c r="AC468" s="311"/>
      <c r="AD468" s="311"/>
      <c r="AE468" s="311"/>
    </row>
    <row r="469" spans="1:31" ht="16" x14ac:dyDescent="0.2">
      <c r="A469" s="311"/>
      <c r="B469" s="311"/>
      <c r="C469" s="311"/>
      <c r="D469" s="311"/>
      <c r="E469" s="311"/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  <c r="AA469" s="311"/>
      <c r="AB469" s="311"/>
      <c r="AC469" s="311"/>
      <c r="AD469" s="311"/>
      <c r="AE469" s="311"/>
    </row>
    <row r="470" spans="1:31" ht="16" x14ac:dyDescent="0.2">
      <c r="A470" s="311"/>
      <c r="B470" s="311"/>
      <c r="C470" s="311"/>
      <c r="D470" s="311"/>
      <c r="E470" s="311"/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  <c r="AA470" s="311"/>
      <c r="AB470" s="311"/>
      <c r="AC470" s="311"/>
      <c r="AD470" s="311"/>
      <c r="AE470" s="311"/>
    </row>
    <row r="471" spans="1:31" ht="16" x14ac:dyDescent="0.2">
      <c r="A471" s="311"/>
      <c r="B471" s="311"/>
      <c r="C471" s="311"/>
      <c r="D471" s="311"/>
      <c r="E471" s="311"/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  <c r="AA471" s="311"/>
      <c r="AB471" s="311"/>
      <c r="AC471" s="311"/>
      <c r="AD471" s="311"/>
      <c r="AE471" s="311"/>
    </row>
    <row r="472" spans="1:31" ht="16" x14ac:dyDescent="0.2">
      <c r="A472" s="311"/>
      <c r="B472" s="311"/>
      <c r="C472" s="311"/>
      <c r="D472" s="311"/>
      <c r="E472" s="311"/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  <c r="AA472" s="311"/>
      <c r="AB472" s="311"/>
      <c r="AC472" s="311"/>
      <c r="AD472" s="311"/>
      <c r="AE472" s="311"/>
    </row>
    <row r="473" spans="1:31" ht="16" x14ac:dyDescent="0.2">
      <c r="A473" s="311"/>
      <c r="B473" s="311"/>
      <c r="C473" s="311"/>
      <c r="D473" s="311"/>
      <c r="E473" s="311"/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  <c r="AA473" s="311"/>
      <c r="AB473" s="311"/>
      <c r="AC473" s="311"/>
      <c r="AD473" s="311"/>
      <c r="AE473" s="311"/>
    </row>
    <row r="474" spans="1:31" ht="16" x14ac:dyDescent="0.2">
      <c r="A474" s="311"/>
      <c r="B474" s="311"/>
      <c r="C474" s="311"/>
      <c r="D474" s="311"/>
      <c r="E474" s="311"/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  <c r="AA474" s="311"/>
      <c r="AB474" s="311"/>
      <c r="AC474" s="311"/>
      <c r="AD474" s="311"/>
      <c r="AE474" s="311"/>
    </row>
    <row r="475" spans="1:31" ht="16" x14ac:dyDescent="0.2">
      <c r="A475" s="311"/>
      <c r="B475" s="311"/>
      <c r="C475" s="311"/>
      <c r="D475" s="311"/>
      <c r="E475" s="311"/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  <c r="AA475" s="311"/>
      <c r="AB475" s="311"/>
      <c r="AC475" s="311"/>
      <c r="AD475" s="311"/>
      <c r="AE475" s="311"/>
    </row>
    <row r="476" spans="1:31" ht="16" x14ac:dyDescent="0.2">
      <c r="A476" s="311"/>
      <c r="B476" s="311"/>
      <c r="C476" s="311"/>
      <c r="D476" s="311"/>
      <c r="E476" s="311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</row>
    <row r="477" spans="1:31" ht="16" x14ac:dyDescent="0.2">
      <c r="A477" s="311"/>
      <c r="B477" s="311"/>
      <c r="C477" s="311"/>
      <c r="D477" s="311"/>
      <c r="E477" s="311"/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  <c r="AA477" s="311"/>
      <c r="AB477" s="311"/>
      <c r="AC477" s="311"/>
      <c r="AD477" s="311"/>
      <c r="AE477" s="311"/>
    </row>
    <row r="478" spans="1:31" ht="16" x14ac:dyDescent="0.2">
      <c r="A478" s="311"/>
      <c r="B478" s="311"/>
      <c r="C478" s="311"/>
      <c r="D478" s="311"/>
      <c r="E478" s="311"/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  <c r="AA478" s="311"/>
      <c r="AB478" s="311"/>
      <c r="AC478" s="311"/>
      <c r="AD478" s="311"/>
      <c r="AE478" s="311"/>
    </row>
    <row r="479" spans="1:31" ht="16" x14ac:dyDescent="0.2">
      <c r="A479" s="311"/>
      <c r="B479" s="311"/>
      <c r="C479" s="311"/>
      <c r="D479" s="311"/>
      <c r="E479" s="311"/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  <c r="AA479" s="311"/>
      <c r="AB479" s="311"/>
      <c r="AC479" s="311"/>
      <c r="AD479" s="311"/>
      <c r="AE479" s="311"/>
    </row>
    <row r="480" spans="1:31" ht="16" x14ac:dyDescent="0.2">
      <c r="A480" s="311"/>
      <c r="B480" s="311"/>
      <c r="C480" s="311"/>
      <c r="D480" s="311"/>
      <c r="E480" s="311"/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  <c r="AA480" s="311"/>
      <c r="AB480" s="311"/>
      <c r="AC480" s="311"/>
      <c r="AD480" s="311"/>
      <c r="AE480" s="311"/>
    </row>
    <row r="481" spans="1:31" ht="16" x14ac:dyDescent="0.2">
      <c r="A481" s="311"/>
      <c r="B481" s="311"/>
      <c r="C481" s="311"/>
      <c r="D481" s="311"/>
      <c r="E481" s="311"/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  <c r="AA481" s="311"/>
      <c r="AB481" s="311"/>
      <c r="AC481" s="311"/>
      <c r="AD481" s="311"/>
      <c r="AE481" s="311"/>
    </row>
    <row r="482" spans="1:31" ht="16" x14ac:dyDescent="0.2">
      <c r="A482" s="311"/>
      <c r="B482" s="311"/>
      <c r="C482" s="311"/>
      <c r="D482" s="311"/>
      <c r="E482" s="311"/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  <c r="AA482" s="311"/>
      <c r="AB482" s="311"/>
      <c r="AC482" s="311"/>
      <c r="AD482" s="311"/>
      <c r="AE482" s="311"/>
    </row>
    <row r="483" spans="1:31" ht="16" x14ac:dyDescent="0.2">
      <c r="A483" s="311"/>
      <c r="B483" s="311"/>
      <c r="C483" s="311"/>
      <c r="D483" s="311"/>
      <c r="E483" s="311"/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  <c r="AA483" s="311"/>
      <c r="AB483" s="311"/>
      <c r="AC483" s="311"/>
      <c r="AD483" s="311"/>
      <c r="AE483" s="311"/>
    </row>
    <row r="484" spans="1:31" ht="16" x14ac:dyDescent="0.2">
      <c r="A484" s="311"/>
      <c r="B484" s="311"/>
      <c r="C484" s="311"/>
      <c r="D484" s="311"/>
      <c r="E484" s="311"/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  <c r="AA484" s="311"/>
      <c r="AB484" s="311"/>
      <c r="AC484" s="311"/>
      <c r="AD484" s="311"/>
      <c r="AE484" s="311"/>
    </row>
    <row r="485" spans="1:31" ht="16" x14ac:dyDescent="0.2">
      <c r="A485" s="311"/>
      <c r="B485" s="311"/>
      <c r="C485" s="311"/>
      <c r="D485" s="311"/>
      <c r="E485" s="311"/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  <c r="AA485" s="311"/>
      <c r="AB485" s="311"/>
      <c r="AC485" s="311"/>
      <c r="AD485" s="311"/>
      <c r="AE485" s="311"/>
    </row>
    <row r="486" spans="1:31" ht="16" x14ac:dyDescent="0.2">
      <c r="A486" s="311"/>
      <c r="B486" s="311"/>
      <c r="C486" s="311"/>
      <c r="D486" s="311"/>
      <c r="E486" s="311"/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  <c r="AA486" s="311"/>
      <c r="AB486" s="311"/>
      <c r="AC486" s="311"/>
      <c r="AD486" s="311"/>
      <c r="AE486" s="311"/>
    </row>
    <row r="487" spans="1:31" ht="16" x14ac:dyDescent="0.2">
      <c r="A487" s="311"/>
      <c r="B487" s="311"/>
      <c r="C487" s="311"/>
      <c r="D487" s="311"/>
      <c r="E487" s="311"/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  <c r="AA487" s="311"/>
      <c r="AB487" s="311"/>
      <c r="AC487" s="311"/>
      <c r="AD487" s="311"/>
      <c r="AE487" s="311"/>
    </row>
    <row r="488" spans="1:31" ht="16" x14ac:dyDescent="0.2">
      <c r="A488" s="311"/>
      <c r="B488" s="311"/>
      <c r="C488" s="311"/>
      <c r="D488" s="311"/>
      <c r="E488" s="311"/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  <c r="AA488" s="311"/>
      <c r="AB488" s="311"/>
      <c r="AC488" s="311"/>
      <c r="AD488" s="311"/>
      <c r="AE488" s="311"/>
    </row>
    <row r="489" spans="1:31" ht="16" x14ac:dyDescent="0.2">
      <c r="A489" s="311"/>
      <c r="B489" s="311"/>
      <c r="C489" s="311"/>
      <c r="D489" s="311"/>
      <c r="E489" s="311"/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  <c r="AA489" s="311"/>
      <c r="AB489" s="311"/>
      <c r="AC489" s="311"/>
      <c r="AD489" s="311"/>
      <c r="AE489" s="311"/>
    </row>
    <row r="490" spans="1:31" ht="16" x14ac:dyDescent="0.2">
      <c r="A490" s="311"/>
      <c r="B490" s="311"/>
      <c r="C490" s="311"/>
      <c r="D490" s="311"/>
      <c r="E490" s="311"/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  <c r="AA490" s="311"/>
      <c r="AB490" s="311"/>
      <c r="AC490" s="311"/>
      <c r="AD490" s="311"/>
      <c r="AE490" s="311"/>
    </row>
    <row r="491" spans="1:31" ht="16" x14ac:dyDescent="0.2">
      <c r="A491" s="311"/>
      <c r="B491" s="311"/>
      <c r="C491" s="311"/>
      <c r="D491" s="311"/>
      <c r="E491" s="311"/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  <c r="AA491" s="311"/>
      <c r="AB491" s="311"/>
      <c r="AC491" s="311"/>
      <c r="AD491" s="311"/>
      <c r="AE491" s="311"/>
    </row>
    <row r="492" spans="1:31" ht="16" x14ac:dyDescent="0.2">
      <c r="A492" s="311"/>
      <c r="B492" s="311"/>
      <c r="C492" s="311"/>
      <c r="D492" s="311"/>
      <c r="E492" s="311"/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  <c r="AA492" s="311"/>
      <c r="AB492" s="311"/>
      <c r="AC492" s="311"/>
      <c r="AD492" s="311"/>
      <c r="AE492" s="311"/>
    </row>
    <row r="493" spans="1:31" ht="16" x14ac:dyDescent="0.2">
      <c r="A493" s="311"/>
      <c r="B493" s="311"/>
      <c r="C493" s="311"/>
      <c r="D493" s="311"/>
      <c r="E493" s="311"/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  <c r="AA493" s="311"/>
      <c r="AB493" s="311"/>
      <c r="AC493" s="311"/>
      <c r="AD493" s="311"/>
      <c r="AE493" s="311"/>
    </row>
    <row r="494" spans="1:31" ht="16" x14ac:dyDescent="0.2">
      <c r="A494" s="311"/>
      <c r="B494" s="311"/>
      <c r="C494" s="311"/>
      <c r="D494" s="311"/>
      <c r="E494" s="311"/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  <c r="AA494" s="311"/>
      <c r="AB494" s="311"/>
      <c r="AC494" s="311"/>
      <c r="AD494" s="311"/>
      <c r="AE494" s="311"/>
    </row>
    <row r="495" spans="1:31" ht="16" x14ac:dyDescent="0.2">
      <c r="A495" s="311"/>
      <c r="B495" s="311"/>
      <c r="C495" s="311"/>
      <c r="D495" s="311"/>
      <c r="E495" s="311"/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  <c r="AA495" s="311"/>
      <c r="AB495" s="311"/>
      <c r="AC495" s="311"/>
      <c r="AD495" s="311"/>
      <c r="AE495" s="311"/>
    </row>
    <row r="496" spans="1:31" ht="16" x14ac:dyDescent="0.2">
      <c r="A496" s="311"/>
      <c r="B496" s="311"/>
      <c r="C496" s="311"/>
      <c r="D496" s="311"/>
      <c r="E496" s="311"/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  <c r="AA496" s="311"/>
      <c r="AB496" s="311"/>
      <c r="AC496" s="311"/>
      <c r="AD496" s="311"/>
      <c r="AE496" s="311"/>
    </row>
    <row r="497" spans="1:31" ht="16" x14ac:dyDescent="0.2">
      <c r="A497" s="311"/>
      <c r="B497" s="311"/>
      <c r="C497" s="311"/>
      <c r="D497" s="311"/>
      <c r="E497" s="311"/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  <c r="AA497" s="311"/>
      <c r="AB497" s="311"/>
      <c r="AC497" s="311"/>
      <c r="AD497" s="311"/>
      <c r="AE497" s="311"/>
    </row>
    <row r="498" spans="1:31" ht="16" x14ac:dyDescent="0.2">
      <c r="A498" s="311"/>
      <c r="B498" s="311"/>
      <c r="C498" s="311"/>
      <c r="D498" s="311"/>
      <c r="E498" s="311"/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  <c r="AA498" s="311"/>
      <c r="AB498" s="311"/>
      <c r="AC498" s="311"/>
      <c r="AD498" s="311"/>
      <c r="AE498" s="311"/>
    </row>
    <row r="499" spans="1:31" ht="16" x14ac:dyDescent="0.2">
      <c r="A499" s="311"/>
      <c r="B499" s="311"/>
      <c r="C499" s="311"/>
      <c r="D499" s="311"/>
      <c r="E499" s="311"/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  <c r="AA499" s="311"/>
      <c r="AB499" s="311"/>
      <c r="AC499" s="311"/>
      <c r="AD499" s="311"/>
      <c r="AE499" s="311"/>
    </row>
    <row r="500" spans="1:31" ht="16" x14ac:dyDescent="0.2">
      <c r="A500" s="311"/>
      <c r="B500" s="311"/>
      <c r="C500" s="311"/>
      <c r="D500" s="311"/>
      <c r="E500" s="311"/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  <c r="AA500" s="311"/>
      <c r="AB500" s="311"/>
      <c r="AC500" s="311"/>
      <c r="AD500" s="311"/>
      <c r="AE500" s="311"/>
    </row>
    <row r="501" spans="1:31" ht="16" x14ac:dyDescent="0.2">
      <c r="A501" s="311"/>
      <c r="B501" s="311"/>
      <c r="C501" s="311"/>
      <c r="D501" s="311"/>
      <c r="E501" s="311"/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  <c r="AA501" s="311"/>
      <c r="AB501" s="311"/>
      <c r="AC501" s="311"/>
      <c r="AD501" s="311"/>
      <c r="AE501" s="311"/>
    </row>
    <row r="502" spans="1:31" ht="16" x14ac:dyDescent="0.2">
      <c r="A502" s="311"/>
      <c r="B502" s="311"/>
      <c r="C502" s="311"/>
      <c r="D502" s="311"/>
      <c r="E502" s="311"/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  <c r="AA502" s="311"/>
      <c r="AB502" s="311"/>
      <c r="AC502" s="311"/>
      <c r="AD502" s="311"/>
      <c r="AE502" s="311"/>
    </row>
    <row r="503" spans="1:31" ht="16" x14ac:dyDescent="0.2">
      <c r="A503" s="311"/>
      <c r="B503" s="311"/>
      <c r="C503" s="311"/>
      <c r="D503" s="311"/>
      <c r="E503" s="311"/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  <c r="AA503" s="311"/>
      <c r="AB503" s="311"/>
      <c r="AC503" s="311"/>
      <c r="AD503" s="311"/>
      <c r="AE503" s="311"/>
    </row>
    <row r="504" spans="1:31" ht="16" x14ac:dyDescent="0.2">
      <c r="A504" s="311"/>
      <c r="B504" s="311"/>
      <c r="C504" s="311"/>
      <c r="D504" s="311"/>
      <c r="E504" s="311"/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  <c r="AA504" s="311"/>
      <c r="AB504" s="311"/>
      <c r="AC504" s="311"/>
      <c r="AD504" s="311"/>
      <c r="AE504" s="311"/>
    </row>
    <row r="505" spans="1:31" ht="16" x14ac:dyDescent="0.2">
      <c r="A505" s="311"/>
      <c r="B505" s="311"/>
      <c r="C505" s="311"/>
      <c r="D505" s="311"/>
      <c r="E505" s="311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  <c r="AA505" s="311"/>
      <c r="AB505" s="311"/>
      <c r="AC505" s="311"/>
      <c r="AD505" s="311"/>
      <c r="AE505" s="311"/>
    </row>
    <row r="506" spans="1:31" ht="16" x14ac:dyDescent="0.2">
      <c r="A506" s="311"/>
      <c r="B506" s="311"/>
      <c r="C506" s="311"/>
      <c r="D506" s="311"/>
      <c r="E506" s="311"/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  <c r="AA506" s="311"/>
      <c r="AB506" s="311"/>
      <c r="AC506" s="311"/>
      <c r="AD506" s="311"/>
      <c r="AE506" s="311"/>
    </row>
    <row r="507" spans="1:31" ht="16" x14ac:dyDescent="0.2">
      <c r="A507" s="311"/>
      <c r="B507" s="311"/>
      <c r="C507" s="311"/>
      <c r="D507" s="311"/>
      <c r="E507" s="311"/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  <c r="AA507" s="311"/>
      <c r="AB507" s="311"/>
      <c r="AC507" s="311"/>
      <c r="AD507" s="311"/>
      <c r="AE507" s="311"/>
    </row>
    <row r="508" spans="1:31" ht="16" x14ac:dyDescent="0.2">
      <c r="A508" s="311"/>
      <c r="B508" s="311"/>
      <c r="C508" s="311"/>
      <c r="D508" s="311"/>
      <c r="E508" s="311"/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  <c r="AA508" s="311"/>
      <c r="AB508" s="311"/>
      <c r="AC508" s="311"/>
      <c r="AD508" s="311"/>
      <c r="AE508" s="311"/>
    </row>
    <row r="509" spans="1:31" ht="16" x14ac:dyDescent="0.2">
      <c r="A509" s="311"/>
      <c r="B509" s="311"/>
      <c r="C509" s="311"/>
      <c r="D509" s="311"/>
      <c r="E509" s="311"/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  <c r="AA509" s="311"/>
      <c r="AB509" s="311"/>
      <c r="AC509" s="311"/>
      <c r="AD509" s="311"/>
      <c r="AE509" s="311"/>
    </row>
    <row r="510" spans="1:31" ht="16" x14ac:dyDescent="0.2">
      <c r="A510" s="311"/>
      <c r="B510" s="311"/>
      <c r="C510" s="311"/>
      <c r="D510" s="311"/>
      <c r="E510" s="311"/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  <c r="AA510" s="311"/>
      <c r="AB510" s="311"/>
      <c r="AC510" s="311"/>
      <c r="AD510" s="311"/>
      <c r="AE510" s="311"/>
    </row>
    <row r="511" spans="1:31" ht="16" x14ac:dyDescent="0.2">
      <c r="A511" s="311"/>
      <c r="B511" s="311"/>
      <c r="C511" s="311"/>
      <c r="D511" s="311"/>
      <c r="E511" s="311"/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  <c r="AA511" s="311"/>
      <c r="AB511" s="311"/>
      <c r="AC511" s="311"/>
      <c r="AD511" s="311"/>
      <c r="AE511" s="311"/>
    </row>
    <row r="512" spans="1:31" ht="16" x14ac:dyDescent="0.2">
      <c r="A512" s="311"/>
      <c r="B512" s="311"/>
      <c r="C512" s="311"/>
      <c r="D512" s="311"/>
      <c r="E512" s="311"/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  <c r="AA512" s="311"/>
      <c r="AB512" s="311"/>
      <c r="AC512" s="311"/>
      <c r="AD512" s="311"/>
      <c r="AE512" s="311"/>
    </row>
    <row r="513" spans="1:31" ht="16" x14ac:dyDescent="0.2">
      <c r="A513" s="311"/>
      <c r="B513" s="311"/>
      <c r="C513" s="311"/>
      <c r="D513" s="311"/>
      <c r="E513" s="311"/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  <c r="AA513" s="311"/>
      <c r="AB513" s="311"/>
      <c r="AC513" s="311"/>
      <c r="AD513" s="311"/>
      <c r="AE513" s="311"/>
    </row>
    <row r="514" spans="1:31" ht="16" x14ac:dyDescent="0.2">
      <c r="A514" s="311"/>
      <c r="B514" s="311"/>
      <c r="C514" s="311"/>
      <c r="D514" s="311"/>
      <c r="E514" s="311"/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  <c r="AA514" s="311"/>
      <c r="AB514" s="311"/>
      <c r="AC514" s="311"/>
      <c r="AD514" s="311"/>
      <c r="AE514" s="311"/>
    </row>
    <row r="515" spans="1:31" ht="16" x14ac:dyDescent="0.2">
      <c r="A515" s="311"/>
      <c r="B515" s="311"/>
      <c r="C515" s="311"/>
      <c r="D515" s="311"/>
      <c r="E515" s="311"/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  <c r="AA515" s="311"/>
      <c r="AB515" s="311"/>
      <c r="AC515" s="311"/>
      <c r="AD515" s="311"/>
      <c r="AE515" s="311"/>
    </row>
    <row r="516" spans="1:31" ht="16" x14ac:dyDescent="0.2">
      <c r="A516" s="311"/>
      <c r="B516" s="311"/>
      <c r="C516" s="311"/>
      <c r="D516" s="311"/>
      <c r="E516" s="311"/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  <c r="AA516" s="311"/>
      <c r="AB516" s="311"/>
      <c r="AC516" s="311"/>
      <c r="AD516" s="311"/>
      <c r="AE516" s="311"/>
    </row>
    <row r="517" spans="1:31" ht="16" x14ac:dyDescent="0.2">
      <c r="A517" s="311"/>
      <c r="B517" s="311"/>
      <c r="C517" s="311"/>
      <c r="D517" s="311"/>
      <c r="E517" s="311"/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  <c r="AA517" s="311"/>
      <c r="AB517" s="311"/>
      <c r="AC517" s="311"/>
      <c r="AD517" s="311"/>
      <c r="AE517" s="311"/>
    </row>
    <row r="518" spans="1:31" ht="16" x14ac:dyDescent="0.2">
      <c r="A518" s="311"/>
      <c r="B518" s="311"/>
      <c r="C518" s="311"/>
      <c r="D518" s="311"/>
      <c r="E518" s="311"/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  <c r="AA518" s="311"/>
      <c r="AB518" s="311"/>
      <c r="AC518" s="311"/>
      <c r="AD518" s="311"/>
      <c r="AE518" s="311"/>
    </row>
    <row r="519" spans="1:31" ht="16" x14ac:dyDescent="0.2">
      <c r="A519" s="311"/>
      <c r="B519" s="311"/>
      <c r="C519" s="311"/>
      <c r="D519" s="311"/>
      <c r="E519" s="311"/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  <c r="AA519" s="311"/>
      <c r="AB519" s="311"/>
      <c r="AC519" s="311"/>
      <c r="AD519" s="311"/>
      <c r="AE519" s="311"/>
    </row>
    <row r="520" spans="1:31" ht="16" x14ac:dyDescent="0.2">
      <c r="A520" s="311"/>
      <c r="B520" s="311"/>
      <c r="C520" s="311"/>
      <c r="D520" s="311"/>
      <c r="E520" s="311"/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  <c r="AA520" s="311"/>
      <c r="AB520" s="311"/>
      <c r="AC520" s="311"/>
      <c r="AD520" s="311"/>
      <c r="AE520" s="311"/>
    </row>
    <row r="521" spans="1:31" ht="16" x14ac:dyDescent="0.2">
      <c r="A521" s="311"/>
      <c r="B521" s="311"/>
      <c r="C521" s="311"/>
      <c r="D521" s="311"/>
      <c r="E521" s="311"/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  <c r="AA521" s="311"/>
      <c r="AB521" s="311"/>
      <c r="AC521" s="311"/>
      <c r="AD521" s="311"/>
      <c r="AE521" s="311"/>
    </row>
    <row r="522" spans="1:31" ht="16" x14ac:dyDescent="0.2">
      <c r="A522" s="311"/>
      <c r="B522" s="311"/>
      <c r="C522" s="311"/>
      <c r="D522" s="311"/>
      <c r="E522" s="311"/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  <c r="AA522" s="311"/>
      <c r="AB522" s="311"/>
      <c r="AC522" s="311"/>
      <c r="AD522" s="311"/>
      <c r="AE522" s="311"/>
    </row>
    <row r="523" spans="1:31" ht="16" x14ac:dyDescent="0.2">
      <c r="A523" s="311"/>
      <c r="B523" s="311"/>
      <c r="C523" s="311"/>
      <c r="D523" s="311"/>
      <c r="E523" s="311"/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  <c r="AA523" s="311"/>
      <c r="AB523" s="311"/>
      <c r="AC523" s="311"/>
      <c r="AD523" s="311"/>
      <c r="AE523" s="311"/>
    </row>
    <row r="524" spans="1:31" ht="16" x14ac:dyDescent="0.2">
      <c r="A524" s="311"/>
      <c r="B524" s="311"/>
      <c r="C524" s="311"/>
      <c r="D524" s="311"/>
      <c r="E524" s="311"/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  <c r="AA524" s="311"/>
      <c r="AB524" s="311"/>
      <c r="AC524" s="311"/>
      <c r="AD524" s="311"/>
      <c r="AE524" s="311"/>
    </row>
    <row r="525" spans="1:31" ht="16" x14ac:dyDescent="0.2">
      <c r="A525" s="311"/>
      <c r="B525" s="311"/>
      <c r="C525" s="311"/>
      <c r="D525" s="311"/>
      <c r="E525" s="311"/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  <c r="AA525" s="311"/>
      <c r="AB525" s="311"/>
      <c r="AC525" s="311"/>
      <c r="AD525" s="311"/>
      <c r="AE525" s="311"/>
    </row>
    <row r="526" spans="1:31" ht="16" x14ac:dyDescent="0.2">
      <c r="A526" s="311"/>
      <c r="B526" s="311"/>
      <c r="C526" s="311"/>
      <c r="D526" s="311"/>
      <c r="E526" s="311"/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  <c r="AA526" s="311"/>
      <c r="AB526" s="311"/>
      <c r="AC526" s="311"/>
      <c r="AD526" s="311"/>
      <c r="AE526" s="311"/>
    </row>
    <row r="527" spans="1:31" ht="16" x14ac:dyDescent="0.2">
      <c r="A527" s="311"/>
      <c r="B527" s="311"/>
      <c r="C527" s="311"/>
      <c r="D527" s="311"/>
      <c r="E527" s="311"/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  <c r="AA527" s="311"/>
      <c r="AB527" s="311"/>
      <c r="AC527" s="311"/>
      <c r="AD527" s="311"/>
      <c r="AE527" s="311"/>
    </row>
    <row r="528" spans="1:31" ht="16" x14ac:dyDescent="0.2">
      <c r="A528" s="311"/>
      <c r="B528" s="311"/>
      <c r="C528" s="311"/>
      <c r="D528" s="311"/>
      <c r="E528" s="311"/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  <c r="AA528" s="311"/>
      <c r="AB528" s="311"/>
      <c r="AC528" s="311"/>
      <c r="AD528" s="311"/>
      <c r="AE528" s="311"/>
    </row>
    <row r="529" spans="1:31" ht="16" x14ac:dyDescent="0.2">
      <c r="A529" s="311"/>
      <c r="B529" s="311"/>
      <c r="C529" s="311"/>
      <c r="D529" s="311"/>
      <c r="E529" s="311"/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  <c r="AA529" s="311"/>
      <c r="AB529" s="311"/>
      <c r="AC529" s="311"/>
      <c r="AD529" s="311"/>
      <c r="AE529" s="311"/>
    </row>
    <row r="530" spans="1:31" ht="16" x14ac:dyDescent="0.2">
      <c r="A530" s="311"/>
      <c r="B530" s="311"/>
      <c r="C530" s="311"/>
      <c r="D530" s="311"/>
      <c r="E530" s="311"/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  <c r="AA530" s="311"/>
      <c r="AB530" s="311"/>
      <c r="AC530" s="311"/>
      <c r="AD530" s="311"/>
      <c r="AE530" s="311"/>
    </row>
    <row r="531" spans="1:31" ht="16" x14ac:dyDescent="0.2">
      <c r="A531" s="311"/>
      <c r="B531" s="311"/>
      <c r="C531" s="311"/>
      <c r="D531" s="311"/>
      <c r="E531" s="311"/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  <c r="AA531" s="311"/>
      <c r="AB531" s="311"/>
      <c r="AC531" s="311"/>
      <c r="AD531" s="311"/>
      <c r="AE531" s="311"/>
    </row>
    <row r="532" spans="1:31" ht="16" x14ac:dyDescent="0.2">
      <c r="A532" s="311"/>
      <c r="B532" s="311"/>
      <c r="C532" s="311"/>
      <c r="D532" s="311"/>
      <c r="E532" s="311"/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  <c r="AA532" s="311"/>
      <c r="AB532" s="311"/>
      <c r="AC532" s="311"/>
      <c r="AD532" s="311"/>
      <c r="AE532" s="311"/>
    </row>
    <row r="533" spans="1:31" ht="16" x14ac:dyDescent="0.2">
      <c r="A533" s="311"/>
      <c r="B533" s="311"/>
      <c r="C533" s="311"/>
      <c r="D533" s="311"/>
      <c r="E533" s="311"/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  <c r="AA533" s="311"/>
      <c r="AB533" s="311"/>
      <c r="AC533" s="311"/>
      <c r="AD533" s="311"/>
      <c r="AE533" s="311"/>
    </row>
    <row r="534" spans="1:31" ht="16" x14ac:dyDescent="0.2">
      <c r="A534" s="311"/>
      <c r="B534" s="311"/>
      <c r="C534" s="311"/>
      <c r="D534" s="311"/>
      <c r="E534" s="311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  <c r="AA534" s="311"/>
      <c r="AB534" s="311"/>
      <c r="AC534" s="311"/>
      <c r="AD534" s="311"/>
      <c r="AE534" s="311"/>
    </row>
    <row r="535" spans="1:31" ht="16" x14ac:dyDescent="0.2">
      <c r="A535" s="311"/>
      <c r="B535" s="311"/>
      <c r="C535" s="311"/>
      <c r="D535" s="311"/>
      <c r="E535" s="311"/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  <c r="AA535" s="311"/>
      <c r="AB535" s="311"/>
      <c r="AC535" s="311"/>
      <c r="AD535" s="311"/>
      <c r="AE535" s="311"/>
    </row>
    <row r="536" spans="1:31" ht="16" x14ac:dyDescent="0.2">
      <c r="A536" s="311"/>
      <c r="B536" s="311"/>
      <c r="C536" s="311"/>
      <c r="D536" s="311"/>
      <c r="E536" s="311"/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  <c r="AA536" s="311"/>
      <c r="AB536" s="311"/>
      <c r="AC536" s="311"/>
      <c r="AD536" s="311"/>
      <c r="AE536" s="311"/>
    </row>
    <row r="537" spans="1:31" ht="16" x14ac:dyDescent="0.2">
      <c r="A537" s="311"/>
      <c r="B537" s="311"/>
      <c r="C537" s="311"/>
      <c r="D537" s="311"/>
      <c r="E537" s="311"/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  <c r="AA537" s="311"/>
      <c r="AB537" s="311"/>
      <c r="AC537" s="311"/>
      <c r="AD537" s="311"/>
      <c r="AE537" s="311"/>
    </row>
    <row r="538" spans="1:31" ht="16" x14ac:dyDescent="0.2">
      <c r="A538" s="311"/>
      <c r="B538" s="311"/>
      <c r="C538" s="311"/>
      <c r="D538" s="311"/>
      <c r="E538" s="311"/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  <c r="AA538" s="311"/>
      <c r="AB538" s="311"/>
      <c r="AC538" s="311"/>
      <c r="AD538" s="311"/>
      <c r="AE538" s="311"/>
    </row>
    <row r="539" spans="1:31" ht="16" x14ac:dyDescent="0.2">
      <c r="A539" s="311"/>
      <c r="B539" s="311"/>
      <c r="C539" s="311"/>
      <c r="D539" s="311"/>
      <c r="E539" s="311"/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  <c r="AA539" s="311"/>
      <c r="AB539" s="311"/>
      <c r="AC539" s="311"/>
      <c r="AD539" s="311"/>
      <c r="AE539" s="311"/>
    </row>
    <row r="540" spans="1:31" ht="16" x14ac:dyDescent="0.2">
      <c r="A540" s="311"/>
      <c r="B540" s="311"/>
      <c r="C540" s="311"/>
      <c r="D540" s="311"/>
      <c r="E540" s="311"/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  <c r="AA540" s="311"/>
      <c r="AB540" s="311"/>
      <c r="AC540" s="311"/>
      <c r="AD540" s="311"/>
      <c r="AE540" s="311"/>
    </row>
    <row r="541" spans="1:31" ht="16" x14ac:dyDescent="0.2">
      <c r="A541" s="311"/>
      <c r="B541" s="311"/>
      <c r="C541" s="311"/>
      <c r="D541" s="311"/>
      <c r="E541" s="311"/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  <c r="AA541" s="311"/>
      <c r="AB541" s="311"/>
      <c r="AC541" s="311"/>
      <c r="AD541" s="311"/>
      <c r="AE541" s="311"/>
    </row>
    <row r="542" spans="1:31" ht="16" x14ac:dyDescent="0.2">
      <c r="A542" s="311"/>
      <c r="B542" s="311"/>
      <c r="C542" s="311"/>
      <c r="D542" s="311"/>
      <c r="E542" s="311"/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  <c r="AA542" s="311"/>
      <c r="AB542" s="311"/>
      <c r="AC542" s="311"/>
      <c r="AD542" s="311"/>
      <c r="AE542" s="311"/>
    </row>
    <row r="543" spans="1:31" ht="16" x14ac:dyDescent="0.2">
      <c r="A543" s="311"/>
      <c r="B543" s="311"/>
      <c r="C543" s="311"/>
      <c r="D543" s="311"/>
      <c r="E543" s="311"/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  <c r="AA543" s="311"/>
      <c r="AB543" s="311"/>
      <c r="AC543" s="311"/>
      <c r="AD543" s="311"/>
      <c r="AE543" s="311"/>
    </row>
    <row r="544" spans="1:31" ht="16" x14ac:dyDescent="0.2">
      <c r="A544" s="311"/>
      <c r="B544" s="311"/>
      <c r="C544" s="311"/>
      <c r="D544" s="311"/>
      <c r="E544" s="311"/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  <c r="AA544" s="311"/>
      <c r="AB544" s="311"/>
      <c r="AC544" s="311"/>
      <c r="AD544" s="311"/>
      <c r="AE544" s="311"/>
    </row>
    <row r="545" spans="1:31" ht="16" x14ac:dyDescent="0.2">
      <c r="A545" s="311"/>
      <c r="B545" s="311"/>
      <c r="C545" s="311"/>
      <c r="D545" s="311"/>
      <c r="E545" s="311"/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  <c r="AA545" s="311"/>
      <c r="AB545" s="311"/>
      <c r="AC545" s="311"/>
      <c r="AD545" s="311"/>
      <c r="AE545" s="311"/>
    </row>
    <row r="546" spans="1:31" ht="16" x14ac:dyDescent="0.2">
      <c r="A546" s="311"/>
      <c r="B546" s="311"/>
      <c r="C546" s="311"/>
      <c r="D546" s="311"/>
      <c r="E546" s="311"/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  <c r="AA546" s="311"/>
      <c r="AB546" s="311"/>
      <c r="AC546" s="311"/>
      <c r="AD546" s="311"/>
      <c r="AE546" s="311"/>
    </row>
    <row r="547" spans="1:31" ht="16" x14ac:dyDescent="0.2">
      <c r="A547" s="311"/>
      <c r="B547" s="311"/>
      <c r="C547" s="311"/>
      <c r="D547" s="311"/>
      <c r="E547" s="311"/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  <c r="AA547" s="311"/>
      <c r="AB547" s="311"/>
      <c r="AC547" s="311"/>
      <c r="AD547" s="311"/>
      <c r="AE547" s="311"/>
    </row>
    <row r="548" spans="1:31" ht="16" x14ac:dyDescent="0.2">
      <c r="A548" s="311"/>
      <c r="B548" s="311"/>
      <c r="C548" s="311"/>
      <c r="D548" s="311"/>
      <c r="E548" s="311"/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  <c r="AA548" s="311"/>
      <c r="AB548" s="311"/>
      <c r="AC548" s="311"/>
      <c r="AD548" s="311"/>
      <c r="AE548" s="311"/>
    </row>
    <row r="549" spans="1:31" ht="16" x14ac:dyDescent="0.2">
      <c r="A549" s="311"/>
      <c r="B549" s="311"/>
      <c r="C549" s="311"/>
      <c r="D549" s="311"/>
      <c r="E549" s="311"/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  <c r="AA549" s="311"/>
      <c r="AB549" s="311"/>
      <c r="AC549" s="311"/>
      <c r="AD549" s="311"/>
      <c r="AE549" s="311"/>
    </row>
    <row r="550" spans="1:31" ht="16" x14ac:dyDescent="0.2">
      <c r="A550" s="311"/>
      <c r="B550" s="311"/>
      <c r="C550" s="311"/>
      <c r="D550" s="311"/>
      <c r="E550" s="311"/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  <c r="AA550" s="311"/>
      <c r="AB550" s="311"/>
      <c r="AC550" s="311"/>
      <c r="AD550" s="311"/>
      <c r="AE550" s="311"/>
    </row>
    <row r="551" spans="1:31" ht="16" x14ac:dyDescent="0.2">
      <c r="A551" s="311"/>
      <c r="B551" s="311"/>
      <c r="C551" s="311"/>
      <c r="D551" s="311"/>
      <c r="E551" s="311"/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  <c r="AA551" s="311"/>
      <c r="AB551" s="311"/>
      <c r="AC551" s="311"/>
      <c r="AD551" s="311"/>
      <c r="AE551" s="311"/>
    </row>
    <row r="552" spans="1:31" ht="16" x14ac:dyDescent="0.2">
      <c r="A552" s="311"/>
      <c r="B552" s="311"/>
      <c r="C552" s="311"/>
      <c r="D552" s="311"/>
      <c r="E552" s="311"/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  <c r="AA552" s="311"/>
      <c r="AB552" s="311"/>
      <c r="AC552" s="311"/>
      <c r="AD552" s="311"/>
      <c r="AE552" s="311"/>
    </row>
    <row r="553" spans="1:31" ht="16" x14ac:dyDescent="0.2">
      <c r="A553" s="311"/>
      <c r="B553" s="311"/>
      <c r="C553" s="311"/>
      <c r="D553" s="311"/>
      <c r="E553" s="311"/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  <c r="AA553" s="311"/>
      <c r="AB553" s="311"/>
      <c r="AC553" s="311"/>
      <c r="AD553" s="311"/>
      <c r="AE553" s="311"/>
    </row>
    <row r="554" spans="1:31" ht="16" x14ac:dyDescent="0.2">
      <c r="A554" s="311"/>
      <c r="B554" s="311"/>
      <c r="C554" s="311"/>
      <c r="D554" s="311"/>
      <c r="E554" s="311"/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  <c r="AA554" s="311"/>
      <c r="AB554" s="311"/>
      <c r="AC554" s="311"/>
      <c r="AD554" s="311"/>
      <c r="AE554" s="311"/>
    </row>
    <row r="555" spans="1:31" ht="16" x14ac:dyDescent="0.2">
      <c r="A555" s="311"/>
      <c r="B555" s="311"/>
      <c r="C555" s="311"/>
      <c r="D555" s="311"/>
      <c r="E555" s="311"/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  <c r="AA555" s="311"/>
      <c r="AB555" s="311"/>
      <c r="AC555" s="311"/>
      <c r="AD555" s="311"/>
      <c r="AE555" s="311"/>
    </row>
    <row r="556" spans="1:31" ht="16" x14ac:dyDescent="0.2">
      <c r="A556" s="311"/>
      <c r="B556" s="311"/>
      <c r="C556" s="311"/>
      <c r="D556" s="311"/>
      <c r="E556" s="311"/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  <c r="AA556" s="311"/>
      <c r="AB556" s="311"/>
      <c r="AC556" s="311"/>
      <c r="AD556" s="311"/>
      <c r="AE556" s="311"/>
    </row>
    <row r="557" spans="1:31" ht="16" x14ac:dyDescent="0.2">
      <c r="A557" s="311"/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  <c r="AA557" s="311"/>
      <c r="AB557" s="311"/>
      <c r="AC557" s="311"/>
      <c r="AD557" s="311"/>
      <c r="AE557" s="311"/>
    </row>
    <row r="558" spans="1:31" ht="16" x14ac:dyDescent="0.2">
      <c r="A558" s="311"/>
      <c r="B558" s="311"/>
      <c r="C558" s="311"/>
      <c r="D558" s="311"/>
      <c r="E558" s="311"/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  <c r="AA558" s="311"/>
      <c r="AB558" s="311"/>
      <c r="AC558" s="311"/>
      <c r="AD558" s="311"/>
      <c r="AE558" s="311"/>
    </row>
    <row r="559" spans="1:31" ht="16" x14ac:dyDescent="0.2">
      <c r="A559" s="311"/>
      <c r="B559" s="311"/>
      <c r="C559" s="311"/>
      <c r="D559" s="311"/>
      <c r="E559" s="311"/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  <c r="AA559" s="311"/>
      <c r="AB559" s="311"/>
      <c r="AC559" s="311"/>
      <c r="AD559" s="311"/>
      <c r="AE559" s="311"/>
    </row>
    <row r="560" spans="1:31" ht="16" x14ac:dyDescent="0.2">
      <c r="A560" s="311"/>
      <c r="B560" s="311"/>
      <c r="C560" s="311"/>
      <c r="D560" s="311"/>
      <c r="E560" s="311"/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  <c r="AA560" s="311"/>
      <c r="AB560" s="311"/>
      <c r="AC560" s="311"/>
      <c r="AD560" s="311"/>
      <c r="AE560" s="311"/>
    </row>
    <row r="561" spans="1:31" ht="16" x14ac:dyDescent="0.2">
      <c r="A561" s="311"/>
      <c r="B561" s="311"/>
      <c r="C561" s="311"/>
      <c r="D561" s="311"/>
      <c r="E561" s="311"/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  <c r="AA561" s="311"/>
      <c r="AB561" s="311"/>
      <c r="AC561" s="311"/>
      <c r="AD561" s="311"/>
      <c r="AE561" s="311"/>
    </row>
    <row r="562" spans="1:31" ht="16" x14ac:dyDescent="0.2">
      <c r="A562" s="311"/>
      <c r="B562" s="311"/>
      <c r="C562" s="311"/>
      <c r="D562" s="311"/>
      <c r="E562" s="311"/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  <c r="AA562" s="311"/>
      <c r="AB562" s="311"/>
      <c r="AC562" s="311"/>
      <c r="AD562" s="311"/>
      <c r="AE562" s="311"/>
    </row>
    <row r="563" spans="1:31" ht="16" x14ac:dyDescent="0.2">
      <c r="A563" s="311"/>
      <c r="B563" s="311"/>
      <c r="C563" s="311"/>
      <c r="D563" s="311"/>
      <c r="E563" s="311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  <c r="AA563" s="311"/>
      <c r="AB563" s="311"/>
      <c r="AC563" s="311"/>
      <c r="AD563" s="311"/>
      <c r="AE563" s="311"/>
    </row>
    <row r="564" spans="1:31" ht="16" x14ac:dyDescent="0.2">
      <c r="A564" s="311"/>
      <c r="B564" s="311"/>
      <c r="C564" s="311"/>
      <c r="D564" s="311"/>
      <c r="E564" s="311"/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  <c r="AA564" s="311"/>
      <c r="AB564" s="311"/>
      <c r="AC564" s="311"/>
      <c r="AD564" s="311"/>
      <c r="AE564" s="311"/>
    </row>
    <row r="565" spans="1:31" ht="16" x14ac:dyDescent="0.2">
      <c r="A565" s="311"/>
      <c r="B565" s="311"/>
      <c r="C565" s="311"/>
      <c r="D565" s="311"/>
      <c r="E565" s="311"/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  <c r="AA565" s="311"/>
      <c r="AB565" s="311"/>
      <c r="AC565" s="311"/>
      <c r="AD565" s="311"/>
      <c r="AE565" s="311"/>
    </row>
    <row r="566" spans="1:31" ht="16" x14ac:dyDescent="0.2">
      <c r="A566" s="311"/>
      <c r="B566" s="311"/>
      <c r="C566" s="311"/>
      <c r="D566" s="311"/>
      <c r="E566" s="311"/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  <c r="AA566" s="311"/>
      <c r="AB566" s="311"/>
      <c r="AC566" s="311"/>
      <c r="AD566" s="311"/>
      <c r="AE566" s="311"/>
    </row>
    <row r="567" spans="1:31" ht="16" x14ac:dyDescent="0.2">
      <c r="A567" s="311"/>
      <c r="B567" s="311"/>
      <c r="C567" s="311"/>
      <c r="D567" s="311"/>
      <c r="E567" s="311"/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  <c r="AA567" s="311"/>
      <c r="AB567" s="311"/>
      <c r="AC567" s="311"/>
      <c r="AD567" s="311"/>
      <c r="AE567" s="311"/>
    </row>
    <row r="568" spans="1:31" ht="16" x14ac:dyDescent="0.2">
      <c r="A568" s="311"/>
      <c r="B568" s="311"/>
      <c r="C568" s="311"/>
      <c r="D568" s="311"/>
      <c r="E568" s="311"/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  <c r="AA568" s="311"/>
      <c r="AB568" s="311"/>
      <c r="AC568" s="311"/>
      <c r="AD568" s="311"/>
      <c r="AE568" s="311"/>
    </row>
    <row r="569" spans="1:31" ht="16" x14ac:dyDescent="0.2">
      <c r="A569" s="311"/>
      <c r="B569" s="311"/>
      <c r="C569" s="311"/>
      <c r="D569" s="311"/>
      <c r="E569" s="311"/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  <c r="AA569" s="311"/>
      <c r="AB569" s="311"/>
      <c r="AC569" s="311"/>
      <c r="AD569" s="311"/>
      <c r="AE569" s="311"/>
    </row>
    <row r="570" spans="1:31" ht="16" x14ac:dyDescent="0.2">
      <c r="A570" s="311"/>
      <c r="B570" s="311"/>
      <c r="C570" s="311"/>
      <c r="D570" s="311"/>
      <c r="E570" s="311"/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  <c r="AA570" s="311"/>
      <c r="AB570" s="311"/>
      <c r="AC570" s="311"/>
      <c r="AD570" s="311"/>
      <c r="AE570" s="311"/>
    </row>
    <row r="571" spans="1:31" ht="16" x14ac:dyDescent="0.2">
      <c r="A571" s="311"/>
      <c r="B571" s="311"/>
      <c r="C571" s="311"/>
      <c r="D571" s="311"/>
      <c r="E571" s="311"/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  <c r="AA571" s="311"/>
      <c r="AB571" s="311"/>
      <c r="AC571" s="311"/>
      <c r="AD571" s="311"/>
      <c r="AE571" s="311"/>
    </row>
    <row r="572" spans="1:31" ht="16" x14ac:dyDescent="0.2">
      <c r="A572" s="311"/>
      <c r="B572" s="311"/>
      <c r="C572" s="311"/>
      <c r="D572" s="311"/>
      <c r="E572" s="311"/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  <c r="AA572" s="311"/>
      <c r="AB572" s="311"/>
      <c r="AC572" s="311"/>
      <c r="AD572" s="311"/>
      <c r="AE572" s="311"/>
    </row>
    <row r="573" spans="1:31" ht="16" x14ac:dyDescent="0.2">
      <c r="A573" s="311"/>
      <c r="B573" s="311"/>
      <c r="C573" s="311"/>
      <c r="D573" s="311"/>
      <c r="E573" s="311"/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  <c r="AA573" s="311"/>
      <c r="AB573" s="311"/>
      <c r="AC573" s="311"/>
      <c r="AD573" s="311"/>
      <c r="AE573" s="311"/>
    </row>
    <row r="574" spans="1:31" ht="16" x14ac:dyDescent="0.2">
      <c r="A574" s="311"/>
      <c r="B574" s="311"/>
      <c r="C574" s="311"/>
      <c r="D574" s="311"/>
      <c r="E574" s="311"/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  <c r="AA574" s="311"/>
      <c r="AB574" s="311"/>
      <c r="AC574" s="311"/>
      <c r="AD574" s="311"/>
      <c r="AE574" s="311"/>
    </row>
    <row r="575" spans="1:31" ht="16" x14ac:dyDescent="0.2">
      <c r="A575" s="311"/>
      <c r="B575" s="311"/>
      <c r="C575" s="311"/>
      <c r="D575" s="311"/>
      <c r="E575" s="311"/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  <c r="AA575" s="311"/>
      <c r="AB575" s="311"/>
      <c r="AC575" s="311"/>
      <c r="AD575" s="311"/>
      <c r="AE575" s="311"/>
    </row>
    <row r="576" spans="1:31" ht="16" x14ac:dyDescent="0.2">
      <c r="A576" s="311"/>
      <c r="B576" s="311"/>
      <c r="C576" s="311"/>
      <c r="D576" s="311"/>
      <c r="E576" s="311"/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  <c r="AA576" s="311"/>
      <c r="AB576" s="311"/>
      <c r="AC576" s="311"/>
      <c r="AD576" s="311"/>
      <c r="AE576" s="311"/>
    </row>
    <row r="577" spans="1:31" ht="16" x14ac:dyDescent="0.2">
      <c r="A577" s="311"/>
      <c r="B577" s="311"/>
      <c r="C577" s="311"/>
      <c r="D577" s="311"/>
      <c r="E577" s="311"/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  <c r="AA577" s="311"/>
      <c r="AB577" s="311"/>
      <c r="AC577" s="311"/>
      <c r="AD577" s="311"/>
      <c r="AE577" s="311"/>
    </row>
    <row r="578" spans="1:31" ht="16" x14ac:dyDescent="0.2">
      <c r="A578" s="311"/>
      <c r="B578" s="311"/>
      <c r="C578" s="311"/>
      <c r="D578" s="311"/>
      <c r="E578" s="311"/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  <c r="AA578" s="311"/>
      <c r="AB578" s="311"/>
      <c r="AC578" s="311"/>
      <c r="AD578" s="311"/>
      <c r="AE578" s="311"/>
    </row>
    <row r="579" spans="1:31" ht="16" x14ac:dyDescent="0.2">
      <c r="A579" s="311"/>
      <c r="B579" s="311"/>
      <c r="C579" s="311"/>
      <c r="D579" s="311"/>
      <c r="E579" s="311"/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  <c r="AA579" s="311"/>
      <c r="AB579" s="311"/>
      <c r="AC579" s="311"/>
      <c r="AD579" s="311"/>
      <c r="AE579" s="311"/>
    </row>
    <row r="580" spans="1:31" ht="16" x14ac:dyDescent="0.2">
      <c r="A580" s="311"/>
      <c r="B580" s="311"/>
      <c r="C580" s="311"/>
      <c r="D580" s="311"/>
      <c r="E580" s="311"/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  <c r="AA580" s="311"/>
      <c r="AB580" s="311"/>
      <c r="AC580" s="311"/>
      <c r="AD580" s="311"/>
      <c r="AE580" s="311"/>
    </row>
    <row r="581" spans="1:31" ht="16" x14ac:dyDescent="0.2">
      <c r="A581" s="311"/>
      <c r="B581" s="311"/>
      <c r="C581" s="311"/>
      <c r="D581" s="311"/>
      <c r="E581" s="311"/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  <c r="AA581" s="311"/>
      <c r="AB581" s="311"/>
      <c r="AC581" s="311"/>
      <c r="AD581" s="311"/>
      <c r="AE581" s="311"/>
    </row>
    <row r="582" spans="1:31" ht="16" x14ac:dyDescent="0.2">
      <c r="A582" s="311"/>
      <c r="B582" s="311"/>
      <c r="C582" s="311"/>
      <c r="D582" s="311"/>
      <c r="E582" s="311"/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  <c r="AA582" s="311"/>
      <c r="AB582" s="311"/>
      <c r="AC582" s="311"/>
      <c r="AD582" s="311"/>
      <c r="AE582" s="311"/>
    </row>
    <row r="583" spans="1:31" ht="16" x14ac:dyDescent="0.2">
      <c r="A583" s="311"/>
      <c r="B583" s="311"/>
      <c r="C583" s="311"/>
      <c r="D583" s="311"/>
      <c r="E583" s="311"/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  <c r="AA583" s="311"/>
      <c r="AB583" s="311"/>
      <c r="AC583" s="311"/>
      <c r="AD583" s="311"/>
      <c r="AE583" s="311"/>
    </row>
    <row r="584" spans="1:31" ht="16" x14ac:dyDescent="0.2">
      <c r="A584" s="311"/>
      <c r="B584" s="311"/>
      <c r="C584" s="311"/>
      <c r="D584" s="311"/>
      <c r="E584" s="311"/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  <c r="AA584" s="311"/>
      <c r="AB584" s="311"/>
      <c r="AC584" s="311"/>
      <c r="AD584" s="311"/>
      <c r="AE584" s="311"/>
    </row>
    <row r="585" spans="1:31" ht="16" x14ac:dyDescent="0.2">
      <c r="A585" s="311"/>
      <c r="B585" s="311"/>
      <c r="C585" s="311"/>
      <c r="D585" s="311"/>
      <c r="E585" s="311"/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  <c r="AA585" s="311"/>
      <c r="AB585" s="311"/>
      <c r="AC585" s="311"/>
      <c r="AD585" s="311"/>
      <c r="AE585" s="311"/>
    </row>
    <row r="586" spans="1:31" ht="16" x14ac:dyDescent="0.2">
      <c r="A586" s="311"/>
      <c r="B586" s="311"/>
      <c r="C586" s="311"/>
      <c r="D586" s="311"/>
      <c r="E586" s="311"/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  <c r="AA586" s="311"/>
      <c r="AB586" s="311"/>
      <c r="AC586" s="311"/>
      <c r="AD586" s="311"/>
      <c r="AE586" s="311"/>
    </row>
    <row r="587" spans="1:31" ht="16" x14ac:dyDescent="0.2">
      <c r="A587" s="311"/>
      <c r="B587" s="311"/>
      <c r="C587" s="311"/>
      <c r="D587" s="311"/>
      <c r="E587" s="311"/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  <c r="AA587" s="311"/>
      <c r="AB587" s="311"/>
      <c r="AC587" s="311"/>
      <c r="AD587" s="311"/>
      <c r="AE587" s="311"/>
    </row>
    <row r="588" spans="1:31" ht="16" x14ac:dyDescent="0.2">
      <c r="A588" s="311"/>
      <c r="B588" s="311"/>
      <c r="C588" s="311"/>
      <c r="D588" s="311"/>
      <c r="E588" s="311"/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  <c r="AA588" s="311"/>
      <c r="AB588" s="311"/>
      <c r="AC588" s="311"/>
      <c r="AD588" s="311"/>
      <c r="AE588" s="311"/>
    </row>
    <row r="589" spans="1:31" ht="16" x14ac:dyDescent="0.2">
      <c r="A589" s="311"/>
      <c r="B589" s="311"/>
      <c r="C589" s="311"/>
      <c r="D589" s="311"/>
      <c r="E589" s="311"/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  <c r="AA589" s="311"/>
      <c r="AB589" s="311"/>
      <c r="AC589" s="311"/>
      <c r="AD589" s="311"/>
      <c r="AE589" s="311"/>
    </row>
    <row r="590" spans="1:31" ht="16" x14ac:dyDescent="0.2">
      <c r="A590" s="311"/>
      <c r="B590" s="311"/>
      <c r="C590" s="311"/>
      <c r="D590" s="311"/>
      <c r="E590" s="311"/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  <c r="AA590" s="311"/>
      <c r="AB590" s="311"/>
      <c r="AC590" s="311"/>
      <c r="AD590" s="311"/>
      <c r="AE590" s="311"/>
    </row>
    <row r="591" spans="1:31" ht="16" x14ac:dyDescent="0.2">
      <c r="A591" s="311"/>
      <c r="B591" s="311"/>
      <c r="C591" s="311"/>
      <c r="D591" s="311"/>
      <c r="E591" s="311"/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  <c r="AA591" s="311"/>
      <c r="AB591" s="311"/>
      <c r="AC591" s="311"/>
      <c r="AD591" s="311"/>
      <c r="AE591" s="311"/>
    </row>
    <row r="592" spans="1:31" ht="16" x14ac:dyDescent="0.2">
      <c r="A592" s="311"/>
      <c r="B592" s="311"/>
      <c r="C592" s="311"/>
      <c r="D592" s="311"/>
      <c r="E592" s="311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  <c r="AA592" s="311"/>
      <c r="AB592" s="311"/>
      <c r="AC592" s="311"/>
      <c r="AD592" s="311"/>
      <c r="AE592" s="311"/>
    </row>
    <row r="593" spans="1:31" ht="16" x14ac:dyDescent="0.2">
      <c r="A593" s="311"/>
      <c r="B593" s="311"/>
      <c r="C593" s="311"/>
      <c r="D593" s="311"/>
      <c r="E593" s="311"/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  <c r="AA593" s="311"/>
      <c r="AB593" s="311"/>
      <c r="AC593" s="311"/>
      <c r="AD593" s="311"/>
      <c r="AE593" s="311"/>
    </row>
    <row r="594" spans="1:31" ht="16" x14ac:dyDescent="0.2">
      <c r="A594" s="311"/>
      <c r="B594" s="311"/>
      <c r="C594" s="311"/>
      <c r="D594" s="311"/>
      <c r="E594" s="311"/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  <c r="AA594" s="311"/>
      <c r="AB594" s="311"/>
      <c r="AC594" s="311"/>
      <c r="AD594" s="311"/>
      <c r="AE594" s="311"/>
    </row>
    <row r="595" spans="1:31" ht="16" x14ac:dyDescent="0.2">
      <c r="A595" s="311"/>
      <c r="B595" s="311"/>
      <c r="C595" s="311"/>
      <c r="D595" s="311"/>
      <c r="E595" s="311"/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  <c r="AA595" s="311"/>
      <c r="AB595" s="311"/>
      <c r="AC595" s="311"/>
      <c r="AD595" s="311"/>
      <c r="AE595" s="311"/>
    </row>
    <row r="596" spans="1:31" ht="16" x14ac:dyDescent="0.2">
      <c r="A596" s="311"/>
      <c r="B596" s="311"/>
      <c r="C596" s="311"/>
      <c r="D596" s="311"/>
      <c r="E596" s="311"/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  <c r="AA596" s="311"/>
      <c r="AB596" s="311"/>
      <c r="AC596" s="311"/>
      <c r="AD596" s="311"/>
      <c r="AE596" s="311"/>
    </row>
    <row r="597" spans="1:31" ht="16" x14ac:dyDescent="0.2">
      <c r="A597" s="311"/>
      <c r="B597" s="311"/>
      <c r="C597" s="311"/>
      <c r="D597" s="311"/>
      <c r="E597" s="311"/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  <c r="AA597" s="311"/>
      <c r="AB597" s="311"/>
      <c r="AC597" s="311"/>
      <c r="AD597" s="311"/>
      <c r="AE597" s="311"/>
    </row>
    <row r="598" spans="1:31" ht="16" x14ac:dyDescent="0.2">
      <c r="A598" s="311"/>
      <c r="B598" s="311"/>
      <c r="C598" s="311"/>
      <c r="D598" s="311"/>
      <c r="E598" s="311"/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  <c r="AA598" s="311"/>
      <c r="AB598" s="311"/>
      <c r="AC598" s="311"/>
      <c r="AD598" s="311"/>
      <c r="AE598" s="311"/>
    </row>
    <row r="599" spans="1:31" ht="16" x14ac:dyDescent="0.2">
      <c r="A599" s="311"/>
      <c r="B599" s="311"/>
      <c r="C599" s="311"/>
      <c r="D599" s="311"/>
      <c r="E599" s="311"/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  <c r="AA599" s="311"/>
      <c r="AB599" s="311"/>
      <c r="AC599" s="311"/>
      <c r="AD599" s="311"/>
      <c r="AE599" s="311"/>
    </row>
    <row r="600" spans="1:31" ht="16" x14ac:dyDescent="0.2">
      <c r="A600" s="311"/>
      <c r="B600" s="311"/>
      <c r="C600" s="311"/>
      <c r="D600" s="311"/>
      <c r="E600" s="311"/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  <c r="AA600" s="311"/>
      <c r="AB600" s="311"/>
      <c r="AC600" s="311"/>
      <c r="AD600" s="311"/>
      <c r="AE600" s="311"/>
    </row>
    <row r="601" spans="1:31" ht="16" x14ac:dyDescent="0.2">
      <c r="A601" s="311"/>
      <c r="B601" s="311"/>
      <c r="C601" s="311"/>
      <c r="D601" s="311"/>
      <c r="E601" s="311"/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  <c r="AA601" s="311"/>
      <c r="AB601" s="311"/>
      <c r="AC601" s="311"/>
      <c r="AD601" s="311"/>
      <c r="AE601" s="311"/>
    </row>
    <row r="602" spans="1:31" ht="16" x14ac:dyDescent="0.2">
      <c r="A602" s="311"/>
      <c r="B602" s="311"/>
      <c r="C602" s="311"/>
      <c r="D602" s="311"/>
      <c r="E602" s="311"/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  <c r="AA602" s="311"/>
      <c r="AB602" s="311"/>
      <c r="AC602" s="311"/>
      <c r="AD602" s="311"/>
      <c r="AE602" s="311"/>
    </row>
    <row r="603" spans="1:31" ht="16" x14ac:dyDescent="0.2">
      <c r="A603" s="311"/>
      <c r="B603" s="311"/>
      <c r="C603" s="311"/>
      <c r="D603" s="311"/>
      <c r="E603" s="311"/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  <c r="AA603" s="311"/>
      <c r="AB603" s="311"/>
      <c r="AC603" s="311"/>
      <c r="AD603" s="311"/>
      <c r="AE603" s="311"/>
    </row>
    <row r="604" spans="1:31" ht="16" x14ac:dyDescent="0.2">
      <c r="A604" s="311"/>
      <c r="B604" s="311"/>
      <c r="C604" s="311"/>
      <c r="D604" s="311"/>
      <c r="E604" s="311"/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  <c r="AA604" s="311"/>
      <c r="AB604" s="311"/>
      <c r="AC604" s="311"/>
      <c r="AD604" s="311"/>
      <c r="AE604" s="311"/>
    </row>
    <row r="605" spans="1:31" ht="16" x14ac:dyDescent="0.2">
      <c r="A605" s="311"/>
      <c r="B605" s="311"/>
      <c r="C605" s="311"/>
      <c r="D605" s="311"/>
      <c r="E605" s="311"/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  <c r="AA605" s="311"/>
      <c r="AB605" s="311"/>
      <c r="AC605" s="311"/>
      <c r="AD605" s="311"/>
      <c r="AE605" s="311"/>
    </row>
    <row r="606" spans="1:31" ht="16" x14ac:dyDescent="0.2">
      <c r="A606" s="311"/>
      <c r="B606" s="311"/>
      <c r="C606" s="311"/>
      <c r="D606" s="311"/>
      <c r="E606" s="311"/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  <c r="AA606" s="311"/>
      <c r="AB606" s="311"/>
      <c r="AC606" s="311"/>
      <c r="AD606" s="311"/>
      <c r="AE606" s="311"/>
    </row>
    <row r="607" spans="1:31" ht="16" x14ac:dyDescent="0.2">
      <c r="A607" s="311"/>
      <c r="B607" s="311"/>
      <c r="C607" s="311"/>
      <c r="D607" s="311"/>
      <c r="E607" s="311"/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  <c r="AA607" s="311"/>
      <c r="AB607" s="311"/>
      <c r="AC607" s="311"/>
      <c r="AD607" s="311"/>
      <c r="AE607" s="311"/>
    </row>
    <row r="608" spans="1:31" ht="16" x14ac:dyDescent="0.2">
      <c r="A608" s="311"/>
      <c r="B608" s="311"/>
      <c r="C608" s="311"/>
      <c r="D608" s="311"/>
      <c r="E608" s="311"/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  <c r="AA608" s="311"/>
      <c r="AB608" s="311"/>
      <c r="AC608" s="311"/>
      <c r="AD608" s="311"/>
      <c r="AE608" s="311"/>
    </row>
    <row r="609" spans="1:31" ht="16" x14ac:dyDescent="0.2">
      <c r="A609" s="311"/>
      <c r="B609" s="311"/>
      <c r="C609" s="311"/>
      <c r="D609" s="311"/>
      <c r="E609" s="311"/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  <c r="AA609" s="311"/>
      <c r="AB609" s="311"/>
      <c r="AC609" s="311"/>
      <c r="AD609" s="311"/>
      <c r="AE609" s="311"/>
    </row>
    <row r="610" spans="1:31" ht="16" x14ac:dyDescent="0.2">
      <c r="A610" s="311"/>
      <c r="B610" s="311"/>
      <c r="C610" s="311"/>
      <c r="D610" s="311"/>
      <c r="E610" s="311"/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  <c r="AA610" s="311"/>
      <c r="AB610" s="311"/>
      <c r="AC610" s="311"/>
      <c r="AD610" s="311"/>
      <c r="AE610" s="311"/>
    </row>
    <row r="611" spans="1:31" ht="16" x14ac:dyDescent="0.2">
      <c r="A611" s="311"/>
      <c r="B611" s="311"/>
      <c r="C611" s="311"/>
      <c r="D611" s="311"/>
      <c r="E611" s="311"/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  <c r="AA611" s="311"/>
      <c r="AB611" s="311"/>
      <c r="AC611" s="311"/>
      <c r="AD611" s="311"/>
      <c r="AE611" s="311"/>
    </row>
    <row r="612" spans="1:31" ht="16" x14ac:dyDescent="0.2">
      <c r="A612" s="311"/>
      <c r="B612" s="311"/>
      <c r="C612" s="311"/>
      <c r="D612" s="311"/>
      <c r="E612" s="311"/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  <c r="AA612" s="311"/>
      <c r="AB612" s="311"/>
      <c r="AC612" s="311"/>
      <c r="AD612" s="311"/>
      <c r="AE612" s="311"/>
    </row>
    <row r="613" spans="1:31" ht="16" x14ac:dyDescent="0.2">
      <c r="A613" s="311"/>
      <c r="B613" s="311"/>
      <c r="C613" s="311"/>
      <c r="D613" s="311"/>
      <c r="E613" s="311"/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  <c r="AA613" s="311"/>
      <c r="AB613" s="311"/>
      <c r="AC613" s="311"/>
      <c r="AD613" s="311"/>
      <c r="AE613" s="311"/>
    </row>
    <row r="614" spans="1:31" ht="16" x14ac:dyDescent="0.2">
      <c r="A614" s="311"/>
      <c r="B614" s="311"/>
      <c r="C614" s="311"/>
      <c r="D614" s="311"/>
      <c r="E614" s="311"/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  <c r="AA614" s="311"/>
      <c r="AB614" s="311"/>
      <c r="AC614" s="311"/>
      <c r="AD614" s="311"/>
      <c r="AE614" s="311"/>
    </row>
    <row r="615" spans="1:31" ht="16" x14ac:dyDescent="0.2">
      <c r="A615" s="311"/>
      <c r="B615" s="311"/>
      <c r="C615" s="311"/>
      <c r="D615" s="311"/>
      <c r="E615" s="311"/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  <c r="AA615" s="311"/>
      <c r="AB615" s="311"/>
      <c r="AC615" s="311"/>
      <c r="AD615" s="311"/>
      <c r="AE615" s="311"/>
    </row>
    <row r="616" spans="1:31" ht="16" x14ac:dyDescent="0.2">
      <c r="A616" s="311"/>
      <c r="B616" s="311"/>
      <c r="C616" s="311"/>
      <c r="D616" s="311"/>
      <c r="E616" s="311"/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  <c r="AA616" s="311"/>
      <c r="AB616" s="311"/>
      <c r="AC616" s="311"/>
      <c r="AD616" s="311"/>
      <c r="AE616" s="311"/>
    </row>
    <row r="617" spans="1:31" ht="16" x14ac:dyDescent="0.2">
      <c r="A617" s="311"/>
      <c r="B617" s="311"/>
      <c r="C617" s="311"/>
      <c r="D617" s="311"/>
      <c r="E617" s="311"/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  <c r="AA617" s="311"/>
      <c r="AB617" s="311"/>
      <c r="AC617" s="311"/>
      <c r="AD617" s="311"/>
      <c r="AE617" s="311"/>
    </row>
    <row r="618" spans="1:31" ht="16" x14ac:dyDescent="0.2">
      <c r="A618" s="311"/>
      <c r="B618" s="311"/>
      <c r="C618" s="311"/>
      <c r="D618" s="311"/>
      <c r="E618" s="311"/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  <c r="AA618" s="311"/>
      <c r="AB618" s="311"/>
      <c r="AC618" s="311"/>
      <c r="AD618" s="311"/>
      <c r="AE618" s="311"/>
    </row>
    <row r="619" spans="1:31" ht="16" x14ac:dyDescent="0.2">
      <c r="A619" s="311"/>
      <c r="B619" s="311"/>
      <c r="C619" s="311"/>
      <c r="D619" s="311"/>
      <c r="E619" s="311"/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  <c r="AA619" s="311"/>
      <c r="AB619" s="311"/>
      <c r="AC619" s="311"/>
      <c r="AD619" s="311"/>
      <c r="AE619" s="311"/>
    </row>
    <row r="620" spans="1:31" ht="16" x14ac:dyDescent="0.2">
      <c r="A620" s="311"/>
      <c r="B620" s="311"/>
      <c r="C620" s="311"/>
      <c r="D620" s="311"/>
      <c r="E620" s="311"/>
      <c r="F620" s="311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</row>
    <row r="621" spans="1:31" ht="16" x14ac:dyDescent="0.2">
      <c r="A621" s="311"/>
      <c r="B621" s="311"/>
      <c r="C621" s="311"/>
      <c r="D621" s="311"/>
      <c r="E621" s="311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  <c r="AA621" s="311"/>
      <c r="AB621" s="311"/>
      <c r="AC621" s="311"/>
      <c r="AD621" s="311"/>
      <c r="AE621" s="311"/>
    </row>
    <row r="622" spans="1:31" ht="16" x14ac:dyDescent="0.2">
      <c r="A622" s="311"/>
      <c r="B622" s="311"/>
      <c r="C622" s="311"/>
      <c r="D622" s="311"/>
      <c r="E622" s="311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  <c r="AA622" s="311"/>
      <c r="AB622" s="311"/>
      <c r="AC622" s="311"/>
      <c r="AD622" s="311"/>
      <c r="AE622" s="311"/>
    </row>
    <row r="623" spans="1:31" ht="16" x14ac:dyDescent="0.2">
      <c r="A623" s="311"/>
      <c r="B623" s="311"/>
      <c r="C623" s="311"/>
      <c r="D623" s="311"/>
      <c r="E623" s="311"/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  <c r="AA623" s="311"/>
      <c r="AB623" s="311"/>
      <c r="AC623" s="311"/>
      <c r="AD623" s="311"/>
      <c r="AE623" s="311"/>
    </row>
    <row r="624" spans="1:31" ht="16" x14ac:dyDescent="0.2">
      <c r="A624" s="311"/>
      <c r="B624" s="311"/>
      <c r="C624" s="311"/>
      <c r="D624" s="311"/>
      <c r="E624" s="311"/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  <c r="AA624" s="311"/>
      <c r="AB624" s="311"/>
      <c r="AC624" s="311"/>
      <c r="AD624" s="311"/>
      <c r="AE624" s="311"/>
    </row>
    <row r="625" spans="1:31" ht="16" x14ac:dyDescent="0.2">
      <c r="A625" s="311"/>
      <c r="B625" s="311"/>
      <c r="C625" s="311"/>
      <c r="D625" s="311"/>
      <c r="E625" s="311"/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  <c r="AA625" s="311"/>
      <c r="AB625" s="311"/>
      <c r="AC625" s="311"/>
      <c r="AD625" s="311"/>
      <c r="AE625" s="311"/>
    </row>
    <row r="626" spans="1:31" ht="16" x14ac:dyDescent="0.2">
      <c r="A626" s="311"/>
      <c r="B626" s="311"/>
      <c r="C626" s="311"/>
      <c r="D626" s="311"/>
      <c r="E626" s="311"/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  <c r="AA626" s="311"/>
      <c r="AB626" s="311"/>
      <c r="AC626" s="311"/>
      <c r="AD626" s="311"/>
      <c r="AE626" s="311"/>
    </row>
    <row r="627" spans="1:31" ht="16" x14ac:dyDescent="0.2">
      <c r="A627" s="311"/>
      <c r="B627" s="311"/>
      <c r="C627" s="311"/>
      <c r="D627" s="311"/>
      <c r="E627" s="311"/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  <c r="AA627" s="311"/>
      <c r="AB627" s="311"/>
      <c r="AC627" s="311"/>
      <c r="AD627" s="311"/>
      <c r="AE627" s="311"/>
    </row>
    <row r="628" spans="1:31" ht="16" x14ac:dyDescent="0.2">
      <c r="A628" s="311"/>
      <c r="B628" s="311"/>
      <c r="C628" s="311"/>
      <c r="D628" s="311"/>
      <c r="E628" s="311"/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  <c r="AA628" s="311"/>
      <c r="AB628" s="311"/>
      <c r="AC628" s="311"/>
      <c r="AD628" s="311"/>
      <c r="AE628" s="311"/>
    </row>
    <row r="629" spans="1:31" ht="16" x14ac:dyDescent="0.2">
      <c r="A629" s="311"/>
      <c r="B629" s="311"/>
      <c r="C629" s="311"/>
      <c r="D629" s="311"/>
      <c r="E629" s="311"/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  <c r="AA629" s="311"/>
      <c r="AB629" s="311"/>
      <c r="AC629" s="311"/>
      <c r="AD629" s="311"/>
      <c r="AE629" s="311"/>
    </row>
    <row r="630" spans="1:31" ht="16" x14ac:dyDescent="0.2">
      <c r="A630" s="311"/>
      <c r="B630" s="311"/>
      <c r="C630" s="311"/>
      <c r="D630" s="311"/>
      <c r="E630" s="311"/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  <c r="AA630" s="311"/>
      <c r="AB630" s="311"/>
      <c r="AC630" s="311"/>
      <c r="AD630" s="311"/>
      <c r="AE630" s="311"/>
    </row>
    <row r="631" spans="1:31" ht="16" x14ac:dyDescent="0.2">
      <c r="A631" s="311"/>
      <c r="B631" s="311"/>
      <c r="C631" s="311"/>
      <c r="D631" s="311"/>
      <c r="E631" s="311"/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  <c r="AA631" s="311"/>
      <c r="AB631" s="311"/>
      <c r="AC631" s="311"/>
      <c r="AD631" s="311"/>
      <c r="AE631" s="311"/>
    </row>
    <row r="632" spans="1:31" ht="16" x14ac:dyDescent="0.2">
      <c r="A632" s="311"/>
      <c r="B632" s="311"/>
      <c r="C632" s="311"/>
      <c r="D632" s="311"/>
      <c r="E632" s="311"/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  <c r="AA632" s="311"/>
      <c r="AB632" s="311"/>
      <c r="AC632" s="311"/>
      <c r="AD632" s="311"/>
      <c r="AE632" s="311"/>
    </row>
    <row r="633" spans="1:31" ht="16" x14ac:dyDescent="0.2">
      <c r="A633" s="311"/>
      <c r="B633" s="311"/>
      <c r="C633" s="311"/>
      <c r="D633" s="311"/>
      <c r="E633" s="311"/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  <c r="AA633" s="311"/>
      <c r="AB633" s="311"/>
      <c r="AC633" s="311"/>
      <c r="AD633" s="311"/>
      <c r="AE633" s="311"/>
    </row>
    <row r="634" spans="1:31" ht="16" x14ac:dyDescent="0.2">
      <c r="A634" s="311"/>
      <c r="B634" s="311"/>
      <c r="C634" s="311"/>
      <c r="D634" s="311"/>
      <c r="E634" s="311"/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  <c r="AA634" s="311"/>
      <c r="AB634" s="311"/>
      <c r="AC634" s="311"/>
      <c r="AD634" s="311"/>
      <c r="AE634" s="311"/>
    </row>
    <row r="635" spans="1:31" ht="16" x14ac:dyDescent="0.2">
      <c r="A635" s="311"/>
      <c r="B635" s="311"/>
      <c r="C635" s="311"/>
      <c r="D635" s="311"/>
      <c r="E635" s="311"/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  <c r="AA635" s="311"/>
      <c r="AB635" s="311"/>
      <c r="AC635" s="311"/>
      <c r="AD635" s="311"/>
      <c r="AE635" s="311"/>
    </row>
    <row r="636" spans="1:31" ht="16" x14ac:dyDescent="0.2">
      <c r="A636" s="311"/>
      <c r="B636" s="311"/>
      <c r="C636" s="311"/>
      <c r="D636" s="311"/>
      <c r="E636" s="311"/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  <c r="AA636" s="311"/>
      <c r="AB636" s="311"/>
      <c r="AC636" s="311"/>
      <c r="AD636" s="311"/>
      <c r="AE636" s="311"/>
    </row>
    <row r="637" spans="1:31" ht="16" x14ac:dyDescent="0.2">
      <c r="A637" s="311"/>
      <c r="B637" s="311"/>
      <c r="C637" s="311"/>
      <c r="D637" s="311"/>
      <c r="E637" s="311"/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  <c r="AA637" s="311"/>
      <c r="AB637" s="311"/>
      <c r="AC637" s="311"/>
      <c r="AD637" s="311"/>
      <c r="AE637" s="311"/>
    </row>
    <row r="638" spans="1:31" ht="16" x14ac:dyDescent="0.2">
      <c r="A638" s="311"/>
      <c r="B638" s="311"/>
      <c r="C638" s="311"/>
      <c r="D638" s="311"/>
      <c r="E638" s="311"/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  <c r="AA638" s="311"/>
      <c r="AB638" s="311"/>
      <c r="AC638" s="311"/>
      <c r="AD638" s="311"/>
      <c r="AE638" s="311"/>
    </row>
    <row r="639" spans="1:31" ht="16" x14ac:dyDescent="0.2">
      <c r="A639" s="311"/>
      <c r="B639" s="311"/>
      <c r="C639" s="311"/>
      <c r="D639" s="311"/>
      <c r="E639" s="311"/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  <c r="AA639" s="311"/>
      <c r="AB639" s="311"/>
      <c r="AC639" s="311"/>
      <c r="AD639" s="311"/>
      <c r="AE639" s="311"/>
    </row>
    <row r="640" spans="1:31" ht="16" x14ac:dyDescent="0.2">
      <c r="A640" s="311"/>
      <c r="B640" s="311"/>
      <c r="C640" s="311"/>
      <c r="D640" s="311"/>
      <c r="E640" s="311"/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  <c r="AA640" s="311"/>
      <c r="AB640" s="311"/>
      <c r="AC640" s="311"/>
      <c r="AD640" s="311"/>
      <c r="AE640" s="311"/>
    </row>
    <row r="641" spans="1:31" ht="16" x14ac:dyDescent="0.2">
      <c r="A641" s="311"/>
      <c r="B641" s="311"/>
      <c r="C641" s="311"/>
      <c r="D641" s="311"/>
      <c r="E641" s="311"/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  <c r="AA641" s="311"/>
      <c r="AB641" s="311"/>
      <c r="AC641" s="311"/>
      <c r="AD641" s="311"/>
      <c r="AE641" s="311"/>
    </row>
    <row r="642" spans="1:31" ht="16" x14ac:dyDescent="0.2">
      <c r="A642" s="311"/>
      <c r="B642" s="311"/>
      <c r="C642" s="311"/>
      <c r="D642" s="311"/>
      <c r="E642" s="311"/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  <c r="AA642" s="311"/>
      <c r="AB642" s="311"/>
      <c r="AC642" s="311"/>
      <c r="AD642" s="311"/>
      <c r="AE642" s="311"/>
    </row>
    <row r="643" spans="1:31" ht="16" x14ac:dyDescent="0.2">
      <c r="A643" s="311"/>
      <c r="B643" s="311"/>
      <c r="C643" s="311"/>
      <c r="D643" s="311"/>
      <c r="E643" s="311"/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  <c r="AA643" s="311"/>
      <c r="AB643" s="311"/>
      <c r="AC643" s="311"/>
      <c r="AD643" s="311"/>
      <c r="AE643" s="311"/>
    </row>
    <row r="644" spans="1:31" ht="16" x14ac:dyDescent="0.2">
      <c r="A644" s="311"/>
      <c r="B644" s="311"/>
      <c r="C644" s="311"/>
      <c r="D644" s="311"/>
      <c r="E644" s="311"/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  <c r="AA644" s="311"/>
      <c r="AB644" s="311"/>
      <c r="AC644" s="311"/>
      <c r="AD644" s="311"/>
      <c r="AE644" s="311"/>
    </row>
    <row r="645" spans="1:31" ht="16" x14ac:dyDescent="0.2">
      <c r="A645" s="311"/>
      <c r="B645" s="311"/>
      <c r="C645" s="311"/>
      <c r="D645" s="311"/>
      <c r="E645" s="311"/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  <c r="AA645" s="311"/>
      <c r="AB645" s="311"/>
      <c r="AC645" s="311"/>
      <c r="AD645" s="311"/>
      <c r="AE645" s="311"/>
    </row>
    <row r="646" spans="1:31" ht="16" x14ac:dyDescent="0.2">
      <c r="A646" s="311"/>
      <c r="B646" s="311"/>
      <c r="C646" s="311"/>
      <c r="D646" s="311"/>
      <c r="E646" s="311"/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  <c r="AA646" s="311"/>
      <c r="AB646" s="311"/>
      <c r="AC646" s="311"/>
      <c r="AD646" s="311"/>
      <c r="AE646" s="311"/>
    </row>
    <row r="647" spans="1:31" ht="16" x14ac:dyDescent="0.2">
      <c r="A647" s="311"/>
      <c r="B647" s="311"/>
      <c r="C647" s="311"/>
      <c r="D647" s="311"/>
      <c r="E647" s="311"/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  <c r="AA647" s="311"/>
      <c r="AB647" s="311"/>
      <c r="AC647" s="311"/>
      <c r="AD647" s="311"/>
      <c r="AE647" s="311"/>
    </row>
    <row r="648" spans="1:31" ht="16" x14ac:dyDescent="0.2">
      <c r="A648" s="311"/>
      <c r="B648" s="311"/>
      <c r="C648" s="311"/>
      <c r="D648" s="311"/>
      <c r="E648" s="311"/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  <c r="AA648" s="311"/>
      <c r="AB648" s="311"/>
      <c r="AC648" s="311"/>
      <c r="AD648" s="311"/>
      <c r="AE648" s="311"/>
    </row>
    <row r="649" spans="1:31" ht="16" x14ac:dyDescent="0.2">
      <c r="A649" s="311"/>
      <c r="B649" s="311"/>
      <c r="C649" s="311"/>
      <c r="D649" s="311"/>
      <c r="E649" s="311"/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  <c r="AA649" s="311"/>
      <c r="AB649" s="311"/>
      <c r="AC649" s="311"/>
      <c r="AD649" s="311"/>
      <c r="AE649" s="311"/>
    </row>
    <row r="650" spans="1:31" ht="16" x14ac:dyDescent="0.2">
      <c r="A650" s="311"/>
      <c r="B650" s="311"/>
      <c r="C650" s="311"/>
      <c r="D650" s="311"/>
      <c r="E650" s="311"/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  <c r="AA650" s="311"/>
      <c r="AB650" s="311"/>
      <c r="AC650" s="311"/>
      <c r="AD650" s="311"/>
      <c r="AE650" s="311"/>
    </row>
    <row r="651" spans="1:31" ht="16" x14ac:dyDescent="0.2">
      <c r="A651" s="311"/>
      <c r="B651" s="311"/>
      <c r="C651" s="311"/>
      <c r="D651" s="311"/>
      <c r="E651" s="311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  <c r="AA651" s="311"/>
      <c r="AB651" s="311"/>
      <c r="AC651" s="311"/>
      <c r="AD651" s="311"/>
      <c r="AE651" s="311"/>
    </row>
    <row r="652" spans="1:31" ht="16" x14ac:dyDescent="0.2">
      <c r="A652" s="311"/>
      <c r="B652" s="311"/>
      <c r="C652" s="311"/>
      <c r="D652" s="311"/>
      <c r="E652" s="311"/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  <c r="AA652" s="311"/>
      <c r="AB652" s="311"/>
      <c r="AC652" s="311"/>
      <c r="AD652" s="311"/>
      <c r="AE652" s="311"/>
    </row>
    <row r="653" spans="1:31" ht="16" x14ac:dyDescent="0.2">
      <c r="A653" s="311"/>
      <c r="B653" s="311"/>
      <c r="C653" s="311"/>
      <c r="D653" s="311"/>
      <c r="E653" s="311"/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  <c r="AA653" s="311"/>
      <c r="AB653" s="311"/>
      <c r="AC653" s="311"/>
      <c r="AD653" s="311"/>
      <c r="AE653" s="311"/>
    </row>
    <row r="654" spans="1:31" ht="16" x14ac:dyDescent="0.2">
      <c r="A654" s="311"/>
      <c r="B654" s="311"/>
      <c r="C654" s="311"/>
      <c r="D654" s="311"/>
      <c r="E654" s="311"/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  <c r="AA654" s="311"/>
      <c r="AB654" s="311"/>
      <c r="AC654" s="311"/>
      <c r="AD654" s="311"/>
      <c r="AE654" s="311"/>
    </row>
    <row r="655" spans="1:31" ht="16" x14ac:dyDescent="0.2">
      <c r="A655" s="311"/>
      <c r="B655" s="311"/>
      <c r="C655" s="311"/>
      <c r="D655" s="311"/>
      <c r="E655" s="311"/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  <c r="AA655" s="311"/>
      <c r="AB655" s="311"/>
      <c r="AC655" s="311"/>
      <c r="AD655" s="311"/>
      <c r="AE655" s="311"/>
    </row>
    <row r="656" spans="1:31" ht="16" x14ac:dyDescent="0.2">
      <c r="A656" s="311"/>
      <c r="B656" s="311"/>
      <c r="C656" s="311"/>
      <c r="D656" s="311"/>
      <c r="E656" s="311"/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  <c r="AA656" s="311"/>
      <c r="AB656" s="311"/>
      <c r="AC656" s="311"/>
      <c r="AD656" s="311"/>
      <c r="AE656" s="311"/>
    </row>
    <row r="657" spans="1:31" ht="16" x14ac:dyDescent="0.2">
      <c r="A657" s="311"/>
      <c r="B657" s="311"/>
      <c r="C657" s="311"/>
      <c r="D657" s="311"/>
      <c r="E657" s="311"/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  <c r="AA657" s="311"/>
      <c r="AB657" s="311"/>
      <c r="AC657" s="311"/>
      <c r="AD657" s="311"/>
      <c r="AE657" s="311"/>
    </row>
    <row r="658" spans="1:31" ht="16" x14ac:dyDescent="0.2">
      <c r="A658" s="311"/>
      <c r="B658" s="311"/>
      <c r="C658" s="311"/>
      <c r="D658" s="311"/>
      <c r="E658" s="311"/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  <c r="AA658" s="311"/>
      <c r="AB658" s="311"/>
      <c r="AC658" s="311"/>
      <c r="AD658" s="311"/>
      <c r="AE658" s="311"/>
    </row>
    <row r="659" spans="1:31" ht="16" x14ac:dyDescent="0.2">
      <c r="A659" s="311"/>
      <c r="B659" s="311"/>
      <c r="C659" s="311"/>
      <c r="D659" s="311"/>
      <c r="E659" s="311"/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  <c r="AA659" s="311"/>
      <c r="AB659" s="311"/>
      <c r="AC659" s="311"/>
      <c r="AD659" s="311"/>
      <c r="AE659" s="311"/>
    </row>
    <row r="660" spans="1:31" ht="16" x14ac:dyDescent="0.2">
      <c r="A660" s="311"/>
      <c r="B660" s="311"/>
      <c r="C660" s="311"/>
      <c r="D660" s="311"/>
      <c r="E660" s="311"/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  <c r="AA660" s="311"/>
      <c r="AB660" s="311"/>
      <c r="AC660" s="311"/>
      <c r="AD660" s="311"/>
      <c r="AE660" s="311"/>
    </row>
    <row r="661" spans="1:31" ht="16" x14ac:dyDescent="0.2">
      <c r="A661" s="311"/>
      <c r="B661" s="311"/>
      <c r="C661" s="311"/>
      <c r="D661" s="311"/>
      <c r="E661" s="311"/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  <c r="AA661" s="311"/>
      <c r="AB661" s="311"/>
      <c r="AC661" s="311"/>
      <c r="AD661" s="311"/>
      <c r="AE661" s="311"/>
    </row>
    <row r="662" spans="1:31" ht="16" x14ac:dyDescent="0.2">
      <c r="A662" s="311"/>
      <c r="B662" s="311"/>
      <c r="C662" s="311"/>
      <c r="D662" s="311"/>
      <c r="E662" s="311"/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  <c r="AA662" s="311"/>
      <c r="AB662" s="311"/>
      <c r="AC662" s="311"/>
      <c r="AD662" s="311"/>
      <c r="AE662" s="311"/>
    </row>
    <row r="663" spans="1:31" ht="16" x14ac:dyDescent="0.2">
      <c r="A663" s="311"/>
      <c r="B663" s="311"/>
      <c r="C663" s="311"/>
      <c r="D663" s="311"/>
      <c r="E663" s="311"/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  <c r="AA663" s="311"/>
      <c r="AB663" s="311"/>
      <c r="AC663" s="311"/>
      <c r="AD663" s="311"/>
      <c r="AE663" s="311"/>
    </row>
    <row r="664" spans="1:31" ht="16" x14ac:dyDescent="0.2">
      <c r="A664" s="311"/>
      <c r="B664" s="311"/>
      <c r="C664" s="311"/>
      <c r="D664" s="311"/>
      <c r="E664" s="311"/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  <c r="AA664" s="311"/>
      <c r="AB664" s="311"/>
      <c r="AC664" s="311"/>
      <c r="AD664" s="311"/>
      <c r="AE664" s="311"/>
    </row>
    <row r="665" spans="1:31" ht="16" x14ac:dyDescent="0.2">
      <c r="A665" s="311"/>
      <c r="B665" s="311"/>
      <c r="C665" s="311"/>
      <c r="D665" s="311"/>
      <c r="E665" s="311"/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  <c r="AA665" s="311"/>
      <c r="AB665" s="311"/>
      <c r="AC665" s="311"/>
      <c r="AD665" s="311"/>
      <c r="AE665" s="311"/>
    </row>
    <row r="666" spans="1:31" ht="16" x14ac:dyDescent="0.2">
      <c r="A666" s="311"/>
      <c r="B666" s="311"/>
      <c r="C666" s="311"/>
      <c r="D666" s="311"/>
      <c r="E666" s="311"/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  <c r="AA666" s="311"/>
      <c r="AB666" s="311"/>
      <c r="AC666" s="311"/>
      <c r="AD666" s="311"/>
      <c r="AE666" s="311"/>
    </row>
    <row r="667" spans="1:31" ht="16" x14ac:dyDescent="0.2">
      <c r="A667" s="311"/>
      <c r="B667" s="311"/>
      <c r="C667" s="311"/>
      <c r="D667" s="311"/>
      <c r="E667" s="311"/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  <c r="AA667" s="311"/>
      <c r="AB667" s="311"/>
      <c r="AC667" s="311"/>
      <c r="AD667" s="311"/>
      <c r="AE667" s="311"/>
    </row>
    <row r="668" spans="1:31" ht="16" x14ac:dyDescent="0.2">
      <c r="A668" s="311"/>
      <c r="B668" s="311"/>
      <c r="C668" s="311"/>
      <c r="D668" s="311"/>
      <c r="E668" s="311"/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  <c r="AA668" s="311"/>
      <c r="AB668" s="311"/>
      <c r="AC668" s="311"/>
      <c r="AD668" s="311"/>
      <c r="AE668" s="311"/>
    </row>
    <row r="669" spans="1:31" ht="16" x14ac:dyDescent="0.2">
      <c r="A669" s="311"/>
      <c r="B669" s="311"/>
      <c r="C669" s="311"/>
      <c r="D669" s="311"/>
      <c r="E669" s="311"/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  <c r="AA669" s="311"/>
      <c r="AB669" s="311"/>
      <c r="AC669" s="311"/>
      <c r="AD669" s="311"/>
      <c r="AE669" s="311"/>
    </row>
    <row r="670" spans="1:31" ht="16" x14ac:dyDescent="0.2">
      <c r="A670" s="311"/>
      <c r="B670" s="311"/>
      <c r="C670" s="311"/>
      <c r="D670" s="311"/>
      <c r="E670" s="311"/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  <c r="AA670" s="311"/>
      <c r="AB670" s="311"/>
      <c r="AC670" s="311"/>
      <c r="AD670" s="311"/>
      <c r="AE670" s="311"/>
    </row>
    <row r="671" spans="1:31" ht="16" x14ac:dyDescent="0.2">
      <c r="A671" s="311"/>
      <c r="B671" s="311"/>
      <c r="C671" s="311"/>
      <c r="D671" s="311"/>
      <c r="E671" s="311"/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  <c r="AA671" s="311"/>
      <c r="AB671" s="311"/>
      <c r="AC671" s="311"/>
      <c r="AD671" s="311"/>
      <c r="AE671" s="311"/>
    </row>
    <row r="672" spans="1:31" ht="16" x14ac:dyDescent="0.2">
      <c r="A672" s="311"/>
      <c r="B672" s="311"/>
      <c r="C672" s="311"/>
      <c r="D672" s="311"/>
      <c r="E672" s="311"/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  <c r="AA672" s="311"/>
      <c r="AB672" s="311"/>
      <c r="AC672" s="311"/>
      <c r="AD672" s="311"/>
      <c r="AE672" s="311"/>
    </row>
    <row r="673" spans="1:31" ht="16" x14ac:dyDescent="0.2">
      <c r="A673" s="311"/>
      <c r="B673" s="311"/>
      <c r="C673" s="311"/>
      <c r="D673" s="311"/>
      <c r="E673" s="311"/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  <c r="AA673" s="311"/>
      <c r="AB673" s="311"/>
      <c r="AC673" s="311"/>
      <c r="AD673" s="311"/>
      <c r="AE673" s="311"/>
    </row>
    <row r="674" spans="1:31" ht="16" x14ac:dyDescent="0.2">
      <c r="A674" s="311"/>
      <c r="B674" s="311"/>
      <c r="C674" s="311"/>
      <c r="D674" s="311"/>
      <c r="E674" s="311"/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  <c r="AA674" s="311"/>
      <c r="AB674" s="311"/>
      <c r="AC674" s="311"/>
      <c r="AD674" s="311"/>
      <c r="AE674" s="311"/>
    </row>
    <row r="675" spans="1:31" ht="16" x14ac:dyDescent="0.2">
      <c r="A675" s="311"/>
      <c r="B675" s="311"/>
      <c r="C675" s="311"/>
      <c r="D675" s="311"/>
      <c r="E675" s="311"/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  <c r="AA675" s="311"/>
      <c r="AB675" s="311"/>
      <c r="AC675" s="311"/>
      <c r="AD675" s="311"/>
      <c r="AE675" s="311"/>
    </row>
    <row r="676" spans="1:31" ht="16" x14ac:dyDescent="0.2">
      <c r="A676" s="311"/>
      <c r="B676" s="311"/>
      <c r="C676" s="311"/>
      <c r="D676" s="311"/>
      <c r="E676" s="311"/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  <c r="AA676" s="311"/>
      <c r="AB676" s="311"/>
      <c r="AC676" s="311"/>
      <c r="AD676" s="311"/>
      <c r="AE676" s="311"/>
    </row>
    <row r="677" spans="1:31" ht="16" x14ac:dyDescent="0.2">
      <c r="A677" s="311"/>
      <c r="B677" s="311"/>
      <c r="C677" s="311"/>
      <c r="D677" s="311"/>
      <c r="E677" s="311"/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  <c r="AA677" s="311"/>
      <c r="AB677" s="311"/>
      <c r="AC677" s="311"/>
      <c r="AD677" s="311"/>
      <c r="AE677" s="311"/>
    </row>
    <row r="678" spans="1:31" ht="16" x14ac:dyDescent="0.2">
      <c r="A678" s="311"/>
      <c r="B678" s="311"/>
      <c r="C678" s="311"/>
      <c r="D678" s="311"/>
      <c r="E678" s="311"/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  <c r="AA678" s="311"/>
      <c r="AB678" s="311"/>
      <c r="AC678" s="311"/>
      <c r="AD678" s="311"/>
      <c r="AE678" s="311"/>
    </row>
    <row r="679" spans="1:31" ht="16" x14ac:dyDescent="0.2">
      <c r="A679" s="311"/>
      <c r="B679" s="311"/>
      <c r="C679" s="311"/>
      <c r="D679" s="311"/>
      <c r="E679" s="311"/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  <c r="AA679" s="311"/>
      <c r="AB679" s="311"/>
      <c r="AC679" s="311"/>
      <c r="AD679" s="311"/>
      <c r="AE679" s="311"/>
    </row>
    <row r="680" spans="1:31" ht="16" x14ac:dyDescent="0.2">
      <c r="A680" s="311"/>
      <c r="B680" s="311"/>
      <c r="C680" s="311"/>
      <c r="D680" s="311"/>
      <c r="E680" s="311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  <c r="AA680" s="311"/>
      <c r="AB680" s="311"/>
      <c r="AC680" s="311"/>
      <c r="AD680" s="311"/>
      <c r="AE680" s="311"/>
    </row>
    <row r="681" spans="1:31" ht="16" x14ac:dyDescent="0.2">
      <c r="A681" s="311"/>
      <c r="B681" s="311"/>
      <c r="C681" s="311"/>
      <c r="D681" s="311"/>
      <c r="E681" s="311"/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  <c r="AA681" s="311"/>
      <c r="AB681" s="311"/>
      <c r="AC681" s="311"/>
      <c r="AD681" s="311"/>
      <c r="AE681" s="311"/>
    </row>
    <row r="682" spans="1:31" ht="16" x14ac:dyDescent="0.2">
      <c r="A682" s="311"/>
      <c r="B682" s="311"/>
      <c r="C682" s="311"/>
      <c r="D682" s="311"/>
      <c r="E682" s="311"/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  <c r="AA682" s="311"/>
      <c r="AB682" s="311"/>
      <c r="AC682" s="311"/>
      <c r="AD682" s="311"/>
      <c r="AE682" s="311"/>
    </row>
    <row r="683" spans="1:31" ht="16" x14ac:dyDescent="0.2">
      <c r="A683" s="311"/>
      <c r="B683" s="311"/>
      <c r="C683" s="311"/>
      <c r="D683" s="311"/>
      <c r="E683" s="311"/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  <c r="AA683" s="311"/>
      <c r="AB683" s="311"/>
      <c r="AC683" s="311"/>
      <c r="AD683" s="311"/>
      <c r="AE683" s="311"/>
    </row>
    <row r="684" spans="1:31" ht="16" x14ac:dyDescent="0.2">
      <c r="A684" s="311"/>
      <c r="B684" s="311"/>
      <c r="C684" s="311"/>
      <c r="D684" s="311"/>
      <c r="E684" s="311"/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  <c r="AA684" s="311"/>
      <c r="AB684" s="311"/>
      <c r="AC684" s="311"/>
      <c r="AD684" s="311"/>
      <c r="AE684" s="311"/>
    </row>
    <row r="685" spans="1:31" ht="16" x14ac:dyDescent="0.2">
      <c r="A685" s="311"/>
      <c r="B685" s="311"/>
      <c r="C685" s="311"/>
      <c r="D685" s="311"/>
      <c r="E685" s="311"/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  <c r="AA685" s="311"/>
      <c r="AB685" s="311"/>
      <c r="AC685" s="311"/>
      <c r="AD685" s="311"/>
      <c r="AE685" s="311"/>
    </row>
    <row r="686" spans="1:31" ht="16" x14ac:dyDescent="0.2">
      <c r="A686" s="311"/>
      <c r="B686" s="311"/>
      <c r="C686" s="311"/>
      <c r="D686" s="311"/>
      <c r="E686" s="311"/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  <c r="AA686" s="311"/>
      <c r="AB686" s="311"/>
      <c r="AC686" s="311"/>
      <c r="AD686" s="311"/>
      <c r="AE686" s="311"/>
    </row>
    <row r="687" spans="1:31" ht="16" x14ac:dyDescent="0.2">
      <c r="A687" s="311"/>
      <c r="B687" s="311"/>
      <c r="C687" s="311"/>
      <c r="D687" s="311"/>
      <c r="E687" s="311"/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  <c r="AA687" s="311"/>
      <c r="AB687" s="311"/>
      <c r="AC687" s="311"/>
      <c r="AD687" s="311"/>
      <c r="AE687" s="311"/>
    </row>
    <row r="688" spans="1:31" ht="16" x14ac:dyDescent="0.2">
      <c r="A688" s="311"/>
      <c r="B688" s="311"/>
      <c r="C688" s="311"/>
      <c r="D688" s="311"/>
      <c r="E688" s="311"/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  <c r="AA688" s="311"/>
      <c r="AB688" s="311"/>
      <c r="AC688" s="311"/>
      <c r="AD688" s="311"/>
      <c r="AE688" s="311"/>
    </row>
    <row r="689" spans="1:31" ht="16" x14ac:dyDescent="0.2">
      <c r="A689" s="311"/>
      <c r="B689" s="311"/>
      <c r="C689" s="311"/>
      <c r="D689" s="311"/>
      <c r="E689" s="311"/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  <c r="AA689" s="311"/>
      <c r="AB689" s="311"/>
      <c r="AC689" s="311"/>
      <c r="AD689" s="311"/>
      <c r="AE689" s="311"/>
    </row>
    <row r="690" spans="1:31" ht="16" x14ac:dyDescent="0.2">
      <c r="A690" s="311"/>
      <c r="B690" s="311"/>
      <c r="C690" s="311"/>
      <c r="D690" s="311"/>
      <c r="E690" s="311"/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  <c r="AA690" s="311"/>
      <c r="AB690" s="311"/>
      <c r="AC690" s="311"/>
      <c r="AD690" s="311"/>
      <c r="AE690" s="311"/>
    </row>
    <row r="691" spans="1:31" ht="16" x14ac:dyDescent="0.2">
      <c r="A691" s="311"/>
      <c r="B691" s="311"/>
      <c r="C691" s="311"/>
      <c r="D691" s="311"/>
      <c r="E691" s="311"/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  <c r="AA691" s="311"/>
      <c r="AB691" s="311"/>
      <c r="AC691" s="311"/>
      <c r="AD691" s="311"/>
      <c r="AE691" s="311"/>
    </row>
    <row r="692" spans="1:31" ht="16" x14ac:dyDescent="0.2">
      <c r="A692" s="311"/>
      <c r="B692" s="311"/>
      <c r="C692" s="311"/>
      <c r="D692" s="311"/>
      <c r="E692" s="311"/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  <c r="AA692" s="311"/>
      <c r="AB692" s="311"/>
      <c r="AC692" s="311"/>
      <c r="AD692" s="311"/>
      <c r="AE692" s="311"/>
    </row>
    <row r="693" spans="1:31" ht="16" x14ac:dyDescent="0.2">
      <c r="A693" s="311"/>
      <c r="B693" s="311"/>
      <c r="C693" s="311"/>
      <c r="D693" s="311"/>
      <c r="E693" s="311"/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  <c r="AA693" s="311"/>
      <c r="AB693" s="311"/>
      <c r="AC693" s="311"/>
      <c r="AD693" s="311"/>
      <c r="AE693" s="311"/>
    </row>
    <row r="694" spans="1:31" ht="16" x14ac:dyDescent="0.2">
      <c r="A694" s="311"/>
      <c r="B694" s="311"/>
      <c r="C694" s="311"/>
      <c r="D694" s="311"/>
      <c r="E694" s="311"/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  <c r="AA694" s="311"/>
      <c r="AB694" s="311"/>
      <c r="AC694" s="311"/>
      <c r="AD694" s="311"/>
      <c r="AE694" s="311"/>
    </row>
    <row r="695" spans="1:31" ht="16" x14ac:dyDescent="0.2">
      <c r="A695" s="311"/>
      <c r="B695" s="311"/>
      <c r="C695" s="311"/>
      <c r="D695" s="311"/>
      <c r="E695" s="311"/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  <c r="AA695" s="311"/>
      <c r="AB695" s="311"/>
      <c r="AC695" s="311"/>
      <c r="AD695" s="311"/>
      <c r="AE695" s="311"/>
    </row>
    <row r="696" spans="1:31" ht="16" x14ac:dyDescent="0.2">
      <c r="A696" s="311"/>
      <c r="B696" s="311"/>
      <c r="C696" s="311"/>
      <c r="D696" s="311"/>
      <c r="E696" s="311"/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  <c r="AA696" s="311"/>
      <c r="AB696" s="311"/>
      <c r="AC696" s="311"/>
      <c r="AD696" s="311"/>
      <c r="AE696" s="311"/>
    </row>
    <row r="697" spans="1:31" ht="16" x14ac:dyDescent="0.2">
      <c r="A697" s="311"/>
      <c r="B697" s="311"/>
      <c r="C697" s="311"/>
      <c r="D697" s="311"/>
      <c r="E697" s="311"/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  <c r="AA697" s="311"/>
      <c r="AB697" s="311"/>
      <c r="AC697" s="311"/>
      <c r="AD697" s="311"/>
      <c r="AE697" s="311"/>
    </row>
    <row r="698" spans="1:31" ht="16" x14ac:dyDescent="0.2">
      <c r="A698" s="311"/>
      <c r="B698" s="311"/>
      <c r="C698" s="311"/>
      <c r="D698" s="311"/>
      <c r="E698" s="311"/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  <c r="AA698" s="311"/>
      <c r="AB698" s="311"/>
      <c r="AC698" s="311"/>
      <c r="AD698" s="311"/>
      <c r="AE698" s="311"/>
    </row>
    <row r="699" spans="1:31" ht="16" x14ac:dyDescent="0.2">
      <c r="A699" s="311"/>
      <c r="B699" s="311"/>
      <c r="C699" s="311"/>
      <c r="D699" s="311"/>
      <c r="E699" s="311"/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  <c r="AA699" s="311"/>
      <c r="AB699" s="311"/>
      <c r="AC699" s="311"/>
      <c r="AD699" s="311"/>
      <c r="AE699" s="311"/>
    </row>
    <row r="700" spans="1:31" ht="16" x14ac:dyDescent="0.2">
      <c r="A700" s="311"/>
      <c r="B700" s="311"/>
      <c r="C700" s="311"/>
      <c r="D700" s="311"/>
      <c r="E700" s="311"/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  <c r="AA700" s="311"/>
      <c r="AB700" s="311"/>
      <c r="AC700" s="311"/>
      <c r="AD700" s="311"/>
      <c r="AE700" s="311"/>
    </row>
    <row r="701" spans="1:31" ht="16" x14ac:dyDescent="0.2">
      <c r="A701" s="311"/>
      <c r="B701" s="311"/>
      <c r="C701" s="311"/>
      <c r="D701" s="311"/>
      <c r="E701" s="311"/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  <c r="AA701" s="311"/>
      <c r="AB701" s="311"/>
      <c r="AC701" s="311"/>
      <c r="AD701" s="311"/>
      <c r="AE701" s="311"/>
    </row>
    <row r="702" spans="1:31" ht="16" x14ac:dyDescent="0.2">
      <c r="A702" s="311"/>
      <c r="B702" s="311"/>
      <c r="C702" s="311"/>
      <c r="D702" s="311"/>
      <c r="E702" s="311"/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  <c r="AA702" s="311"/>
      <c r="AB702" s="311"/>
      <c r="AC702" s="311"/>
      <c r="AD702" s="311"/>
      <c r="AE702" s="311"/>
    </row>
    <row r="703" spans="1:31" ht="16" x14ac:dyDescent="0.2">
      <c r="A703" s="311"/>
      <c r="B703" s="311"/>
      <c r="C703" s="311"/>
      <c r="D703" s="311"/>
      <c r="E703" s="311"/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  <c r="AA703" s="311"/>
      <c r="AB703" s="311"/>
      <c r="AC703" s="311"/>
      <c r="AD703" s="311"/>
      <c r="AE703" s="311"/>
    </row>
    <row r="704" spans="1:31" ht="16" x14ac:dyDescent="0.2">
      <c r="A704" s="311"/>
      <c r="B704" s="311"/>
      <c r="C704" s="311"/>
      <c r="D704" s="311"/>
      <c r="E704" s="311"/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  <c r="AA704" s="311"/>
      <c r="AB704" s="311"/>
      <c r="AC704" s="311"/>
      <c r="AD704" s="311"/>
      <c r="AE704" s="311"/>
    </row>
    <row r="705" spans="1:31" ht="16" x14ac:dyDescent="0.2">
      <c r="A705" s="311"/>
      <c r="B705" s="311"/>
      <c r="C705" s="311"/>
      <c r="D705" s="311"/>
      <c r="E705" s="311"/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  <c r="AA705" s="311"/>
      <c r="AB705" s="311"/>
      <c r="AC705" s="311"/>
      <c r="AD705" s="311"/>
      <c r="AE705" s="311"/>
    </row>
    <row r="706" spans="1:31" ht="16" x14ac:dyDescent="0.2">
      <c r="A706" s="311"/>
      <c r="B706" s="311"/>
      <c r="C706" s="311"/>
      <c r="D706" s="311"/>
      <c r="E706" s="311"/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  <c r="AA706" s="311"/>
      <c r="AB706" s="311"/>
      <c r="AC706" s="311"/>
      <c r="AD706" s="311"/>
      <c r="AE706" s="311"/>
    </row>
    <row r="707" spans="1:31" ht="16" x14ac:dyDescent="0.2">
      <c r="A707" s="311"/>
      <c r="B707" s="311"/>
      <c r="C707" s="311"/>
      <c r="D707" s="311"/>
      <c r="E707" s="311"/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  <c r="AA707" s="311"/>
      <c r="AB707" s="311"/>
      <c r="AC707" s="311"/>
      <c r="AD707" s="311"/>
      <c r="AE707" s="311"/>
    </row>
    <row r="708" spans="1:31" ht="16" x14ac:dyDescent="0.2">
      <c r="A708" s="311"/>
      <c r="B708" s="311"/>
      <c r="C708" s="311"/>
      <c r="D708" s="311"/>
      <c r="E708" s="311"/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  <c r="AA708" s="311"/>
      <c r="AB708" s="311"/>
      <c r="AC708" s="311"/>
      <c r="AD708" s="311"/>
      <c r="AE708" s="311"/>
    </row>
    <row r="709" spans="1:31" ht="16" x14ac:dyDescent="0.2">
      <c r="A709" s="311"/>
      <c r="B709" s="311"/>
      <c r="C709" s="311"/>
      <c r="D709" s="311"/>
      <c r="E709" s="311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  <c r="AA709" s="311"/>
      <c r="AB709" s="311"/>
      <c r="AC709" s="311"/>
      <c r="AD709" s="311"/>
      <c r="AE709" s="311"/>
    </row>
    <row r="710" spans="1:31" ht="16" x14ac:dyDescent="0.2">
      <c r="A710" s="311"/>
      <c r="B710" s="311"/>
      <c r="C710" s="311"/>
      <c r="D710" s="311"/>
      <c r="E710" s="311"/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  <c r="AA710" s="311"/>
      <c r="AB710" s="311"/>
      <c r="AC710" s="311"/>
      <c r="AD710" s="311"/>
      <c r="AE710" s="311"/>
    </row>
    <row r="711" spans="1:31" ht="16" x14ac:dyDescent="0.2">
      <c r="A711" s="311"/>
      <c r="B711" s="311"/>
      <c r="C711" s="311"/>
      <c r="D711" s="311"/>
      <c r="E711" s="311"/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  <c r="AA711" s="311"/>
      <c r="AB711" s="311"/>
      <c r="AC711" s="311"/>
      <c r="AD711" s="311"/>
      <c r="AE711" s="311"/>
    </row>
    <row r="712" spans="1:31" ht="16" x14ac:dyDescent="0.2">
      <c r="A712" s="311"/>
      <c r="B712" s="311"/>
      <c r="C712" s="311"/>
      <c r="D712" s="311"/>
      <c r="E712" s="311"/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  <c r="AA712" s="311"/>
      <c r="AB712" s="311"/>
      <c r="AC712" s="311"/>
      <c r="AD712" s="311"/>
      <c r="AE712" s="311"/>
    </row>
    <row r="713" spans="1:31" ht="16" x14ac:dyDescent="0.2">
      <c r="A713" s="311"/>
      <c r="B713" s="311"/>
      <c r="C713" s="311"/>
      <c r="D713" s="311"/>
      <c r="E713" s="311"/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  <c r="AA713" s="311"/>
      <c r="AB713" s="311"/>
      <c r="AC713" s="311"/>
      <c r="AD713" s="311"/>
      <c r="AE713" s="311"/>
    </row>
    <row r="714" spans="1:31" ht="16" x14ac:dyDescent="0.2">
      <c r="A714" s="311"/>
      <c r="B714" s="311"/>
      <c r="C714" s="311"/>
      <c r="D714" s="311"/>
      <c r="E714" s="311"/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  <c r="AA714" s="311"/>
      <c r="AB714" s="311"/>
      <c r="AC714" s="311"/>
      <c r="AD714" s="311"/>
      <c r="AE714" s="311"/>
    </row>
    <row r="715" spans="1:31" ht="16" x14ac:dyDescent="0.2">
      <c r="A715" s="311"/>
      <c r="B715" s="311"/>
      <c r="C715" s="311"/>
      <c r="D715" s="311"/>
      <c r="E715" s="311"/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  <c r="AA715" s="311"/>
      <c r="AB715" s="311"/>
      <c r="AC715" s="311"/>
      <c r="AD715" s="311"/>
      <c r="AE715" s="311"/>
    </row>
    <row r="716" spans="1:31" ht="16" x14ac:dyDescent="0.2">
      <c r="A716" s="311"/>
      <c r="B716" s="311"/>
      <c r="C716" s="311"/>
      <c r="D716" s="311"/>
      <c r="E716" s="311"/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  <c r="AA716" s="311"/>
      <c r="AB716" s="311"/>
      <c r="AC716" s="311"/>
      <c r="AD716" s="311"/>
      <c r="AE716" s="311"/>
    </row>
    <row r="717" spans="1:31" ht="16" x14ac:dyDescent="0.2">
      <c r="A717" s="311"/>
      <c r="B717" s="311"/>
      <c r="C717" s="311"/>
      <c r="D717" s="311"/>
      <c r="E717" s="311"/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  <c r="AA717" s="311"/>
      <c r="AB717" s="311"/>
      <c r="AC717" s="311"/>
      <c r="AD717" s="311"/>
      <c r="AE717" s="311"/>
    </row>
    <row r="718" spans="1:31" ht="16" x14ac:dyDescent="0.2">
      <c r="A718" s="311"/>
      <c r="B718" s="311"/>
      <c r="C718" s="311"/>
      <c r="D718" s="311"/>
      <c r="E718" s="311"/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  <c r="AA718" s="311"/>
      <c r="AB718" s="311"/>
      <c r="AC718" s="311"/>
      <c r="AD718" s="311"/>
      <c r="AE718" s="311"/>
    </row>
    <row r="719" spans="1:31" ht="16" x14ac:dyDescent="0.2">
      <c r="A719" s="311"/>
      <c r="B719" s="311"/>
      <c r="C719" s="311"/>
      <c r="D719" s="311"/>
      <c r="E719" s="311"/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  <c r="AA719" s="311"/>
      <c r="AB719" s="311"/>
      <c r="AC719" s="311"/>
      <c r="AD719" s="311"/>
      <c r="AE719" s="311"/>
    </row>
    <row r="720" spans="1:31" ht="16" x14ac:dyDescent="0.2">
      <c r="A720" s="311"/>
      <c r="B720" s="311"/>
      <c r="C720" s="311"/>
      <c r="D720" s="311"/>
      <c r="E720" s="311"/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  <c r="AA720" s="311"/>
      <c r="AB720" s="311"/>
      <c r="AC720" s="311"/>
      <c r="AD720" s="311"/>
      <c r="AE720" s="311"/>
    </row>
    <row r="721" spans="1:31" ht="16" x14ac:dyDescent="0.2">
      <c r="A721" s="311"/>
      <c r="B721" s="311"/>
      <c r="C721" s="311"/>
      <c r="D721" s="311"/>
      <c r="E721" s="311"/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  <c r="AA721" s="311"/>
      <c r="AB721" s="311"/>
      <c r="AC721" s="311"/>
      <c r="AD721" s="311"/>
      <c r="AE721" s="311"/>
    </row>
    <row r="722" spans="1:31" ht="16" x14ac:dyDescent="0.2">
      <c r="A722" s="311"/>
      <c r="B722" s="311"/>
      <c r="C722" s="311"/>
      <c r="D722" s="311"/>
      <c r="E722" s="311"/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  <c r="AA722" s="311"/>
      <c r="AB722" s="311"/>
      <c r="AC722" s="311"/>
      <c r="AD722" s="311"/>
      <c r="AE722" s="311"/>
    </row>
    <row r="723" spans="1:31" ht="16" x14ac:dyDescent="0.2">
      <c r="A723" s="311"/>
      <c r="B723" s="311"/>
      <c r="C723" s="311"/>
      <c r="D723" s="311"/>
      <c r="E723" s="311"/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  <c r="AA723" s="311"/>
      <c r="AB723" s="311"/>
      <c r="AC723" s="311"/>
      <c r="AD723" s="311"/>
      <c r="AE723" s="311"/>
    </row>
    <row r="724" spans="1:31" ht="16" x14ac:dyDescent="0.2">
      <c r="A724" s="311"/>
      <c r="B724" s="311"/>
      <c r="C724" s="311"/>
      <c r="D724" s="311"/>
      <c r="E724" s="311"/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</row>
    <row r="725" spans="1:31" ht="16" x14ac:dyDescent="0.2">
      <c r="A725" s="311"/>
      <c r="B725" s="311"/>
      <c r="C725" s="311"/>
      <c r="D725" s="311"/>
      <c r="E725" s="311"/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  <c r="AA725" s="311"/>
      <c r="AB725" s="311"/>
      <c r="AC725" s="311"/>
      <c r="AD725" s="311"/>
      <c r="AE725" s="311"/>
    </row>
    <row r="726" spans="1:31" ht="16" x14ac:dyDescent="0.2">
      <c r="A726" s="311"/>
      <c r="B726" s="311"/>
      <c r="C726" s="311"/>
      <c r="D726" s="311"/>
      <c r="E726" s="311"/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  <c r="AA726" s="311"/>
      <c r="AB726" s="311"/>
      <c r="AC726" s="311"/>
      <c r="AD726" s="311"/>
      <c r="AE726" s="311"/>
    </row>
    <row r="727" spans="1:31" ht="16" x14ac:dyDescent="0.2">
      <c r="A727" s="311"/>
      <c r="B727" s="311"/>
      <c r="C727" s="311"/>
      <c r="D727" s="311"/>
      <c r="E727" s="311"/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  <c r="AA727" s="311"/>
      <c r="AB727" s="311"/>
      <c r="AC727" s="311"/>
      <c r="AD727" s="311"/>
      <c r="AE727" s="311"/>
    </row>
    <row r="728" spans="1:31" ht="16" x14ac:dyDescent="0.2">
      <c r="A728" s="311"/>
      <c r="B728" s="311"/>
      <c r="C728" s="311"/>
      <c r="D728" s="311"/>
      <c r="E728" s="311"/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  <c r="AA728" s="311"/>
      <c r="AB728" s="311"/>
      <c r="AC728" s="311"/>
      <c r="AD728" s="311"/>
      <c r="AE728" s="311"/>
    </row>
    <row r="729" spans="1:31" ht="16" x14ac:dyDescent="0.2">
      <c r="A729" s="311"/>
      <c r="B729" s="311"/>
      <c r="C729" s="311"/>
      <c r="D729" s="311"/>
      <c r="E729" s="311"/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  <c r="AA729" s="311"/>
      <c r="AB729" s="311"/>
      <c r="AC729" s="311"/>
      <c r="AD729" s="311"/>
      <c r="AE729" s="311"/>
    </row>
    <row r="730" spans="1:31" ht="16" x14ac:dyDescent="0.2">
      <c r="A730" s="311"/>
      <c r="B730" s="311"/>
      <c r="C730" s="311"/>
      <c r="D730" s="311"/>
      <c r="E730" s="311"/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  <c r="AA730" s="311"/>
      <c r="AB730" s="311"/>
      <c r="AC730" s="311"/>
      <c r="AD730" s="311"/>
      <c r="AE730" s="311"/>
    </row>
    <row r="731" spans="1:31" ht="16" x14ac:dyDescent="0.2">
      <c r="A731" s="311"/>
      <c r="B731" s="311"/>
      <c r="C731" s="311"/>
      <c r="D731" s="311"/>
      <c r="E731" s="311"/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  <c r="AA731" s="311"/>
      <c r="AB731" s="311"/>
      <c r="AC731" s="311"/>
      <c r="AD731" s="311"/>
      <c r="AE731" s="311"/>
    </row>
    <row r="732" spans="1:31" ht="16" x14ac:dyDescent="0.2">
      <c r="A732" s="311"/>
      <c r="B732" s="311"/>
      <c r="C732" s="311"/>
      <c r="D732" s="311"/>
      <c r="E732" s="311"/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  <c r="AA732" s="311"/>
      <c r="AB732" s="311"/>
      <c r="AC732" s="311"/>
      <c r="AD732" s="311"/>
      <c r="AE732" s="311"/>
    </row>
    <row r="733" spans="1:31" ht="16" x14ac:dyDescent="0.2">
      <c r="A733" s="311"/>
      <c r="B733" s="311"/>
      <c r="C733" s="311"/>
      <c r="D733" s="311"/>
      <c r="E733" s="311"/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  <c r="AA733" s="311"/>
      <c r="AB733" s="311"/>
      <c r="AC733" s="311"/>
      <c r="AD733" s="311"/>
      <c r="AE733" s="311"/>
    </row>
    <row r="734" spans="1:31" ht="16" x14ac:dyDescent="0.2">
      <c r="A734" s="311"/>
      <c r="B734" s="311"/>
      <c r="C734" s="311"/>
      <c r="D734" s="311"/>
      <c r="E734" s="311"/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  <c r="AA734" s="311"/>
      <c r="AB734" s="311"/>
      <c r="AC734" s="311"/>
      <c r="AD734" s="311"/>
      <c r="AE734" s="311"/>
    </row>
    <row r="735" spans="1:31" ht="16" x14ac:dyDescent="0.2">
      <c r="A735" s="311"/>
      <c r="B735" s="311"/>
      <c r="C735" s="311"/>
      <c r="D735" s="311"/>
      <c r="E735" s="311"/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  <c r="AA735" s="311"/>
      <c r="AB735" s="311"/>
      <c r="AC735" s="311"/>
      <c r="AD735" s="311"/>
      <c r="AE735" s="311"/>
    </row>
    <row r="736" spans="1:31" ht="16" x14ac:dyDescent="0.2">
      <c r="A736" s="311"/>
      <c r="B736" s="311"/>
      <c r="C736" s="311"/>
      <c r="D736" s="311"/>
      <c r="E736" s="311"/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  <c r="AA736" s="311"/>
      <c r="AB736" s="311"/>
      <c r="AC736" s="311"/>
      <c r="AD736" s="311"/>
      <c r="AE736" s="311"/>
    </row>
    <row r="737" spans="1:31" ht="16" x14ac:dyDescent="0.2">
      <c r="A737" s="311"/>
      <c r="B737" s="311"/>
      <c r="C737" s="311"/>
      <c r="D737" s="311"/>
      <c r="E737" s="311"/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  <c r="AA737" s="311"/>
      <c r="AB737" s="311"/>
      <c r="AC737" s="311"/>
      <c r="AD737" s="311"/>
      <c r="AE737" s="311"/>
    </row>
    <row r="738" spans="1:31" ht="16" x14ac:dyDescent="0.2">
      <c r="A738" s="311"/>
      <c r="B738" s="311"/>
      <c r="C738" s="311"/>
      <c r="D738" s="311"/>
      <c r="E738" s="311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  <c r="AA738" s="311"/>
      <c r="AB738" s="311"/>
      <c r="AC738" s="311"/>
      <c r="AD738" s="311"/>
      <c r="AE738" s="311"/>
    </row>
    <row r="739" spans="1:31" ht="16" x14ac:dyDescent="0.2">
      <c r="A739" s="311"/>
      <c r="B739" s="311"/>
      <c r="C739" s="311"/>
      <c r="D739" s="311"/>
      <c r="E739" s="311"/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  <c r="AA739" s="311"/>
      <c r="AB739" s="311"/>
      <c r="AC739" s="311"/>
      <c r="AD739" s="311"/>
      <c r="AE739" s="311"/>
    </row>
    <row r="740" spans="1:31" ht="16" x14ac:dyDescent="0.2">
      <c r="A740" s="311"/>
      <c r="B740" s="311"/>
      <c r="C740" s="311"/>
      <c r="D740" s="311"/>
      <c r="E740" s="311"/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  <c r="AA740" s="311"/>
      <c r="AB740" s="311"/>
      <c r="AC740" s="311"/>
      <c r="AD740" s="311"/>
      <c r="AE740" s="311"/>
    </row>
    <row r="741" spans="1:31" ht="16" x14ac:dyDescent="0.2">
      <c r="A741" s="311"/>
      <c r="B741" s="311"/>
      <c r="C741" s="311"/>
      <c r="D741" s="311"/>
      <c r="E741" s="311"/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  <c r="AA741" s="311"/>
      <c r="AB741" s="311"/>
      <c r="AC741" s="311"/>
      <c r="AD741" s="311"/>
      <c r="AE741" s="311"/>
    </row>
    <row r="742" spans="1:31" ht="16" x14ac:dyDescent="0.2">
      <c r="A742" s="311"/>
      <c r="B742" s="311"/>
      <c r="C742" s="311"/>
      <c r="D742" s="311"/>
      <c r="E742" s="311"/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  <c r="AA742" s="311"/>
      <c r="AB742" s="311"/>
      <c r="AC742" s="311"/>
      <c r="AD742" s="311"/>
      <c r="AE742" s="311"/>
    </row>
    <row r="743" spans="1:31" ht="16" x14ac:dyDescent="0.2">
      <c r="A743" s="311"/>
      <c r="B743" s="311"/>
      <c r="C743" s="311"/>
      <c r="D743" s="311"/>
      <c r="E743" s="311"/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  <c r="AA743" s="311"/>
      <c r="AB743" s="311"/>
      <c r="AC743" s="311"/>
      <c r="AD743" s="311"/>
      <c r="AE743" s="311"/>
    </row>
    <row r="744" spans="1:31" ht="16" x14ac:dyDescent="0.2">
      <c r="A744" s="311"/>
      <c r="B744" s="311"/>
      <c r="C744" s="311"/>
      <c r="D744" s="311"/>
      <c r="E744" s="311"/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  <c r="AA744" s="311"/>
      <c r="AB744" s="311"/>
      <c r="AC744" s="311"/>
      <c r="AD744" s="311"/>
      <c r="AE744" s="311"/>
    </row>
    <row r="745" spans="1:31" ht="16" x14ac:dyDescent="0.2">
      <c r="A745" s="311"/>
      <c r="B745" s="311"/>
      <c r="C745" s="311"/>
      <c r="D745" s="311"/>
      <c r="E745" s="311"/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  <c r="AA745" s="311"/>
      <c r="AB745" s="311"/>
      <c r="AC745" s="311"/>
      <c r="AD745" s="311"/>
      <c r="AE745" s="311"/>
    </row>
    <row r="746" spans="1:31" ht="16" x14ac:dyDescent="0.2">
      <c r="A746" s="311"/>
      <c r="B746" s="311"/>
      <c r="C746" s="311"/>
      <c r="D746" s="311"/>
      <c r="E746" s="311"/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  <c r="AA746" s="311"/>
      <c r="AB746" s="311"/>
      <c r="AC746" s="311"/>
      <c r="AD746" s="311"/>
      <c r="AE746" s="311"/>
    </row>
    <row r="747" spans="1:31" ht="16" x14ac:dyDescent="0.2">
      <c r="A747" s="311"/>
      <c r="B747" s="311"/>
      <c r="C747" s="311"/>
      <c r="D747" s="311"/>
      <c r="E747" s="311"/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  <c r="AA747" s="311"/>
      <c r="AB747" s="311"/>
      <c r="AC747" s="311"/>
      <c r="AD747" s="311"/>
      <c r="AE747" s="311"/>
    </row>
    <row r="748" spans="1:31" ht="16" x14ac:dyDescent="0.2">
      <c r="A748" s="311"/>
      <c r="B748" s="311"/>
      <c r="C748" s="311"/>
      <c r="D748" s="311"/>
      <c r="E748" s="311"/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  <c r="AA748" s="311"/>
      <c r="AB748" s="311"/>
      <c r="AC748" s="311"/>
      <c r="AD748" s="311"/>
      <c r="AE748" s="311"/>
    </row>
    <row r="749" spans="1:31" ht="16" x14ac:dyDescent="0.2">
      <c r="A749" s="311"/>
      <c r="B749" s="311"/>
      <c r="C749" s="311"/>
      <c r="D749" s="311"/>
      <c r="E749" s="311"/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  <c r="AA749" s="311"/>
      <c r="AB749" s="311"/>
      <c r="AC749" s="311"/>
      <c r="AD749" s="311"/>
      <c r="AE749" s="311"/>
    </row>
    <row r="750" spans="1:31" ht="16" x14ac:dyDescent="0.2">
      <c r="A750" s="311"/>
      <c r="B750" s="311"/>
      <c r="C750" s="311"/>
      <c r="D750" s="311"/>
      <c r="E750" s="311"/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  <c r="AA750" s="311"/>
      <c r="AB750" s="311"/>
      <c r="AC750" s="311"/>
      <c r="AD750" s="311"/>
      <c r="AE750" s="311"/>
    </row>
    <row r="751" spans="1:31" ht="16" x14ac:dyDescent="0.2">
      <c r="A751" s="311"/>
      <c r="B751" s="311"/>
      <c r="C751" s="311"/>
      <c r="D751" s="311"/>
      <c r="E751" s="311"/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  <c r="AA751" s="311"/>
      <c r="AB751" s="311"/>
      <c r="AC751" s="311"/>
      <c r="AD751" s="311"/>
      <c r="AE751" s="311"/>
    </row>
    <row r="752" spans="1:31" ht="16" x14ac:dyDescent="0.2">
      <c r="A752" s="311"/>
      <c r="B752" s="311"/>
      <c r="C752" s="311"/>
      <c r="D752" s="311"/>
      <c r="E752" s="311"/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  <c r="AA752" s="311"/>
      <c r="AB752" s="311"/>
      <c r="AC752" s="311"/>
      <c r="AD752" s="311"/>
      <c r="AE752" s="311"/>
    </row>
    <row r="753" spans="1:31" ht="16" x14ac:dyDescent="0.2">
      <c r="A753" s="311"/>
      <c r="B753" s="311"/>
      <c r="C753" s="311"/>
      <c r="D753" s="311"/>
      <c r="E753" s="311"/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  <c r="AA753" s="311"/>
      <c r="AB753" s="311"/>
      <c r="AC753" s="311"/>
      <c r="AD753" s="311"/>
      <c r="AE753" s="311"/>
    </row>
    <row r="754" spans="1:31" ht="16" x14ac:dyDescent="0.2">
      <c r="A754" s="311"/>
      <c r="B754" s="311"/>
      <c r="C754" s="311"/>
      <c r="D754" s="311"/>
      <c r="E754" s="311"/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  <c r="AA754" s="311"/>
      <c r="AB754" s="311"/>
      <c r="AC754" s="311"/>
      <c r="AD754" s="311"/>
      <c r="AE754" s="311"/>
    </row>
    <row r="755" spans="1:31" ht="16" x14ac:dyDescent="0.2">
      <c r="A755" s="311"/>
      <c r="B755" s="311"/>
      <c r="C755" s="311"/>
      <c r="D755" s="311"/>
      <c r="E755" s="311"/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  <c r="AA755" s="311"/>
      <c r="AB755" s="311"/>
      <c r="AC755" s="311"/>
      <c r="AD755" s="311"/>
      <c r="AE755" s="311"/>
    </row>
    <row r="756" spans="1:31" ht="16" x14ac:dyDescent="0.2">
      <c r="A756" s="311"/>
      <c r="B756" s="311"/>
      <c r="C756" s="311"/>
      <c r="D756" s="311"/>
      <c r="E756" s="311"/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  <c r="AA756" s="311"/>
      <c r="AB756" s="311"/>
      <c r="AC756" s="311"/>
      <c r="AD756" s="311"/>
      <c r="AE756" s="311"/>
    </row>
    <row r="757" spans="1:31" ht="16" x14ac:dyDescent="0.2">
      <c r="A757" s="311"/>
      <c r="B757" s="311"/>
      <c r="C757" s="311"/>
      <c r="D757" s="311"/>
      <c r="E757" s="311"/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  <c r="AA757" s="311"/>
      <c r="AB757" s="311"/>
      <c r="AC757" s="311"/>
      <c r="AD757" s="311"/>
      <c r="AE757" s="311"/>
    </row>
    <row r="758" spans="1:31" ht="16" x14ac:dyDescent="0.2">
      <c r="A758" s="311"/>
      <c r="B758" s="311"/>
      <c r="C758" s="311"/>
      <c r="D758" s="311"/>
      <c r="E758" s="311"/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  <c r="AA758" s="311"/>
      <c r="AB758" s="311"/>
      <c r="AC758" s="311"/>
      <c r="AD758" s="311"/>
      <c r="AE758" s="311"/>
    </row>
    <row r="759" spans="1:31" ht="16" x14ac:dyDescent="0.2">
      <c r="A759" s="311"/>
      <c r="B759" s="311"/>
      <c r="C759" s="311"/>
      <c r="D759" s="311"/>
      <c r="E759" s="311"/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  <c r="AA759" s="311"/>
      <c r="AB759" s="311"/>
      <c r="AC759" s="311"/>
      <c r="AD759" s="311"/>
      <c r="AE759" s="311"/>
    </row>
    <row r="760" spans="1:31" ht="16" x14ac:dyDescent="0.2">
      <c r="A760" s="311"/>
      <c r="B760" s="311"/>
      <c r="C760" s="311"/>
      <c r="D760" s="311"/>
      <c r="E760" s="311"/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  <c r="AA760" s="311"/>
      <c r="AB760" s="311"/>
      <c r="AC760" s="311"/>
      <c r="AD760" s="311"/>
      <c r="AE760" s="311"/>
    </row>
    <row r="761" spans="1:31" ht="16" x14ac:dyDescent="0.2">
      <c r="A761" s="311"/>
      <c r="B761" s="311"/>
      <c r="C761" s="311"/>
      <c r="D761" s="311"/>
      <c r="E761" s="311"/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  <c r="AA761" s="311"/>
      <c r="AB761" s="311"/>
      <c r="AC761" s="311"/>
      <c r="AD761" s="311"/>
      <c r="AE761" s="311"/>
    </row>
    <row r="762" spans="1:31" ht="16" x14ac:dyDescent="0.2">
      <c r="A762" s="311"/>
      <c r="B762" s="311"/>
      <c r="C762" s="311"/>
      <c r="D762" s="311"/>
      <c r="E762" s="311"/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  <c r="AA762" s="311"/>
      <c r="AB762" s="311"/>
      <c r="AC762" s="311"/>
      <c r="AD762" s="311"/>
      <c r="AE762" s="311"/>
    </row>
    <row r="763" spans="1:31" ht="16" x14ac:dyDescent="0.2">
      <c r="A763" s="311"/>
      <c r="B763" s="311"/>
      <c r="C763" s="311"/>
      <c r="D763" s="311"/>
      <c r="E763" s="311"/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  <c r="AA763" s="311"/>
      <c r="AB763" s="311"/>
      <c r="AC763" s="311"/>
      <c r="AD763" s="311"/>
      <c r="AE763" s="311"/>
    </row>
    <row r="764" spans="1:31" ht="16" x14ac:dyDescent="0.2">
      <c r="A764" s="311"/>
      <c r="B764" s="311"/>
      <c r="C764" s="311"/>
      <c r="D764" s="311"/>
      <c r="E764" s="311"/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  <c r="AA764" s="311"/>
      <c r="AB764" s="311"/>
      <c r="AC764" s="311"/>
      <c r="AD764" s="311"/>
      <c r="AE764" s="311"/>
    </row>
    <row r="765" spans="1:31" ht="16" x14ac:dyDescent="0.2">
      <c r="A765" s="311"/>
      <c r="B765" s="311"/>
      <c r="C765" s="311"/>
      <c r="D765" s="311"/>
      <c r="E765" s="311"/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  <c r="AA765" s="311"/>
      <c r="AB765" s="311"/>
      <c r="AC765" s="311"/>
      <c r="AD765" s="311"/>
      <c r="AE765" s="311"/>
    </row>
    <row r="766" spans="1:31" ht="16" x14ac:dyDescent="0.2">
      <c r="A766" s="311"/>
      <c r="B766" s="311"/>
      <c r="C766" s="311"/>
      <c r="D766" s="311"/>
      <c r="E766" s="311"/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  <c r="AA766" s="311"/>
      <c r="AB766" s="311"/>
      <c r="AC766" s="311"/>
      <c r="AD766" s="311"/>
      <c r="AE766" s="311"/>
    </row>
    <row r="767" spans="1:31" ht="16" x14ac:dyDescent="0.2">
      <c r="A767" s="311"/>
      <c r="B767" s="311"/>
      <c r="C767" s="311"/>
      <c r="D767" s="311"/>
      <c r="E767" s="311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  <c r="AA767" s="311"/>
      <c r="AB767" s="311"/>
      <c r="AC767" s="311"/>
      <c r="AD767" s="311"/>
      <c r="AE767" s="311"/>
    </row>
    <row r="768" spans="1:31" ht="16" x14ac:dyDescent="0.2">
      <c r="A768" s="311"/>
      <c r="B768" s="311"/>
      <c r="C768" s="311"/>
      <c r="D768" s="311"/>
      <c r="E768" s="311"/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  <c r="AA768" s="311"/>
      <c r="AB768" s="311"/>
      <c r="AC768" s="311"/>
      <c r="AD768" s="311"/>
      <c r="AE768" s="311"/>
    </row>
    <row r="769" spans="1:31" ht="16" x14ac:dyDescent="0.2">
      <c r="A769" s="311"/>
      <c r="B769" s="311"/>
      <c r="C769" s="311"/>
      <c r="D769" s="311"/>
      <c r="E769" s="311"/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  <c r="AA769" s="311"/>
      <c r="AB769" s="311"/>
      <c r="AC769" s="311"/>
      <c r="AD769" s="311"/>
      <c r="AE769" s="311"/>
    </row>
    <row r="770" spans="1:31" ht="16" x14ac:dyDescent="0.2">
      <c r="A770" s="311"/>
      <c r="B770" s="311"/>
      <c r="C770" s="311"/>
      <c r="D770" s="311"/>
      <c r="E770" s="311"/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  <c r="AA770" s="311"/>
      <c r="AB770" s="311"/>
      <c r="AC770" s="311"/>
      <c r="AD770" s="311"/>
      <c r="AE770" s="311"/>
    </row>
    <row r="771" spans="1:31" ht="16" x14ac:dyDescent="0.2">
      <c r="A771" s="311"/>
      <c r="B771" s="311"/>
      <c r="C771" s="311"/>
      <c r="D771" s="311"/>
      <c r="E771" s="311"/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  <c r="AA771" s="311"/>
      <c r="AB771" s="311"/>
      <c r="AC771" s="311"/>
      <c r="AD771" s="311"/>
      <c r="AE771" s="311"/>
    </row>
    <row r="772" spans="1:31" ht="16" x14ac:dyDescent="0.2">
      <c r="A772" s="311"/>
      <c r="B772" s="311"/>
      <c r="C772" s="311"/>
      <c r="D772" s="311"/>
      <c r="E772" s="311"/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  <c r="AA772" s="311"/>
      <c r="AB772" s="311"/>
      <c r="AC772" s="311"/>
      <c r="AD772" s="311"/>
      <c r="AE772" s="311"/>
    </row>
    <row r="773" spans="1:31" ht="16" x14ac:dyDescent="0.2">
      <c r="A773" s="311"/>
      <c r="B773" s="311"/>
      <c r="C773" s="311"/>
      <c r="D773" s="311"/>
      <c r="E773" s="311"/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  <c r="AA773" s="311"/>
      <c r="AB773" s="311"/>
      <c r="AC773" s="311"/>
      <c r="AD773" s="311"/>
      <c r="AE773" s="311"/>
    </row>
    <row r="774" spans="1:31" ht="16" x14ac:dyDescent="0.2">
      <c r="A774" s="311"/>
      <c r="B774" s="311"/>
      <c r="C774" s="311"/>
      <c r="D774" s="311"/>
      <c r="E774" s="311"/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  <c r="AA774" s="311"/>
      <c r="AB774" s="311"/>
      <c r="AC774" s="311"/>
      <c r="AD774" s="311"/>
      <c r="AE774" s="311"/>
    </row>
    <row r="775" spans="1:31" ht="16" x14ac:dyDescent="0.2">
      <c r="A775" s="311"/>
      <c r="B775" s="311"/>
      <c r="C775" s="311"/>
      <c r="D775" s="311"/>
      <c r="E775" s="311"/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  <c r="AA775" s="311"/>
      <c r="AB775" s="311"/>
      <c r="AC775" s="311"/>
      <c r="AD775" s="311"/>
      <c r="AE775" s="311"/>
    </row>
    <row r="776" spans="1:31" ht="16" x14ac:dyDescent="0.2">
      <c r="A776" s="311"/>
      <c r="B776" s="311"/>
      <c r="C776" s="311"/>
      <c r="D776" s="311"/>
      <c r="E776" s="311"/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  <c r="AA776" s="311"/>
      <c r="AB776" s="311"/>
      <c r="AC776" s="311"/>
      <c r="AD776" s="311"/>
      <c r="AE776" s="311"/>
    </row>
    <row r="777" spans="1:31" ht="16" x14ac:dyDescent="0.2">
      <c r="A777" s="311"/>
      <c r="B777" s="311"/>
      <c r="C777" s="311"/>
      <c r="D777" s="311"/>
      <c r="E777" s="311"/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  <c r="AA777" s="311"/>
      <c r="AB777" s="311"/>
      <c r="AC777" s="311"/>
      <c r="AD777" s="311"/>
      <c r="AE777" s="311"/>
    </row>
    <row r="778" spans="1:31" ht="16" x14ac:dyDescent="0.2">
      <c r="A778" s="311"/>
      <c r="B778" s="311"/>
      <c r="C778" s="311"/>
      <c r="D778" s="311"/>
      <c r="E778" s="311"/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  <c r="AA778" s="311"/>
      <c r="AB778" s="311"/>
      <c r="AC778" s="311"/>
      <c r="AD778" s="311"/>
      <c r="AE778" s="311"/>
    </row>
    <row r="779" spans="1:31" ht="16" x14ac:dyDescent="0.2">
      <c r="A779" s="311"/>
      <c r="B779" s="311"/>
      <c r="C779" s="311"/>
      <c r="D779" s="311"/>
      <c r="E779" s="311"/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  <c r="AA779" s="311"/>
      <c r="AB779" s="311"/>
      <c r="AC779" s="311"/>
      <c r="AD779" s="311"/>
      <c r="AE779" s="311"/>
    </row>
    <row r="780" spans="1:31" ht="16" x14ac:dyDescent="0.2">
      <c r="A780" s="311"/>
      <c r="B780" s="311"/>
      <c r="C780" s="311"/>
      <c r="D780" s="311"/>
      <c r="E780" s="311"/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  <c r="AA780" s="311"/>
      <c r="AB780" s="311"/>
      <c r="AC780" s="311"/>
      <c r="AD780" s="311"/>
      <c r="AE780" s="311"/>
    </row>
    <row r="781" spans="1:31" ht="16" x14ac:dyDescent="0.2">
      <c r="A781" s="311"/>
      <c r="B781" s="311"/>
      <c r="C781" s="311"/>
      <c r="D781" s="311"/>
      <c r="E781" s="311"/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  <c r="AA781" s="311"/>
      <c r="AB781" s="311"/>
      <c r="AC781" s="311"/>
      <c r="AD781" s="311"/>
      <c r="AE781" s="311"/>
    </row>
    <row r="782" spans="1:31" ht="16" x14ac:dyDescent="0.2">
      <c r="A782" s="311"/>
      <c r="B782" s="311"/>
      <c r="C782" s="311"/>
      <c r="D782" s="311"/>
      <c r="E782" s="311"/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  <c r="AA782" s="311"/>
      <c r="AB782" s="311"/>
      <c r="AC782" s="311"/>
      <c r="AD782" s="311"/>
      <c r="AE782" s="311"/>
    </row>
    <row r="783" spans="1:31" ht="16" x14ac:dyDescent="0.2">
      <c r="A783" s="311"/>
      <c r="B783" s="311"/>
      <c r="C783" s="311"/>
      <c r="D783" s="311"/>
      <c r="E783" s="311"/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  <c r="AA783" s="311"/>
      <c r="AB783" s="311"/>
      <c r="AC783" s="311"/>
      <c r="AD783" s="311"/>
      <c r="AE783" s="311"/>
    </row>
    <row r="784" spans="1:31" ht="16" x14ac:dyDescent="0.2">
      <c r="A784" s="311"/>
      <c r="B784" s="311"/>
      <c r="C784" s="311"/>
      <c r="D784" s="311"/>
      <c r="E784" s="311"/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  <c r="AA784" s="311"/>
      <c r="AB784" s="311"/>
      <c r="AC784" s="311"/>
      <c r="AD784" s="311"/>
      <c r="AE784" s="311"/>
    </row>
    <row r="785" spans="1:31" ht="16" x14ac:dyDescent="0.2">
      <c r="A785" s="311"/>
      <c r="B785" s="311"/>
      <c r="C785" s="311"/>
      <c r="D785" s="311"/>
      <c r="E785" s="311"/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  <c r="AA785" s="311"/>
      <c r="AB785" s="311"/>
      <c r="AC785" s="311"/>
      <c r="AD785" s="311"/>
      <c r="AE785" s="311"/>
    </row>
    <row r="786" spans="1:31" ht="16" x14ac:dyDescent="0.2">
      <c r="A786" s="311"/>
      <c r="B786" s="311"/>
      <c r="C786" s="311"/>
      <c r="D786" s="311"/>
      <c r="E786" s="311"/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  <c r="AA786" s="311"/>
      <c r="AB786" s="311"/>
      <c r="AC786" s="311"/>
      <c r="AD786" s="311"/>
      <c r="AE786" s="311"/>
    </row>
    <row r="787" spans="1:31" ht="16" x14ac:dyDescent="0.2">
      <c r="A787" s="311"/>
      <c r="B787" s="311"/>
      <c r="C787" s="311"/>
      <c r="D787" s="311"/>
      <c r="E787" s="311"/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  <c r="AA787" s="311"/>
      <c r="AB787" s="311"/>
      <c r="AC787" s="311"/>
      <c r="AD787" s="311"/>
      <c r="AE787" s="311"/>
    </row>
    <row r="788" spans="1:31" ht="16" x14ac:dyDescent="0.2">
      <c r="A788" s="311"/>
      <c r="B788" s="311"/>
      <c r="C788" s="311"/>
      <c r="D788" s="311"/>
      <c r="E788" s="311"/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  <c r="AA788" s="311"/>
      <c r="AB788" s="311"/>
      <c r="AC788" s="311"/>
      <c r="AD788" s="311"/>
      <c r="AE788" s="311"/>
    </row>
    <row r="789" spans="1:31" ht="16" x14ac:dyDescent="0.2">
      <c r="A789" s="311"/>
      <c r="B789" s="311"/>
      <c r="C789" s="311"/>
      <c r="D789" s="311"/>
      <c r="E789" s="311"/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  <c r="AA789" s="311"/>
      <c r="AB789" s="311"/>
      <c r="AC789" s="311"/>
      <c r="AD789" s="311"/>
      <c r="AE789" s="311"/>
    </row>
    <row r="790" spans="1:31" ht="16" x14ac:dyDescent="0.2">
      <c r="A790" s="311"/>
      <c r="B790" s="311"/>
      <c r="C790" s="311"/>
      <c r="D790" s="311"/>
      <c r="E790" s="311"/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  <c r="AA790" s="311"/>
      <c r="AB790" s="311"/>
      <c r="AC790" s="311"/>
      <c r="AD790" s="311"/>
      <c r="AE790" s="311"/>
    </row>
    <row r="791" spans="1:31" ht="16" x14ac:dyDescent="0.2">
      <c r="A791" s="311"/>
      <c r="B791" s="311"/>
      <c r="C791" s="311"/>
      <c r="D791" s="311"/>
      <c r="E791" s="311"/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  <c r="AA791" s="311"/>
      <c r="AB791" s="311"/>
      <c r="AC791" s="311"/>
      <c r="AD791" s="311"/>
      <c r="AE791" s="311"/>
    </row>
    <row r="792" spans="1:31" ht="16" x14ac:dyDescent="0.2">
      <c r="A792" s="311"/>
      <c r="B792" s="311"/>
      <c r="C792" s="311"/>
      <c r="D792" s="311"/>
      <c r="E792" s="311"/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  <c r="AA792" s="311"/>
      <c r="AB792" s="311"/>
      <c r="AC792" s="311"/>
      <c r="AD792" s="311"/>
      <c r="AE792" s="311"/>
    </row>
    <row r="793" spans="1:31" ht="16" x14ac:dyDescent="0.2">
      <c r="A793" s="311"/>
      <c r="B793" s="311"/>
      <c r="C793" s="311"/>
      <c r="D793" s="311"/>
      <c r="E793" s="311"/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  <c r="AA793" s="311"/>
      <c r="AB793" s="311"/>
      <c r="AC793" s="311"/>
      <c r="AD793" s="311"/>
      <c r="AE793" s="311"/>
    </row>
    <row r="794" spans="1:31" ht="16" x14ac:dyDescent="0.2">
      <c r="A794" s="311"/>
      <c r="B794" s="311"/>
      <c r="C794" s="311"/>
      <c r="D794" s="311"/>
      <c r="E794" s="311"/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  <c r="AA794" s="311"/>
      <c r="AB794" s="311"/>
      <c r="AC794" s="311"/>
      <c r="AD794" s="311"/>
      <c r="AE794" s="311"/>
    </row>
    <row r="795" spans="1:31" ht="16" x14ac:dyDescent="0.2">
      <c r="A795" s="311"/>
      <c r="B795" s="311"/>
      <c r="C795" s="311"/>
      <c r="D795" s="311"/>
      <c r="E795" s="311"/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  <c r="AA795" s="311"/>
      <c r="AB795" s="311"/>
      <c r="AC795" s="311"/>
      <c r="AD795" s="311"/>
      <c r="AE795" s="311"/>
    </row>
    <row r="796" spans="1:31" ht="16" x14ac:dyDescent="0.2">
      <c r="A796" s="311"/>
      <c r="B796" s="311"/>
      <c r="C796" s="311"/>
      <c r="D796" s="311"/>
      <c r="E796" s="311"/>
      <c r="F796" s="311"/>
      <c r="G796" s="311"/>
      <c r="H796" s="311"/>
      <c r="I796" s="311"/>
      <c r="J796" s="311"/>
      <c r="K796" s="311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  <c r="AA796" s="311"/>
      <c r="AB796" s="311"/>
      <c r="AC796" s="311"/>
      <c r="AD796" s="311"/>
      <c r="AE796" s="311"/>
    </row>
    <row r="797" spans="1:31" ht="16" x14ac:dyDescent="0.2">
      <c r="A797" s="311"/>
      <c r="B797" s="311"/>
      <c r="C797" s="311"/>
      <c r="D797" s="311"/>
      <c r="E797" s="311"/>
      <c r="F797" s="311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  <c r="AA797" s="311"/>
      <c r="AB797" s="311"/>
      <c r="AC797" s="311"/>
      <c r="AD797" s="311"/>
      <c r="AE797" s="311"/>
    </row>
    <row r="798" spans="1:31" ht="16" x14ac:dyDescent="0.2">
      <c r="A798" s="311"/>
      <c r="B798" s="311"/>
      <c r="C798" s="311"/>
      <c r="D798" s="311"/>
      <c r="E798" s="311"/>
      <c r="F798" s="311"/>
      <c r="G798" s="311"/>
      <c r="H798" s="311"/>
      <c r="I798" s="311"/>
      <c r="J798" s="311"/>
      <c r="K798" s="311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  <c r="AA798" s="311"/>
      <c r="AB798" s="311"/>
      <c r="AC798" s="311"/>
      <c r="AD798" s="311"/>
      <c r="AE798" s="311"/>
    </row>
    <row r="799" spans="1:31" ht="16" x14ac:dyDescent="0.2">
      <c r="A799" s="311"/>
      <c r="B799" s="311"/>
      <c r="C799" s="311"/>
      <c r="D799" s="311"/>
      <c r="E799" s="311"/>
      <c r="F799" s="311"/>
      <c r="G799" s="311"/>
      <c r="H799" s="311"/>
      <c r="I799" s="311"/>
      <c r="J799" s="311"/>
      <c r="K799" s="311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  <c r="AA799" s="311"/>
      <c r="AB799" s="311"/>
      <c r="AC799" s="311"/>
      <c r="AD799" s="311"/>
      <c r="AE799" s="311"/>
    </row>
    <row r="800" spans="1:31" ht="16" x14ac:dyDescent="0.2">
      <c r="A800" s="311"/>
      <c r="B800" s="311"/>
      <c r="C800" s="311"/>
      <c r="D800" s="311"/>
      <c r="E800" s="311"/>
      <c r="F800" s="311"/>
      <c r="G800" s="311"/>
      <c r="H800" s="311"/>
      <c r="I800" s="311"/>
      <c r="J800" s="311"/>
      <c r="K800" s="311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  <c r="AA800" s="311"/>
      <c r="AB800" s="311"/>
      <c r="AC800" s="311"/>
      <c r="AD800" s="311"/>
      <c r="AE800" s="311"/>
    </row>
    <row r="801" spans="1:31" ht="16" x14ac:dyDescent="0.2">
      <c r="A801" s="311"/>
      <c r="B801" s="311"/>
      <c r="C801" s="311"/>
      <c r="D801" s="311"/>
      <c r="E801" s="311"/>
      <c r="F801" s="311"/>
      <c r="G801" s="311"/>
      <c r="H801" s="311"/>
      <c r="I801" s="311"/>
      <c r="J801" s="311"/>
      <c r="K801" s="311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  <c r="AA801" s="311"/>
      <c r="AB801" s="311"/>
      <c r="AC801" s="311"/>
      <c r="AD801" s="311"/>
      <c r="AE801" s="311"/>
    </row>
    <row r="802" spans="1:31" ht="16" x14ac:dyDescent="0.2">
      <c r="A802" s="311"/>
      <c r="B802" s="311"/>
      <c r="C802" s="311"/>
      <c r="D802" s="311"/>
      <c r="E802" s="311"/>
      <c r="F802" s="311"/>
      <c r="G802" s="311"/>
      <c r="H802" s="311"/>
      <c r="I802" s="311"/>
      <c r="J802" s="311"/>
      <c r="K802" s="311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  <c r="AA802" s="311"/>
      <c r="AB802" s="311"/>
      <c r="AC802" s="311"/>
      <c r="AD802" s="311"/>
      <c r="AE802" s="311"/>
    </row>
    <row r="803" spans="1:31" ht="16" x14ac:dyDescent="0.2">
      <c r="A803" s="311"/>
      <c r="B803" s="311"/>
      <c r="C803" s="311"/>
      <c r="D803" s="311"/>
      <c r="E803" s="311"/>
      <c r="F803" s="311"/>
      <c r="G803" s="311"/>
      <c r="H803" s="311"/>
      <c r="I803" s="311"/>
      <c r="J803" s="311"/>
      <c r="K803" s="311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  <c r="AA803" s="311"/>
      <c r="AB803" s="311"/>
      <c r="AC803" s="311"/>
      <c r="AD803" s="311"/>
      <c r="AE803" s="311"/>
    </row>
    <row r="804" spans="1:31" ht="16" x14ac:dyDescent="0.2">
      <c r="A804" s="311"/>
      <c r="B804" s="311"/>
      <c r="C804" s="311"/>
      <c r="D804" s="311"/>
      <c r="E804" s="311"/>
      <c r="F804" s="311"/>
      <c r="G804" s="311"/>
      <c r="H804" s="311"/>
      <c r="I804" s="311"/>
      <c r="J804" s="311"/>
      <c r="K804" s="311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  <c r="AA804" s="311"/>
      <c r="AB804" s="311"/>
      <c r="AC804" s="311"/>
      <c r="AD804" s="311"/>
      <c r="AE804" s="311"/>
    </row>
    <row r="805" spans="1:31" ht="16" x14ac:dyDescent="0.2">
      <c r="A805" s="311"/>
      <c r="B805" s="311"/>
      <c r="C805" s="311"/>
      <c r="D805" s="311"/>
      <c r="E805" s="311"/>
      <c r="F805" s="311"/>
      <c r="G805" s="311"/>
      <c r="H805" s="311"/>
      <c r="I805" s="311"/>
      <c r="J805" s="311"/>
      <c r="K805" s="311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  <c r="AA805" s="311"/>
      <c r="AB805" s="311"/>
      <c r="AC805" s="311"/>
      <c r="AD805" s="311"/>
      <c r="AE805" s="311"/>
    </row>
    <row r="806" spans="1:31" ht="16" x14ac:dyDescent="0.2">
      <c r="A806" s="311"/>
      <c r="B806" s="311"/>
      <c r="C806" s="311"/>
      <c r="D806" s="311"/>
      <c r="E806" s="311"/>
      <c r="F806" s="311"/>
      <c r="G806" s="311"/>
      <c r="H806" s="311"/>
      <c r="I806" s="311"/>
      <c r="J806" s="311"/>
      <c r="K806" s="311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  <c r="AA806" s="311"/>
      <c r="AB806" s="311"/>
      <c r="AC806" s="311"/>
      <c r="AD806" s="311"/>
      <c r="AE806" s="311"/>
    </row>
    <row r="807" spans="1:31" ht="16" x14ac:dyDescent="0.2">
      <c r="A807" s="311"/>
      <c r="B807" s="311"/>
      <c r="C807" s="311"/>
      <c r="D807" s="311"/>
      <c r="E807" s="311"/>
      <c r="F807" s="311"/>
      <c r="G807" s="311"/>
      <c r="H807" s="311"/>
      <c r="I807" s="311"/>
      <c r="J807" s="311"/>
      <c r="K807" s="311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  <c r="AA807" s="311"/>
      <c r="AB807" s="311"/>
      <c r="AC807" s="311"/>
      <c r="AD807" s="311"/>
      <c r="AE807" s="311"/>
    </row>
    <row r="808" spans="1:31" ht="16" x14ac:dyDescent="0.2">
      <c r="A808" s="311"/>
      <c r="B808" s="311"/>
      <c r="C808" s="311"/>
      <c r="D808" s="311"/>
      <c r="E808" s="311"/>
      <c r="F808" s="311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  <c r="AA808" s="311"/>
      <c r="AB808" s="311"/>
      <c r="AC808" s="311"/>
      <c r="AD808" s="311"/>
      <c r="AE808" s="311"/>
    </row>
    <row r="809" spans="1:31" ht="16" x14ac:dyDescent="0.2">
      <c r="A809" s="311"/>
      <c r="B809" s="311"/>
      <c r="C809" s="311"/>
      <c r="D809" s="311"/>
      <c r="E809" s="311"/>
      <c r="F809" s="311"/>
      <c r="G809" s="311"/>
      <c r="H809" s="311"/>
      <c r="I809" s="311"/>
      <c r="J809" s="311"/>
      <c r="K809" s="311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  <c r="AA809" s="311"/>
      <c r="AB809" s="311"/>
      <c r="AC809" s="311"/>
      <c r="AD809" s="311"/>
      <c r="AE809" s="311"/>
    </row>
    <row r="810" spans="1:31" ht="16" x14ac:dyDescent="0.2">
      <c r="A810" s="311"/>
      <c r="B810" s="311"/>
      <c r="C810" s="311"/>
      <c r="D810" s="311"/>
      <c r="E810" s="311"/>
      <c r="F810" s="311"/>
      <c r="G810" s="311"/>
      <c r="H810" s="311"/>
      <c r="I810" s="311"/>
      <c r="J810" s="311"/>
      <c r="K810" s="311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  <c r="AA810" s="311"/>
      <c r="AB810" s="311"/>
      <c r="AC810" s="311"/>
      <c r="AD810" s="311"/>
      <c r="AE810" s="311"/>
    </row>
    <row r="811" spans="1:31" ht="16" x14ac:dyDescent="0.2">
      <c r="A811" s="311"/>
      <c r="B811" s="311"/>
      <c r="C811" s="311"/>
      <c r="D811" s="311"/>
      <c r="E811" s="311"/>
      <c r="F811" s="311"/>
      <c r="G811" s="311"/>
      <c r="H811" s="311"/>
      <c r="I811" s="311"/>
      <c r="J811" s="311"/>
      <c r="K811" s="311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  <c r="AA811" s="311"/>
      <c r="AB811" s="311"/>
      <c r="AC811" s="311"/>
      <c r="AD811" s="311"/>
      <c r="AE811" s="311"/>
    </row>
    <row r="812" spans="1:31" ht="16" x14ac:dyDescent="0.2">
      <c r="A812" s="311"/>
      <c r="B812" s="311"/>
      <c r="C812" s="311"/>
      <c r="D812" s="311"/>
      <c r="E812" s="311"/>
      <c r="F812" s="311"/>
      <c r="G812" s="311"/>
      <c r="H812" s="311"/>
      <c r="I812" s="311"/>
      <c r="J812" s="311"/>
      <c r="K812" s="311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  <c r="AA812" s="311"/>
      <c r="AB812" s="311"/>
      <c r="AC812" s="311"/>
      <c r="AD812" s="311"/>
      <c r="AE812" s="311"/>
    </row>
    <row r="813" spans="1:31" ht="16" x14ac:dyDescent="0.2">
      <c r="A813" s="311"/>
      <c r="B813" s="311"/>
      <c r="C813" s="311"/>
      <c r="D813" s="311"/>
      <c r="E813" s="311"/>
      <c r="F813" s="311"/>
      <c r="G813" s="311"/>
      <c r="H813" s="311"/>
      <c r="I813" s="311"/>
      <c r="J813" s="311"/>
      <c r="K813" s="311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  <c r="AA813" s="311"/>
      <c r="AB813" s="311"/>
      <c r="AC813" s="311"/>
      <c r="AD813" s="311"/>
      <c r="AE813" s="311"/>
    </row>
    <row r="814" spans="1:31" ht="16" x14ac:dyDescent="0.2">
      <c r="A814" s="311"/>
      <c r="B814" s="311"/>
      <c r="C814" s="311"/>
      <c r="D814" s="311"/>
      <c r="E814" s="311"/>
      <c r="F814" s="311"/>
      <c r="G814" s="311"/>
      <c r="H814" s="311"/>
      <c r="I814" s="311"/>
      <c r="J814" s="311"/>
      <c r="K814" s="311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  <c r="AA814" s="311"/>
      <c r="AB814" s="311"/>
      <c r="AC814" s="311"/>
      <c r="AD814" s="311"/>
      <c r="AE814" s="311"/>
    </row>
    <row r="815" spans="1:31" ht="16" x14ac:dyDescent="0.2">
      <c r="A815" s="311"/>
      <c r="B815" s="311"/>
      <c r="C815" s="311"/>
      <c r="D815" s="311"/>
      <c r="E815" s="311"/>
      <c r="F815" s="311"/>
      <c r="G815" s="311"/>
      <c r="H815" s="311"/>
      <c r="I815" s="311"/>
      <c r="J815" s="311"/>
      <c r="K815" s="311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  <c r="AA815" s="311"/>
      <c r="AB815" s="311"/>
      <c r="AC815" s="311"/>
      <c r="AD815" s="311"/>
      <c r="AE815" s="311"/>
    </row>
    <row r="816" spans="1:31" ht="16" x14ac:dyDescent="0.2">
      <c r="A816" s="311"/>
      <c r="B816" s="311"/>
      <c r="C816" s="311"/>
      <c r="D816" s="311"/>
      <c r="E816" s="311"/>
      <c r="F816" s="311"/>
      <c r="G816" s="311"/>
      <c r="H816" s="311"/>
      <c r="I816" s="311"/>
      <c r="J816" s="311"/>
      <c r="K816" s="311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  <c r="AA816" s="311"/>
      <c r="AB816" s="311"/>
      <c r="AC816" s="311"/>
      <c r="AD816" s="311"/>
      <c r="AE816" s="311"/>
    </row>
    <row r="817" spans="1:31" ht="16" x14ac:dyDescent="0.2">
      <c r="A817" s="311"/>
      <c r="B817" s="311"/>
      <c r="C817" s="311"/>
      <c r="D817" s="311"/>
      <c r="E817" s="311"/>
      <c r="F817" s="311"/>
      <c r="G817" s="311"/>
      <c r="H817" s="311"/>
      <c r="I817" s="311"/>
      <c r="J817" s="311"/>
      <c r="K817" s="311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  <c r="AA817" s="311"/>
      <c r="AB817" s="311"/>
      <c r="AC817" s="311"/>
      <c r="AD817" s="311"/>
      <c r="AE817" s="311"/>
    </row>
    <row r="818" spans="1:31" ht="16" x14ac:dyDescent="0.2">
      <c r="A818" s="311"/>
      <c r="B818" s="311"/>
      <c r="C818" s="311"/>
      <c r="D818" s="311"/>
      <c r="E818" s="311"/>
      <c r="F818" s="311"/>
      <c r="G818" s="311"/>
      <c r="H818" s="311"/>
      <c r="I818" s="311"/>
      <c r="J818" s="311"/>
      <c r="K818" s="311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  <c r="AA818" s="311"/>
      <c r="AB818" s="311"/>
      <c r="AC818" s="311"/>
      <c r="AD818" s="311"/>
      <c r="AE818" s="311"/>
    </row>
    <row r="819" spans="1:31" ht="16" x14ac:dyDescent="0.2">
      <c r="A819" s="311"/>
      <c r="B819" s="311"/>
      <c r="C819" s="311"/>
      <c r="D819" s="311"/>
      <c r="E819" s="311"/>
      <c r="F819" s="311"/>
      <c r="G819" s="311"/>
      <c r="H819" s="311"/>
      <c r="I819" s="311"/>
      <c r="J819" s="311"/>
      <c r="K819" s="311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  <c r="AA819" s="311"/>
      <c r="AB819" s="311"/>
      <c r="AC819" s="311"/>
      <c r="AD819" s="311"/>
      <c r="AE819" s="311"/>
    </row>
    <row r="820" spans="1:31" ht="16" x14ac:dyDescent="0.2">
      <c r="A820" s="311"/>
      <c r="B820" s="311"/>
      <c r="C820" s="311"/>
      <c r="D820" s="311"/>
      <c r="E820" s="311"/>
      <c r="F820" s="311"/>
      <c r="G820" s="311"/>
      <c r="H820" s="311"/>
      <c r="I820" s="311"/>
      <c r="J820" s="311"/>
      <c r="K820" s="311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  <c r="AA820" s="311"/>
      <c r="AB820" s="311"/>
      <c r="AC820" s="311"/>
      <c r="AD820" s="311"/>
      <c r="AE820" s="311"/>
    </row>
    <row r="821" spans="1:31" ht="16" x14ac:dyDescent="0.2">
      <c r="A821" s="311"/>
      <c r="B821" s="311"/>
      <c r="C821" s="311"/>
      <c r="D821" s="311"/>
      <c r="E821" s="311"/>
      <c r="F821" s="311"/>
      <c r="G821" s="311"/>
      <c r="H821" s="311"/>
      <c r="I821" s="311"/>
      <c r="J821" s="311"/>
      <c r="K821" s="311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  <c r="AA821" s="311"/>
      <c r="AB821" s="311"/>
      <c r="AC821" s="311"/>
      <c r="AD821" s="311"/>
      <c r="AE821" s="311"/>
    </row>
    <row r="822" spans="1:31" ht="16" x14ac:dyDescent="0.2">
      <c r="A822" s="311"/>
      <c r="B822" s="311"/>
      <c r="C822" s="311"/>
      <c r="D822" s="311"/>
      <c r="E822" s="311"/>
      <c r="F822" s="311"/>
      <c r="G822" s="311"/>
      <c r="H822" s="311"/>
      <c r="I822" s="311"/>
      <c r="J822" s="311"/>
      <c r="K822" s="311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  <c r="AA822" s="311"/>
      <c r="AB822" s="311"/>
      <c r="AC822" s="311"/>
      <c r="AD822" s="311"/>
      <c r="AE822" s="311"/>
    </row>
    <row r="823" spans="1:31" ht="16" x14ac:dyDescent="0.2">
      <c r="A823" s="311"/>
      <c r="B823" s="311"/>
      <c r="C823" s="311"/>
      <c r="D823" s="311"/>
      <c r="E823" s="311"/>
      <c r="F823" s="311"/>
      <c r="G823" s="311"/>
      <c r="H823" s="311"/>
      <c r="I823" s="311"/>
      <c r="J823" s="311"/>
      <c r="K823" s="311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  <c r="AA823" s="311"/>
      <c r="AB823" s="311"/>
      <c r="AC823" s="311"/>
      <c r="AD823" s="311"/>
      <c r="AE823" s="311"/>
    </row>
    <row r="824" spans="1:31" ht="16" x14ac:dyDescent="0.2">
      <c r="A824" s="311"/>
      <c r="B824" s="311"/>
      <c r="C824" s="311"/>
      <c r="D824" s="311"/>
      <c r="E824" s="311"/>
      <c r="F824" s="311"/>
      <c r="G824" s="311"/>
      <c r="H824" s="311"/>
      <c r="I824" s="311"/>
      <c r="J824" s="311"/>
      <c r="K824" s="311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  <c r="AA824" s="311"/>
      <c r="AB824" s="311"/>
      <c r="AC824" s="311"/>
      <c r="AD824" s="311"/>
      <c r="AE824" s="311"/>
    </row>
    <row r="825" spans="1:31" ht="16" x14ac:dyDescent="0.2">
      <c r="A825" s="311"/>
      <c r="B825" s="311"/>
      <c r="C825" s="311"/>
      <c r="D825" s="311"/>
      <c r="E825" s="311"/>
      <c r="F825" s="311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  <c r="AA825" s="311"/>
      <c r="AB825" s="311"/>
      <c r="AC825" s="311"/>
      <c r="AD825" s="311"/>
      <c r="AE825" s="311"/>
    </row>
    <row r="826" spans="1:31" ht="16" x14ac:dyDescent="0.2">
      <c r="A826" s="311"/>
      <c r="B826" s="311"/>
      <c r="C826" s="311"/>
      <c r="D826" s="311"/>
      <c r="E826" s="311"/>
      <c r="F826" s="311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  <c r="AA826" s="311"/>
      <c r="AB826" s="311"/>
      <c r="AC826" s="311"/>
      <c r="AD826" s="311"/>
      <c r="AE826" s="311"/>
    </row>
    <row r="827" spans="1:31" ht="16" x14ac:dyDescent="0.2">
      <c r="A827" s="311"/>
      <c r="B827" s="311"/>
      <c r="C827" s="311"/>
      <c r="D827" s="311"/>
      <c r="E827" s="311"/>
      <c r="F827" s="311"/>
      <c r="G827" s="311"/>
      <c r="H827" s="311"/>
      <c r="I827" s="311"/>
      <c r="J827" s="311"/>
      <c r="K827" s="311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  <c r="AA827" s="311"/>
      <c r="AB827" s="311"/>
      <c r="AC827" s="311"/>
      <c r="AD827" s="311"/>
      <c r="AE827" s="311"/>
    </row>
    <row r="828" spans="1:31" ht="16" x14ac:dyDescent="0.2">
      <c r="A828" s="311"/>
      <c r="B828" s="311"/>
      <c r="C828" s="311"/>
      <c r="D828" s="311"/>
      <c r="E828" s="311"/>
      <c r="F828" s="311"/>
      <c r="G828" s="311"/>
      <c r="H828" s="311"/>
      <c r="I828" s="311"/>
      <c r="J828" s="311"/>
      <c r="K828" s="311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  <c r="AA828" s="311"/>
      <c r="AB828" s="311"/>
      <c r="AC828" s="311"/>
      <c r="AD828" s="311"/>
      <c r="AE828" s="311"/>
    </row>
    <row r="829" spans="1:31" ht="16" x14ac:dyDescent="0.2">
      <c r="A829" s="311"/>
      <c r="B829" s="311"/>
      <c r="C829" s="311"/>
      <c r="D829" s="311"/>
      <c r="E829" s="311"/>
      <c r="F829" s="311"/>
      <c r="G829" s="311"/>
      <c r="H829" s="311"/>
      <c r="I829" s="311"/>
      <c r="J829" s="311"/>
      <c r="K829" s="311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  <c r="AA829" s="311"/>
      <c r="AB829" s="311"/>
      <c r="AC829" s="311"/>
      <c r="AD829" s="311"/>
      <c r="AE829" s="311"/>
    </row>
    <row r="830" spans="1:31" ht="16" x14ac:dyDescent="0.2">
      <c r="A830" s="311"/>
      <c r="B830" s="311"/>
      <c r="C830" s="311"/>
      <c r="D830" s="311"/>
      <c r="E830" s="311"/>
      <c r="F830" s="311"/>
      <c r="G830" s="311"/>
      <c r="H830" s="311"/>
      <c r="I830" s="311"/>
      <c r="J830" s="311"/>
      <c r="K830" s="311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  <c r="AA830" s="311"/>
      <c r="AB830" s="311"/>
      <c r="AC830" s="311"/>
      <c r="AD830" s="311"/>
      <c r="AE830" s="311"/>
    </row>
    <row r="831" spans="1:31" ht="16" x14ac:dyDescent="0.2">
      <c r="A831" s="311"/>
      <c r="B831" s="311"/>
      <c r="C831" s="311"/>
      <c r="D831" s="311"/>
      <c r="E831" s="311"/>
      <c r="F831" s="311"/>
      <c r="G831" s="311"/>
      <c r="H831" s="311"/>
      <c r="I831" s="311"/>
      <c r="J831" s="311"/>
      <c r="K831" s="311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  <c r="AA831" s="311"/>
      <c r="AB831" s="311"/>
      <c r="AC831" s="311"/>
      <c r="AD831" s="311"/>
      <c r="AE831" s="311"/>
    </row>
    <row r="832" spans="1:31" ht="16" x14ac:dyDescent="0.2">
      <c r="A832" s="311"/>
      <c r="B832" s="311"/>
      <c r="C832" s="311"/>
      <c r="D832" s="311"/>
      <c r="E832" s="311"/>
      <c r="F832" s="311"/>
      <c r="G832" s="311"/>
      <c r="H832" s="311"/>
      <c r="I832" s="311"/>
      <c r="J832" s="311"/>
      <c r="K832" s="311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  <c r="AA832" s="311"/>
      <c r="AB832" s="311"/>
      <c r="AC832" s="311"/>
      <c r="AD832" s="311"/>
      <c r="AE832" s="311"/>
    </row>
    <row r="833" spans="1:31" ht="16" x14ac:dyDescent="0.2">
      <c r="A833" s="311"/>
      <c r="B833" s="311"/>
      <c r="C833" s="311"/>
      <c r="D833" s="311"/>
      <c r="E833" s="311"/>
      <c r="F833" s="311"/>
      <c r="G833" s="311"/>
      <c r="H833" s="311"/>
      <c r="I833" s="311"/>
      <c r="J833" s="311"/>
      <c r="K833" s="311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  <c r="AA833" s="311"/>
      <c r="AB833" s="311"/>
      <c r="AC833" s="311"/>
      <c r="AD833" s="311"/>
      <c r="AE833" s="311"/>
    </row>
    <row r="834" spans="1:31" ht="16" x14ac:dyDescent="0.2">
      <c r="A834" s="311"/>
      <c r="B834" s="311"/>
      <c r="C834" s="311"/>
      <c r="D834" s="311"/>
      <c r="E834" s="311"/>
      <c r="F834" s="311"/>
      <c r="G834" s="311"/>
      <c r="H834" s="311"/>
      <c r="I834" s="311"/>
      <c r="J834" s="311"/>
      <c r="K834" s="311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  <c r="AA834" s="311"/>
      <c r="AB834" s="311"/>
      <c r="AC834" s="311"/>
      <c r="AD834" s="311"/>
      <c r="AE834" s="311"/>
    </row>
    <row r="835" spans="1:31" ht="16" x14ac:dyDescent="0.2">
      <c r="A835" s="311"/>
      <c r="B835" s="311"/>
      <c r="C835" s="311"/>
      <c r="D835" s="311"/>
      <c r="E835" s="311"/>
      <c r="F835" s="311"/>
      <c r="G835" s="311"/>
      <c r="H835" s="311"/>
      <c r="I835" s="311"/>
      <c r="J835" s="311"/>
      <c r="K835" s="311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  <c r="AA835" s="311"/>
      <c r="AB835" s="311"/>
      <c r="AC835" s="311"/>
      <c r="AD835" s="311"/>
      <c r="AE835" s="311"/>
    </row>
    <row r="836" spans="1:31" ht="16" x14ac:dyDescent="0.2">
      <c r="A836" s="311"/>
      <c r="B836" s="311"/>
      <c r="C836" s="311"/>
      <c r="D836" s="311"/>
      <c r="E836" s="311"/>
      <c r="F836" s="311"/>
      <c r="G836" s="311"/>
      <c r="H836" s="311"/>
      <c r="I836" s="311"/>
      <c r="J836" s="311"/>
      <c r="K836" s="311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  <c r="AA836" s="311"/>
      <c r="AB836" s="311"/>
      <c r="AC836" s="311"/>
      <c r="AD836" s="311"/>
      <c r="AE836" s="311"/>
    </row>
    <row r="837" spans="1:31" ht="16" x14ac:dyDescent="0.2">
      <c r="A837" s="311"/>
      <c r="B837" s="311"/>
      <c r="C837" s="311"/>
      <c r="D837" s="311"/>
      <c r="E837" s="311"/>
      <c r="F837" s="311"/>
      <c r="G837" s="311"/>
      <c r="H837" s="311"/>
      <c r="I837" s="311"/>
      <c r="J837" s="311"/>
      <c r="K837" s="311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  <c r="AA837" s="311"/>
      <c r="AB837" s="311"/>
      <c r="AC837" s="311"/>
      <c r="AD837" s="311"/>
      <c r="AE837" s="311"/>
    </row>
    <row r="838" spans="1:31" ht="16" x14ac:dyDescent="0.2">
      <c r="A838" s="311"/>
      <c r="B838" s="311"/>
      <c r="C838" s="311"/>
      <c r="D838" s="311"/>
      <c r="E838" s="311"/>
      <c r="F838" s="311"/>
      <c r="G838" s="311"/>
      <c r="H838" s="311"/>
      <c r="I838" s="311"/>
      <c r="J838" s="311"/>
      <c r="K838" s="311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  <c r="AA838" s="311"/>
      <c r="AB838" s="311"/>
      <c r="AC838" s="311"/>
      <c r="AD838" s="311"/>
      <c r="AE838" s="311"/>
    </row>
    <row r="839" spans="1:31" ht="16" x14ac:dyDescent="0.2">
      <c r="A839" s="311"/>
      <c r="B839" s="311"/>
      <c r="C839" s="311"/>
      <c r="D839" s="311"/>
      <c r="E839" s="311"/>
      <c r="F839" s="311"/>
      <c r="G839" s="311"/>
      <c r="H839" s="311"/>
      <c r="I839" s="311"/>
      <c r="J839" s="311"/>
      <c r="K839" s="311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  <c r="AA839" s="311"/>
      <c r="AB839" s="311"/>
      <c r="AC839" s="311"/>
      <c r="AD839" s="311"/>
      <c r="AE839" s="311"/>
    </row>
    <row r="840" spans="1:31" ht="16" x14ac:dyDescent="0.2">
      <c r="A840" s="311"/>
      <c r="B840" s="311"/>
      <c r="C840" s="311"/>
      <c r="D840" s="311"/>
      <c r="E840" s="311"/>
      <c r="F840" s="311"/>
      <c r="G840" s="311"/>
      <c r="H840" s="311"/>
      <c r="I840" s="311"/>
      <c r="J840" s="311"/>
      <c r="K840" s="311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  <c r="AA840" s="311"/>
      <c r="AB840" s="311"/>
      <c r="AC840" s="311"/>
      <c r="AD840" s="311"/>
      <c r="AE840" s="311"/>
    </row>
    <row r="841" spans="1:31" ht="16" x14ac:dyDescent="0.2">
      <c r="A841" s="311"/>
      <c r="B841" s="311"/>
      <c r="C841" s="311"/>
      <c r="D841" s="311"/>
      <c r="E841" s="311"/>
      <c r="F841" s="311"/>
      <c r="G841" s="311"/>
      <c r="H841" s="311"/>
      <c r="I841" s="311"/>
      <c r="J841" s="311"/>
      <c r="K841" s="311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  <c r="AA841" s="311"/>
      <c r="AB841" s="311"/>
      <c r="AC841" s="311"/>
      <c r="AD841" s="311"/>
      <c r="AE841" s="311"/>
    </row>
    <row r="842" spans="1:31" ht="16" x14ac:dyDescent="0.2">
      <c r="A842" s="311"/>
      <c r="B842" s="311"/>
      <c r="C842" s="311"/>
      <c r="D842" s="311"/>
      <c r="E842" s="311"/>
      <c r="F842" s="311"/>
      <c r="G842" s="311"/>
      <c r="H842" s="311"/>
      <c r="I842" s="311"/>
      <c r="J842" s="311"/>
      <c r="K842" s="311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  <c r="AA842" s="311"/>
      <c r="AB842" s="311"/>
      <c r="AC842" s="311"/>
      <c r="AD842" s="311"/>
      <c r="AE842" s="311"/>
    </row>
    <row r="843" spans="1:31" ht="16" x14ac:dyDescent="0.2">
      <c r="A843" s="311"/>
      <c r="B843" s="311"/>
      <c r="C843" s="311"/>
      <c r="D843" s="311"/>
      <c r="E843" s="311"/>
      <c r="F843" s="311"/>
      <c r="G843" s="311"/>
      <c r="H843" s="311"/>
      <c r="I843" s="311"/>
      <c r="J843" s="311"/>
      <c r="K843" s="311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  <c r="AA843" s="311"/>
      <c r="AB843" s="311"/>
      <c r="AC843" s="311"/>
      <c r="AD843" s="311"/>
      <c r="AE843" s="311"/>
    </row>
    <row r="844" spans="1:31" ht="16" x14ac:dyDescent="0.2">
      <c r="A844" s="311"/>
      <c r="B844" s="311"/>
      <c r="C844" s="311"/>
      <c r="D844" s="311"/>
      <c r="E844" s="311"/>
      <c r="F844" s="311"/>
      <c r="G844" s="311"/>
      <c r="H844" s="311"/>
      <c r="I844" s="311"/>
      <c r="J844" s="311"/>
      <c r="K844" s="311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  <c r="AA844" s="311"/>
      <c r="AB844" s="311"/>
      <c r="AC844" s="311"/>
      <c r="AD844" s="311"/>
      <c r="AE844" s="311"/>
    </row>
    <row r="845" spans="1:31" ht="16" x14ac:dyDescent="0.2">
      <c r="A845" s="311"/>
      <c r="B845" s="311"/>
      <c r="C845" s="311"/>
      <c r="D845" s="311"/>
      <c r="E845" s="311"/>
      <c r="F845" s="311"/>
      <c r="G845" s="311"/>
      <c r="H845" s="311"/>
      <c r="I845" s="311"/>
      <c r="J845" s="311"/>
      <c r="K845" s="311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  <c r="AA845" s="311"/>
      <c r="AB845" s="311"/>
      <c r="AC845" s="311"/>
      <c r="AD845" s="311"/>
      <c r="AE845" s="311"/>
    </row>
    <row r="846" spans="1:31" ht="16" x14ac:dyDescent="0.2">
      <c r="A846" s="311"/>
      <c r="B846" s="311"/>
      <c r="C846" s="311"/>
      <c r="D846" s="311"/>
      <c r="E846" s="311"/>
      <c r="F846" s="311"/>
      <c r="G846" s="311"/>
      <c r="H846" s="311"/>
      <c r="I846" s="311"/>
      <c r="J846" s="311"/>
      <c r="K846" s="311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  <c r="AA846" s="311"/>
      <c r="AB846" s="311"/>
      <c r="AC846" s="311"/>
      <c r="AD846" s="311"/>
      <c r="AE846" s="311"/>
    </row>
    <row r="847" spans="1:31" ht="16" x14ac:dyDescent="0.2">
      <c r="A847" s="311"/>
      <c r="B847" s="311"/>
      <c r="C847" s="311"/>
      <c r="D847" s="311"/>
      <c r="E847" s="311"/>
      <c r="F847" s="311"/>
      <c r="G847" s="311"/>
      <c r="H847" s="311"/>
      <c r="I847" s="311"/>
      <c r="J847" s="311"/>
      <c r="K847" s="311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  <c r="AA847" s="311"/>
      <c r="AB847" s="311"/>
      <c r="AC847" s="311"/>
      <c r="AD847" s="311"/>
      <c r="AE847" s="311"/>
    </row>
    <row r="848" spans="1:31" ht="16" x14ac:dyDescent="0.2">
      <c r="A848" s="311"/>
      <c r="B848" s="311"/>
      <c r="C848" s="311"/>
      <c r="D848" s="311"/>
      <c r="E848" s="311"/>
      <c r="F848" s="311"/>
      <c r="G848" s="311"/>
      <c r="H848" s="311"/>
      <c r="I848" s="311"/>
      <c r="J848" s="311"/>
      <c r="K848" s="311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  <c r="AA848" s="311"/>
      <c r="AB848" s="311"/>
      <c r="AC848" s="311"/>
      <c r="AD848" s="311"/>
      <c r="AE848" s="311"/>
    </row>
    <row r="849" spans="1:31" ht="16" x14ac:dyDescent="0.2">
      <c r="A849" s="311"/>
      <c r="B849" s="311"/>
      <c r="C849" s="311"/>
      <c r="D849" s="311"/>
      <c r="E849" s="311"/>
      <c r="F849" s="311"/>
      <c r="G849" s="311"/>
      <c r="H849" s="311"/>
      <c r="I849" s="311"/>
      <c r="J849" s="311"/>
      <c r="K849" s="311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  <c r="AA849" s="311"/>
      <c r="AB849" s="311"/>
      <c r="AC849" s="311"/>
      <c r="AD849" s="311"/>
      <c r="AE849" s="311"/>
    </row>
    <row r="850" spans="1:31" ht="16" x14ac:dyDescent="0.2">
      <c r="A850" s="311"/>
      <c r="B850" s="311"/>
      <c r="C850" s="311"/>
      <c r="D850" s="311"/>
      <c r="E850" s="311"/>
      <c r="F850" s="311"/>
      <c r="G850" s="311"/>
      <c r="H850" s="311"/>
      <c r="I850" s="311"/>
      <c r="J850" s="311"/>
      <c r="K850" s="311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  <c r="AA850" s="311"/>
      <c r="AB850" s="311"/>
      <c r="AC850" s="311"/>
      <c r="AD850" s="311"/>
      <c r="AE850" s="311"/>
    </row>
    <row r="851" spans="1:31" ht="16" x14ac:dyDescent="0.2">
      <c r="A851" s="311"/>
      <c r="B851" s="311"/>
      <c r="C851" s="311"/>
      <c r="D851" s="311"/>
      <c r="E851" s="311"/>
      <c r="F851" s="311"/>
      <c r="G851" s="311"/>
      <c r="H851" s="311"/>
      <c r="I851" s="311"/>
      <c r="J851" s="311"/>
      <c r="K851" s="311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  <c r="AA851" s="311"/>
      <c r="AB851" s="311"/>
      <c r="AC851" s="311"/>
      <c r="AD851" s="311"/>
      <c r="AE851" s="311"/>
    </row>
    <row r="852" spans="1:31" ht="16" x14ac:dyDescent="0.2">
      <c r="A852" s="311"/>
      <c r="B852" s="311"/>
      <c r="C852" s="311"/>
      <c r="D852" s="311"/>
      <c r="E852" s="311"/>
      <c r="F852" s="311"/>
      <c r="G852" s="311"/>
      <c r="H852" s="311"/>
      <c r="I852" s="311"/>
      <c r="J852" s="311"/>
      <c r="K852" s="311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  <c r="AA852" s="311"/>
      <c r="AB852" s="311"/>
      <c r="AC852" s="311"/>
      <c r="AD852" s="311"/>
      <c r="AE852" s="311"/>
    </row>
    <row r="853" spans="1:31" ht="16" x14ac:dyDescent="0.2">
      <c r="A853" s="311"/>
      <c r="B853" s="311"/>
      <c r="C853" s="311"/>
      <c r="D853" s="311"/>
      <c r="E853" s="311"/>
      <c r="F853" s="311"/>
      <c r="G853" s="311"/>
      <c r="H853" s="311"/>
      <c r="I853" s="311"/>
      <c r="J853" s="311"/>
      <c r="K853" s="311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  <c r="AA853" s="311"/>
      <c r="AB853" s="311"/>
      <c r="AC853" s="311"/>
      <c r="AD853" s="311"/>
      <c r="AE853" s="311"/>
    </row>
    <row r="854" spans="1:31" ht="16" x14ac:dyDescent="0.2">
      <c r="A854" s="311"/>
      <c r="B854" s="311"/>
      <c r="C854" s="311"/>
      <c r="D854" s="311"/>
      <c r="E854" s="311"/>
      <c r="F854" s="311"/>
      <c r="G854" s="311"/>
      <c r="H854" s="311"/>
      <c r="I854" s="311"/>
      <c r="J854" s="311"/>
      <c r="K854" s="311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  <c r="AA854" s="311"/>
      <c r="AB854" s="311"/>
      <c r="AC854" s="311"/>
      <c r="AD854" s="311"/>
      <c r="AE854" s="311"/>
    </row>
    <row r="855" spans="1:31" ht="16" x14ac:dyDescent="0.2">
      <c r="A855" s="311"/>
      <c r="B855" s="311"/>
      <c r="C855" s="311"/>
      <c r="D855" s="311"/>
      <c r="E855" s="311"/>
      <c r="F855" s="311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  <c r="AA855" s="311"/>
      <c r="AB855" s="311"/>
      <c r="AC855" s="311"/>
      <c r="AD855" s="311"/>
      <c r="AE855" s="311"/>
    </row>
    <row r="856" spans="1:31" ht="16" x14ac:dyDescent="0.2">
      <c r="A856" s="311"/>
      <c r="B856" s="311"/>
      <c r="C856" s="311"/>
      <c r="D856" s="311"/>
      <c r="E856" s="311"/>
      <c r="F856" s="311"/>
      <c r="G856" s="311"/>
      <c r="H856" s="311"/>
      <c r="I856" s="311"/>
      <c r="J856" s="311"/>
      <c r="K856" s="311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  <c r="AA856" s="311"/>
      <c r="AB856" s="311"/>
      <c r="AC856" s="311"/>
      <c r="AD856" s="311"/>
      <c r="AE856" s="311"/>
    </row>
    <row r="857" spans="1:31" ht="16" x14ac:dyDescent="0.2">
      <c r="A857" s="311"/>
      <c r="B857" s="311"/>
      <c r="C857" s="311"/>
      <c r="D857" s="311"/>
      <c r="E857" s="311"/>
      <c r="F857" s="311"/>
      <c r="G857" s="311"/>
      <c r="H857" s="311"/>
      <c r="I857" s="311"/>
      <c r="J857" s="311"/>
      <c r="K857" s="311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  <c r="AA857" s="311"/>
      <c r="AB857" s="311"/>
      <c r="AC857" s="311"/>
      <c r="AD857" s="311"/>
      <c r="AE857" s="311"/>
    </row>
    <row r="858" spans="1:31" ht="16" x14ac:dyDescent="0.2">
      <c r="A858" s="311"/>
      <c r="B858" s="311"/>
      <c r="C858" s="311"/>
      <c r="D858" s="311"/>
      <c r="E858" s="311"/>
      <c r="F858" s="311"/>
      <c r="G858" s="311"/>
      <c r="H858" s="311"/>
      <c r="I858" s="311"/>
      <c r="J858" s="311"/>
      <c r="K858" s="311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  <c r="AA858" s="311"/>
      <c r="AB858" s="311"/>
      <c r="AC858" s="311"/>
      <c r="AD858" s="311"/>
      <c r="AE858" s="311"/>
    </row>
    <row r="859" spans="1:31" ht="16" x14ac:dyDescent="0.2">
      <c r="A859" s="311"/>
      <c r="B859" s="311"/>
      <c r="C859" s="311"/>
      <c r="D859" s="311"/>
      <c r="E859" s="311"/>
      <c r="F859" s="311"/>
      <c r="G859" s="311"/>
      <c r="H859" s="311"/>
      <c r="I859" s="311"/>
      <c r="J859" s="311"/>
      <c r="K859" s="311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  <c r="AA859" s="311"/>
      <c r="AB859" s="311"/>
      <c r="AC859" s="311"/>
      <c r="AD859" s="311"/>
      <c r="AE859" s="311"/>
    </row>
    <row r="860" spans="1:31" ht="16" x14ac:dyDescent="0.2">
      <c r="A860" s="311"/>
      <c r="B860" s="311"/>
      <c r="C860" s="311"/>
      <c r="D860" s="311"/>
      <c r="E860" s="311"/>
      <c r="F860" s="311"/>
      <c r="G860" s="311"/>
      <c r="H860" s="311"/>
      <c r="I860" s="311"/>
      <c r="J860" s="311"/>
      <c r="K860" s="311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  <c r="AA860" s="311"/>
      <c r="AB860" s="311"/>
      <c r="AC860" s="311"/>
      <c r="AD860" s="311"/>
      <c r="AE860" s="311"/>
    </row>
    <row r="861" spans="1:31" ht="16" x14ac:dyDescent="0.2">
      <c r="A861" s="311"/>
      <c r="B861" s="311"/>
      <c r="C861" s="311"/>
      <c r="D861" s="311"/>
      <c r="E861" s="311"/>
      <c r="F861" s="311"/>
      <c r="G861" s="311"/>
      <c r="H861" s="311"/>
      <c r="I861" s="311"/>
      <c r="J861" s="311"/>
      <c r="K861" s="311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  <c r="AA861" s="311"/>
      <c r="AB861" s="311"/>
      <c r="AC861" s="311"/>
      <c r="AD861" s="311"/>
      <c r="AE861" s="311"/>
    </row>
    <row r="862" spans="1:31" ht="16" x14ac:dyDescent="0.2">
      <c r="A862" s="311"/>
      <c r="B862" s="311"/>
      <c r="C862" s="311"/>
      <c r="D862" s="311"/>
      <c r="E862" s="311"/>
      <c r="F862" s="311"/>
      <c r="G862" s="311"/>
      <c r="H862" s="311"/>
      <c r="I862" s="311"/>
      <c r="J862" s="311"/>
      <c r="K862" s="311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  <c r="AA862" s="311"/>
      <c r="AB862" s="311"/>
      <c r="AC862" s="311"/>
      <c r="AD862" s="311"/>
      <c r="AE862" s="311"/>
    </row>
    <row r="863" spans="1:31" ht="16" x14ac:dyDescent="0.2">
      <c r="A863" s="311"/>
      <c r="B863" s="311"/>
      <c r="C863" s="311"/>
      <c r="D863" s="311"/>
      <c r="E863" s="311"/>
      <c r="F863" s="311"/>
      <c r="G863" s="311"/>
      <c r="H863" s="311"/>
      <c r="I863" s="311"/>
      <c r="J863" s="311"/>
      <c r="K863" s="311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  <c r="AA863" s="311"/>
      <c r="AB863" s="311"/>
      <c r="AC863" s="311"/>
      <c r="AD863" s="311"/>
      <c r="AE863" s="311"/>
    </row>
    <row r="864" spans="1:31" ht="16" x14ac:dyDescent="0.2">
      <c r="A864" s="311"/>
      <c r="B864" s="311"/>
      <c r="C864" s="311"/>
      <c r="D864" s="311"/>
      <c r="E864" s="311"/>
      <c r="F864" s="311"/>
      <c r="G864" s="311"/>
      <c r="H864" s="311"/>
      <c r="I864" s="311"/>
      <c r="J864" s="311"/>
      <c r="K864" s="311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  <c r="AA864" s="311"/>
      <c r="AB864" s="311"/>
      <c r="AC864" s="311"/>
      <c r="AD864" s="311"/>
      <c r="AE864" s="311"/>
    </row>
    <row r="865" spans="1:31" ht="16" x14ac:dyDescent="0.2">
      <c r="A865" s="311"/>
      <c r="B865" s="311"/>
      <c r="C865" s="311"/>
      <c r="D865" s="311"/>
      <c r="E865" s="311"/>
      <c r="F865" s="311"/>
      <c r="G865" s="311"/>
      <c r="H865" s="311"/>
      <c r="I865" s="311"/>
      <c r="J865" s="311"/>
      <c r="K865" s="311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  <c r="AA865" s="311"/>
      <c r="AB865" s="311"/>
      <c r="AC865" s="311"/>
      <c r="AD865" s="311"/>
      <c r="AE865" s="311"/>
    </row>
    <row r="866" spans="1:31" ht="16" x14ac:dyDescent="0.2">
      <c r="A866" s="311"/>
      <c r="B866" s="311"/>
      <c r="C866" s="311"/>
      <c r="D866" s="311"/>
      <c r="E866" s="311"/>
      <c r="F866" s="311"/>
      <c r="G866" s="311"/>
      <c r="H866" s="311"/>
      <c r="I866" s="311"/>
      <c r="J866" s="311"/>
      <c r="K866" s="311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  <c r="AA866" s="311"/>
      <c r="AB866" s="311"/>
      <c r="AC866" s="311"/>
      <c r="AD866" s="311"/>
      <c r="AE866" s="311"/>
    </row>
    <row r="867" spans="1:31" ht="16" x14ac:dyDescent="0.2">
      <c r="A867" s="311"/>
      <c r="B867" s="311"/>
      <c r="C867" s="311"/>
      <c r="D867" s="311"/>
      <c r="E867" s="311"/>
      <c r="F867" s="311"/>
      <c r="G867" s="311"/>
      <c r="H867" s="311"/>
      <c r="I867" s="311"/>
      <c r="J867" s="311"/>
      <c r="K867" s="311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  <c r="AA867" s="311"/>
      <c r="AB867" s="311"/>
      <c r="AC867" s="311"/>
      <c r="AD867" s="311"/>
      <c r="AE867" s="311"/>
    </row>
    <row r="868" spans="1:31" ht="16" x14ac:dyDescent="0.2">
      <c r="A868" s="311"/>
      <c r="B868" s="311"/>
      <c r="C868" s="311"/>
      <c r="D868" s="311"/>
      <c r="E868" s="311"/>
      <c r="F868" s="311"/>
      <c r="G868" s="311"/>
      <c r="H868" s="311"/>
      <c r="I868" s="311"/>
      <c r="J868" s="311"/>
      <c r="K868" s="311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  <c r="AA868" s="311"/>
      <c r="AB868" s="311"/>
      <c r="AC868" s="311"/>
      <c r="AD868" s="311"/>
      <c r="AE868" s="311"/>
    </row>
    <row r="869" spans="1:31" ht="16" x14ac:dyDescent="0.2">
      <c r="A869" s="311"/>
      <c r="B869" s="311"/>
      <c r="C869" s="311"/>
      <c r="D869" s="311"/>
      <c r="E869" s="311"/>
      <c r="F869" s="311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  <c r="AA869" s="311"/>
      <c r="AB869" s="311"/>
      <c r="AC869" s="311"/>
      <c r="AD869" s="311"/>
      <c r="AE869" s="311"/>
    </row>
    <row r="870" spans="1:31" ht="16" x14ac:dyDescent="0.2">
      <c r="A870" s="311"/>
      <c r="B870" s="311"/>
      <c r="C870" s="311"/>
      <c r="D870" s="311"/>
      <c r="E870" s="311"/>
      <c r="F870" s="311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  <c r="AA870" s="311"/>
      <c r="AB870" s="311"/>
      <c r="AC870" s="311"/>
      <c r="AD870" s="311"/>
      <c r="AE870" s="311"/>
    </row>
    <row r="871" spans="1:31" ht="16" x14ac:dyDescent="0.2">
      <c r="A871" s="311"/>
      <c r="B871" s="311"/>
      <c r="C871" s="311"/>
      <c r="D871" s="311"/>
      <c r="E871" s="311"/>
      <c r="F871" s="311"/>
      <c r="G871" s="311"/>
      <c r="H871" s="311"/>
      <c r="I871" s="311"/>
      <c r="J871" s="311"/>
      <c r="K871" s="311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  <c r="AA871" s="311"/>
      <c r="AB871" s="311"/>
      <c r="AC871" s="311"/>
      <c r="AD871" s="311"/>
      <c r="AE871" s="311"/>
    </row>
    <row r="872" spans="1:31" ht="16" x14ac:dyDescent="0.2">
      <c r="A872" s="311"/>
      <c r="B872" s="311"/>
      <c r="C872" s="311"/>
      <c r="D872" s="311"/>
      <c r="E872" s="311"/>
      <c r="F872" s="311"/>
      <c r="G872" s="311"/>
      <c r="H872" s="311"/>
      <c r="I872" s="311"/>
      <c r="J872" s="311"/>
      <c r="K872" s="311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  <c r="AA872" s="311"/>
      <c r="AB872" s="311"/>
      <c r="AC872" s="311"/>
      <c r="AD872" s="311"/>
      <c r="AE872" s="311"/>
    </row>
    <row r="873" spans="1:31" ht="16" x14ac:dyDescent="0.2">
      <c r="A873" s="311"/>
      <c r="B873" s="311"/>
      <c r="C873" s="311"/>
      <c r="D873" s="311"/>
      <c r="E873" s="311"/>
      <c r="F873" s="311"/>
      <c r="G873" s="311"/>
      <c r="H873" s="311"/>
      <c r="I873" s="311"/>
      <c r="J873" s="311"/>
      <c r="K873" s="311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  <c r="AA873" s="311"/>
      <c r="AB873" s="311"/>
      <c r="AC873" s="311"/>
      <c r="AD873" s="311"/>
      <c r="AE873" s="311"/>
    </row>
    <row r="874" spans="1:31" ht="16" x14ac:dyDescent="0.2">
      <c r="A874" s="311"/>
      <c r="B874" s="311"/>
      <c r="C874" s="311"/>
      <c r="D874" s="311"/>
      <c r="E874" s="311"/>
      <c r="F874" s="311"/>
      <c r="G874" s="311"/>
      <c r="H874" s="311"/>
      <c r="I874" s="311"/>
      <c r="J874" s="311"/>
      <c r="K874" s="311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  <c r="AA874" s="311"/>
      <c r="AB874" s="311"/>
      <c r="AC874" s="311"/>
      <c r="AD874" s="311"/>
      <c r="AE874" s="311"/>
    </row>
    <row r="875" spans="1:31" ht="16" x14ac:dyDescent="0.2">
      <c r="A875" s="311"/>
      <c r="B875" s="311"/>
      <c r="C875" s="311"/>
      <c r="D875" s="311"/>
      <c r="E875" s="311"/>
      <c r="F875" s="311"/>
      <c r="G875" s="311"/>
      <c r="H875" s="311"/>
      <c r="I875" s="311"/>
      <c r="J875" s="311"/>
      <c r="K875" s="311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  <c r="AA875" s="311"/>
      <c r="AB875" s="311"/>
      <c r="AC875" s="311"/>
      <c r="AD875" s="311"/>
      <c r="AE875" s="311"/>
    </row>
    <row r="876" spans="1:31" ht="16" x14ac:dyDescent="0.2">
      <c r="A876" s="311"/>
      <c r="B876" s="311"/>
      <c r="C876" s="311"/>
      <c r="D876" s="311"/>
      <c r="E876" s="311"/>
      <c r="F876" s="311"/>
      <c r="G876" s="311"/>
      <c r="H876" s="311"/>
      <c r="I876" s="311"/>
      <c r="J876" s="311"/>
      <c r="K876" s="311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  <c r="AA876" s="311"/>
      <c r="AB876" s="311"/>
      <c r="AC876" s="311"/>
      <c r="AD876" s="311"/>
      <c r="AE876" s="311"/>
    </row>
    <row r="877" spans="1:31" ht="16" x14ac:dyDescent="0.2">
      <c r="A877" s="311"/>
      <c r="B877" s="311"/>
      <c r="C877" s="311"/>
      <c r="D877" s="311"/>
      <c r="E877" s="311"/>
      <c r="F877" s="311"/>
      <c r="G877" s="311"/>
      <c r="H877" s="311"/>
      <c r="I877" s="311"/>
      <c r="J877" s="311"/>
      <c r="K877" s="311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  <c r="AA877" s="311"/>
      <c r="AB877" s="311"/>
      <c r="AC877" s="311"/>
      <c r="AD877" s="311"/>
      <c r="AE877" s="311"/>
    </row>
    <row r="878" spans="1:31" ht="16" x14ac:dyDescent="0.2">
      <c r="A878" s="311"/>
      <c r="B878" s="311"/>
      <c r="C878" s="311"/>
      <c r="D878" s="311"/>
      <c r="E878" s="311"/>
      <c r="F878" s="311"/>
      <c r="G878" s="311"/>
      <c r="H878" s="311"/>
      <c r="I878" s="311"/>
      <c r="J878" s="311"/>
      <c r="K878" s="311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  <c r="AA878" s="311"/>
      <c r="AB878" s="311"/>
      <c r="AC878" s="311"/>
      <c r="AD878" s="311"/>
      <c r="AE878" s="311"/>
    </row>
    <row r="879" spans="1:31" ht="16" x14ac:dyDescent="0.2">
      <c r="A879" s="311"/>
      <c r="B879" s="311"/>
      <c r="C879" s="311"/>
      <c r="D879" s="311"/>
      <c r="E879" s="311"/>
      <c r="F879" s="311"/>
      <c r="G879" s="311"/>
      <c r="H879" s="311"/>
      <c r="I879" s="311"/>
      <c r="J879" s="311"/>
      <c r="K879" s="311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  <c r="AA879" s="311"/>
      <c r="AB879" s="311"/>
      <c r="AC879" s="311"/>
      <c r="AD879" s="311"/>
      <c r="AE879" s="311"/>
    </row>
    <row r="880" spans="1:31" ht="16" x14ac:dyDescent="0.2">
      <c r="A880" s="311"/>
      <c r="B880" s="311"/>
      <c r="C880" s="311"/>
      <c r="D880" s="311"/>
      <c r="E880" s="311"/>
      <c r="F880" s="311"/>
      <c r="G880" s="311"/>
      <c r="H880" s="311"/>
      <c r="I880" s="311"/>
      <c r="J880" s="311"/>
      <c r="K880" s="311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  <c r="AA880" s="311"/>
      <c r="AB880" s="311"/>
      <c r="AC880" s="311"/>
      <c r="AD880" s="311"/>
      <c r="AE880" s="311"/>
    </row>
    <row r="881" spans="1:31" ht="16" x14ac:dyDescent="0.2">
      <c r="A881" s="311"/>
      <c r="B881" s="311"/>
      <c r="C881" s="311"/>
      <c r="D881" s="311"/>
      <c r="E881" s="311"/>
      <c r="F881" s="311"/>
      <c r="G881" s="311"/>
      <c r="H881" s="311"/>
      <c r="I881" s="311"/>
      <c r="J881" s="311"/>
      <c r="K881" s="311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  <c r="AA881" s="311"/>
      <c r="AB881" s="311"/>
      <c r="AC881" s="311"/>
      <c r="AD881" s="311"/>
      <c r="AE881" s="311"/>
    </row>
    <row r="882" spans="1:31" ht="16" x14ac:dyDescent="0.2">
      <c r="A882" s="311"/>
      <c r="B882" s="311"/>
      <c r="C882" s="311"/>
      <c r="D882" s="311"/>
      <c r="E882" s="311"/>
      <c r="F882" s="311"/>
      <c r="G882" s="311"/>
      <c r="H882" s="311"/>
      <c r="I882" s="311"/>
      <c r="J882" s="311"/>
      <c r="K882" s="311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  <c r="AA882" s="311"/>
      <c r="AB882" s="311"/>
      <c r="AC882" s="311"/>
      <c r="AD882" s="311"/>
      <c r="AE882" s="311"/>
    </row>
    <row r="883" spans="1:31" ht="16" x14ac:dyDescent="0.2">
      <c r="A883" s="311"/>
      <c r="B883" s="311"/>
      <c r="C883" s="311"/>
      <c r="D883" s="311"/>
      <c r="E883" s="311"/>
      <c r="F883" s="311"/>
      <c r="G883" s="311"/>
      <c r="H883" s="311"/>
      <c r="I883" s="311"/>
      <c r="J883" s="311"/>
      <c r="K883" s="311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  <c r="AA883" s="311"/>
      <c r="AB883" s="311"/>
      <c r="AC883" s="311"/>
      <c r="AD883" s="311"/>
      <c r="AE883" s="311"/>
    </row>
    <row r="884" spans="1:31" ht="16" x14ac:dyDescent="0.2">
      <c r="A884" s="311"/>
      <c r="B884" s="311"/>
      <c r="C884" s="311"/>
      <c r="D884" s="311"/>
      <c r="E884" s="311"/>
      <c r="F884" s="311"/>
      <c r="G884" s="311"/>
      <c r="H884" s="311"/>
      <c r="I884" s="311"/>
      <c r="J884" s="311"/>
      <c r="K884" s="311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  <c r="AA884" s="311"/>
      <c r="AB884" s="311"/>
      <c r="AC884" s="311"/>
      <c r="AD884" s="311"/>
      <c r="AE884" s="311"/>
    </row>
    <row r="885" spans="1:31" ht="16" x14ac:dyDescent="0.2">
      <c r="A885" s="311"/>
      <c r="B885" s="311"/>
      <c r="C885" s="311"/>
      <c r="D885" s="311"/>
      <c r="E885" s="311"/>
      <c r="F885" s="311"/>
      <c r="G885" s="311"/>
      <c r="H885" s="311"/>
      <c r="I885" s="311"/>
      <c r="J885" s="311"/>
      <c r="K885" s="311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  <c r="AA885" s="311"/>
      <c r="AB885" s="311"/>
      <c r="AC885" s="311"/>
      <c r="AD885" s="311"/>
      <c r="AE885" s="311"/>
    </row>
    <row r="886" spans="1:31" ht="16" x14ac:dyDescent="0.2">
      <c r="A886" s="311"/>
      <c r="B886" s="311"/>
      <c r="C886" s="311"/>
      <c r="D886" s="311"/>
      <c r="E886" s="311"/>
      <c r="F886" s="311"/>
      <c r="G886" s="311"/>
      <c r="H886" s="311"/>
      <c r="I886" s="311"/>
      <c r="J886" s="311"/>
      <c r="K886" s="311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  <c r="AA886" s="311"/>
      <c r="AB886" s="311"/>
      <c r="AC886" s="311"/>
      <c r="AD886" s="311"/>
      <c r="AE886" s="311"/>
    </row>
    <row r="887" spans="1:31" ht="16" x14ac:dyDescent="0.2">
      <c r="A887" s="311"/>
      <c r="B887" s="311"/>
      <c r="C887" s="311"/>
      <c r="D887" s="311"/>
      <c r="E887" s="311"/>
      <c r="F887" s="311"/>
      <c r="G887" s="311"/>
      <c r="H887" s="311"/>
      <c r="I887" s="311"/>
      <c r="J887" s="311"/>
      <c r="K887" s="311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  <c r="AA887" s="311"/>
      <c r="AB887" s="311"/>
      <c r="AC887" s="311"/>
      <c r="AD887" s="311"/>
      <c r="AE887" s="311"/>
    </row>
    <row r="888" spans="1:31" ht="16" x14ac:dyDescent="0.2">
      <c r="A888" s="311"/>
      <c r="B888" s="311"/>
      <c r="C888" s="311"/>
      <c r="D888" s="311"/>
      <c r="E888" s="311"/>
      <c r="F888" s="311"/>
      <c r="G888" s="311"/>
      <c r="H888" s="311"/>
      <c r="I888" s="311"/>
      <c r="J888" s="311"/>
      <c r="K888" s="311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  <c r="AA888" s="311"/>
      <c r="AB888" s="311"/>
      <c r="AC888" s="311"/>
      <c r="AD888" s="311"/>
      <c r="AE888" s="311"/>
    </row>
    <row r="889" spans="1:31" ht="16" x14ac:dyDescent="0.2">
      <c r="A889" s="311"/>
      <c r="B889" s="311"/>
      <c r="C889" s="311"/>
      <c r="D889" s="311"/>
      <c r="E889" s="311"/>
      <c r="F889" s="311"/>
      <c r="G889" s="311"/>
      <c r="H889" s="311"/>
      <c r="I889" s="311"/>
      <c r="J889" s="311"/>
      <c r="K889" s="311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  <c r="AA889" s="311"/>
      <c r="AB889" s="311"/>
      <c r="AC889" s="311"/>
      <c r="AD889" s="311"/>
      <c r="AE889" s="311"/>
    </row>
    <row r="890" spans="1:31" ht="16" x14ac:dyDescent="0.2">
      <c r="A890" s="311"/>
      <c r="B890" s="311"/>
      <c r="C890" s="311"/>
      <c r="D890" s="311"/>
      <c r="E890" s="311"/>
      <c r="F890" s="311"/>
      <c r="G890" s="311"/>
      <c r="H890" s="311"/>
      <c r="I890" s="311"/>
      <c r="J890" s="311"/>
      <c r="K890" s="311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  <c r="AA890" s="311"/>
      <c r="AB890" s="311"/>
      <c r="AC890" s="311"/>
      <c r="AD890" s="311"/>
      <c r="AE890" s="311"/>
    </row>
    <row r="891" spans="1:31" ht="16" x14ac:dyDescent="0.2">
      <c r="A891" s="311"/>
      <c r="B891" s="311"/>
      <c r="C891" s="311"/>
      <c r="D891" s="311"/>
      <c r="E891" s="311"/>
      <c r="F891" s="311"/>
      <c r="G891" s="311"/>
      <c r="H891" s="311"/>
      <c r="I891" s="311"/>
      <c r="J891" s="311"/>
      <c r="K891" s="311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  <c r="AA891" s="311"/>
      <c r="AB891" s="311"/>
      <c r="AC891" s="311"/>
      <c r="AD891" s="311"/>
      <c r="AE891" s="311"/>
    </row>
    <row r="892" spans="1:31" ht="16" x14ac:dyDescent="0.2">
      <c r="A892" s="311"/>
      <c r="B892" s="311"/>
      <c r="C892" s="311"/>
      <c r="D892" s="311"/>
      <c r="E892" s="311"/>
      <c r="F892" s="311"/>
      <c r="G892" s="311"/>
      <c r="H892" s="311"/>
      <c r="I892" s="311"/>
      <c r="J892" s="311"/>
      <c r="K892" s="311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  <c r="AA892" s="311"/>
      <c r="AB892" s="311"/>
      <c r="AC892" s="311"/>
      <c r="AD892" s="311"/>
      <c r="AE892" s="311"/>
    </row>
    <row r="893" spans="1:31" ht="16" x14ac:dyDescent="0.2">
      <c r="A893" s="311"/>
      <c r="B893" s="311"/>
      <c r="C893" s="311"/>
      <c r="D893" s="311"/>
      <c r="E893" s="311"/>
      <c r="F893" s="311"/>
      <c r="G893" s="311"/>
      <c r="H893" s="311"/>
      <c r="I893" s="311"/>
      <c r="J893" s="311"/>
      <c r="K893" s="311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  <c r="AA893" s="311"/>
      <c r="AB893" s="311"/>
      <c r="AC893" s="311"/>
      <c r="AD893" s="311"/>
      <c r="AE893" s="311"/>
    </row>
    <row r="894" spans="1:31" ht="16" x14ac:dyDescent="0.2">
      <c r="A894" s="311"/>
      <c r="B894" s="311"/>
      <c r="C894" s="311"/>
      <c r="D894" s="311"/>
      <c r="E894" s="311"/>
      <c r="F894" s="311"/>
      <c r="G894" s="311"/>
      <c r="H894" s="311"/>
      <c r="I894" s="311"/>
      <c r="J894" s="311"/>
      <c r="K894" s="311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  <c r="AA894" s="311"/>
      <c r="AB894" s="311"/>
      <c r="AC894" s="311"/>
      <c r="AD894" s="311"/>
      <c r="AE894" s="311"/>
    </row>
    <row r="895" spans="1:31" ht="16" x14ac:dyDescent="0.2">
      <c r="A895" s="311"/>
      <c r="B895" s="311"/>
      <c r="C895" s="311"/>
      <c r="D895" s="311"/>
      <c r="E895" s="311"/>
      <c r="F895" s="311"/>
      <c r="G895" s="311"/>
      <c r="H895" s="311"/>
      <c r="I895" s="311"/>
      <c r="J895" s="311"/>
      <c r="K895" s="311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  <c r="AA895" s="311"/>
      <c r="AB895" s="311"/>
      <c r="AC895" s="311"/>
      <c r="AD895" s="311"/>
      <c r="AE895" s="311"/>
    </row>
    <row r="896" spans="1:31" ht="16" x14ac:dyDescent="0.2">
      <c r="A896" s="311"/>
      <c r="B896" s="311"/>
      <c r="C896" s="311"/>
      <c r="D896" s="311"/>
      <c r="E896" s="311"/>
      <c r="F896" s="311"/>
      <c r="G896" s="311"/>
      <c r="H896" s="311"/>
      <c r="I896" s="311"/>
      <c r="J896" s="311"/>
      <c r="K896" s="311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  <c r="AA896" s="311"/>
      <c r="AB896" s="311"/>
      <c r="AC896" s="311"/>
      <c r="AD896" s="311"/>
      <c r="AE896" s="311"/>
    </row>
    <row r="897" spans="1:31" ht="16" x14ac:dyDescent="0.2">
      <c r="A897" s="311"/>
      <c r="B897" s="311"/>
      <c r="C897" s="311"/>
      <c r="D897" s="311"/>
      <c r="E897" s="311"/>
      <c r="F897" s="311"/>
      <c r="G897" s="311"/>
      <c r="H897" s="311"/>
      <c r="I897" s="311"/>
      <c r="J897" s="311"/>
      <c r="K897" s="311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  <c r="AA897" s="311"/>
      <c r="AB897" s="311"/>
      <c r="AC897" s="311"/>
      <c r="AD897" s="311"/>
      <c r="AE897" s="311"/>
    </row>
    <row r="898" spans="1:31" ht="16" x14ac:dyDescent="0.2">
      <c r="A898" s="311"/>
      <c r="B898" s="311"/>
      <c r="C898" s="311"/>
      <c r="D898" s="311"/>
      <c r="E898" s="311"/>
      <c r="F898" s="311"/>
      <c r="G898" s="311"/>
      <c r="H898" s="311"/>
      <c r="I898" s="311"/>
      <c r="J898" s="311"/>
      <c r="K898" s="311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  <c r="AA898" s="311"/>
      <c r="AB898" s="311"/>
      <c r="AC898" s="311"/>
      <c r="AD898" s="311"/>
      <c r="AE898" s="311"/>
    </row>
    <row r="899" spans="1:31" ht="16" x14ac:dyDescent="0.2">
      <c r="A899" s="311"/>
      <c r="B899" s="311"/>
      <c r="C899" s="311"/>
      <c r="D899" s="311"/>
      <c r="E899" s="311"/>
      <c r="F899" s="311"/>
      <c r="G899" s="311"/>
      <c r="H899" s="311"/>
      <c r="I899" s="311"/>
      <c r="J899" s="311"/>
      <c r="K899" s="311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  <c r="AA899" s="311"/>
      <c r="AB899" s="311"/>
      <c r="AC899" s="311"/>
      <c r="AD899" s="311"/>
      <c r="AE899" s="311"/>
    </row>
    <row r="900" spans="1:31" ht="16" x14ac:dyDescent="0.2">
      <c r="A900" s="311"/>
      <c r="B900" s="311"/>
      <c r="C900" s="311"/>
      <c r="D900" s="311"/>
      <c r="E900" s="311"/>
      <c r="F900" s="311"/>
      <c r="G900" s="311"/>
      <c r="H900" s="311"/>
      <c r="I900" s="311"/>
      <c r="J900" s="311"/>
      <c r="K900" s="311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  <c r="AA900" s="311"/>
      <c r="AB900" s="311"/>
      <c r="AC900" s="311"/>
      <c r="AD900" s="311"/>
      <c r="AE900" s="311"/>
    </row>
    <row r="901" spans="1:31" ht="16" x14ac:dyDescent="0.2">
      <c r="A901" s="311"/>
      <c r="B901" s="311"/>
      <c r="C901" s="311"/>
      <c r="D901" s="311"/>
      <c r="E901" s="311"/>
      <c r="F901" s="311"/>
      <c r="G901" s="311"/>
      <c r="H901" s="311"/>
      <c r="I901" s="311"/>
      <c r="J901" s="311"/>
      <c r="K901" s="311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  <c r="AA901" s="311"/>
      <c r="AB901" s="311"/>
      <c r="AC901" s="311"/>
      <c r="AD901" s="311"/>
      <c r="AE901" s="311"/>
    </row>
    <row r="902" spans="1:31" ht="16" x14ac:dyDescent="0.2">
      <c r="A902" s="311"/>
      <c r="B902" s="311"/>
      <c r="C902" s="311"/>
      <c r="D902" s="311"/>
      <c r="E902" s="311"/>
      <c r="F902" s="311"/>
      <c r="G902" s="311"/>
      <c r="H902" s="311"/>
      <c r="I902" s="311"/>
      <c r="J902" s="311"/>
      <c r="K902" s="311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  <c r="AA902" s="311"/>
      <c r="AB902" s="311"/>
      <c r="AC902" s="311"/>
      <c r="AD902" s="311"/>
      <c r="AE902" s="311"/>
    </row>
    <row r="903" spans="1:31" ht="16" x14ac:dyDescent="0.2">
      <c r="A903" s="311"/>
      <c r="B903" s="311"/>
      <c r="C903" s="311"/>
      <c r="D903" s="311"/>
      <c r="E903" s="311"/>
      <c r="F903" s="311"/>
      <c r="G903" s="311"/>
      <c r="H903" s="311"/>
      <c r="I903" s="311"/>
      <c r="J903" s="311"/>
      <c r="K903" s="311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  <c r="AA903" s="311"/>
      <c r="AB903" s="311"/>
      <c r="AC903" s="311"/>
      <c r="AD903" s="311"/>
      <c r="AE903" s="311"/>
    </row>
    <row r="904" spans="1:31" ht="16" x14ac:dyDescent="0.2">
      <c r="A904" s="311"/>
      <c r="B904" s="311"/>
      <c r="C904" s="311"/>
      <c r="D904" s="311"/>
      <c r="E904" s="311"/>
      <c r="F904" s="311"/>
      <c r="G904" s="311"/>
      <c r="H904" s="311"/>
      <c r="I904" s="311"/>
      <c r="J904" s="311"/>
      <c r="K904" s="311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  <c r="AA904" s="311"/>
      <c r="AB904" s="311"/>
      <c r="AC904" s="311"/>
      <c r="AD904" s="311"/>
      <c r="AE904" s="311"/>
    </row>
    <row r="905" spans="1:31" ht="16" x14ac:dyDescent="0.2">
      <c r="A905" s="311"/>
      <c r="B905" s="311"/>
      <c r="C905" s="311"/>
      <c r="D905" s="311"/>
      <c r="E905" s="311"/>
      <c r="F905" s="311"/>
      <c r="G905" s="311"/>
      <c r="H905" s="311"/>
      <c r="I905" s="311"/>
      <c r="J905" s="311"/>
      <c r="K905" s="311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  <c r="AA905" s="311"/>
      <c r="AB905" s="311"/>
      <c r="AC905" s="311"/>
      <c r="AD905" s="311"/>
      <c r="AE905" s="311"/>
    </row>
    <row r="906" spans="1:31" ht="16" x14ac:dyDescent="0.2">
      <c r="A906" s="311"/>
      <c r="B906" s="311"/>
      <c r="C906" s="311"/>
      <c r="D906" s="311"/>
      <c r="E906" s="311"/>
      <c r="F906" s="311"/>
      <c r="G906" s="311"/>
      <c r="H906" s="311"/>
      <c r="I906" s="311"/>
      <c r="J906" s="311"/>
      <c r="K906" s="311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  <c r="AA906" s="311"/>
      <c r="AB906" s="311"/>
      <c r="AC906" s="311"/>
      <c r="AD906" s="311"/>
      <c r="AE906" s="311"/>
    </row>
    <row r="907" spans="1:31" ht="16" x14ac:dyDescent="0.2">
      <c r="A907" s="311"/>
      <c r="B907" s="311"/>
      <c r="C907" s="311"/>
      <c r="D907" s="311"/>
      <c r="E907" s="311"/>
      <c r="F907" s="311"/>
      <c r="G907" s="311"/>
      <c r="H907" s="311"/>
      <c r="I907" s="311"/>
      <c r="J907" s="311"/>
      <c r="K907" s="311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  <c r="AA907" s="311"/>
      <c r="AB907" s="311"/>
      <c r="AC907" s="311"/>
      <c r="AD907" s="311"/>
      <c r="AE907" s="311"/>
    </row>
    <row r="908" spans="1:31" ht="16" x14ac:dyDescent="0.2">
      <c r="A908" s="311"/>
      <c r="B908" s="311"/>
      <c r="C908" s="311"/>
      <c r="D908" s="311"/>
      <c r="E908" s="311"/>
      <c r="F908" s="311"/>
      <c r="G908" s="311"/>
      <c r="H908" s="311"/>
      <c r="I908" s="311"/>
      <c r="J908" s="311"/>
      <c r="K908" s="311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  <c r="AA908" s="311"/>
      <c r="AB908" s="311"/>
      <c r="AC908" s="311"/>
      <c r="AD908" s="311"/>
      <c r="AE908" s="311"/>
    </row>
    <row r="909" spans="1:31" ht="16" x14ac:dyDescent="0.2">
      <c r="A909" s="311"/>
      <c r="B909" s="311"/>
      <c r="C909" s="311"/>
      <c r="D909" s="311"/>
      <c r="E909" s="311"/>
      <c r="F909" s="311"/>
      <c r="G909" s="311"/>
      <c r="H909" s="311"/>
      <c r="I909" s="311"/>
      <c r="J909" s="311"/>
      <c r="K909" s="311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  <c r="AA909" s="311"/>
      <c r="AB909" s="311"/>
      <c r="AC909" s="311"/>
      <c r="AD909" s="311"/>
      <c r="AE909" s="311"/>
    </row>
    <row r="910" spans="1:31" ht="16" x14ac:dyDescent="0.2">
      <c r="A910" s="311"/>
      <c r="B910" s="311"/>
      <c r="C910" s="311"/>
      <c r="D910" s="311"/>
      <c r="E910" s="311"/>
      <c r="F910" s="311"/>
      <c r="G910" s="311"/>
      <c r="H910" s="311"/>
      <c r="I910" s="311"/>
      <c r="J910" s="311"/>
      <c r="K910" s="311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  <c r="AA910" s="311"/>
      <c r="AB910" s="311"/>
      <c r="AC910" s="311"/>
      <c r="AD910" s="311"/>
      <c r="AE910" s="311"/>
    </row>
    <row r="911" spans="1:31" ht="16" x14ac:dyDescent="0.2">
      <c r="A911" s="311"/>
      <c r="B911" s="311"/>
      <c r="C911" s="311"/>
      <c r="D911" s="311"/>
      <c r="E911" s="311"/>
      <c r="F911" s="311"/>
      <c r="G911" s="311"/>
      <c r="H911" s="311"/>
      <c r="I911" s="311"/>
      <c r="J911" s="311"/>
      <c r="K911" s="311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  <c r="AA911" s="311"/>
      <c r="AB911" s="311"/>
      <c r="AC911" s="311"/>
      <c r="AD911" s="311"/>
      <c r="AE911" s="311"/>
    </row>
    <row r="912" spans="1:31" ht="16" x14ac:dyDescent="0.2">
      <c r="A912" s="311"/>
      <c r="B912" s="311"/>
      <c r="C912" s="311"/>
      <c r="D912" s="311"/>
      <c r="E912" s="311"/>
      <c r="F912" s="311"/>
      <c r="G912" s="311"/>
      <c r="H912" s="311"/>
      <c r="I912" s="311"/>
      <c r="J912" s="311"/>
      <c r="K912" s="311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  <c r="AA912" s="311"/>
      <c r="AB912" s="311"/>
      <c r="AC912" s="311"/>
      <c r="AD912" s="311"/>
      <c r="AE912" s="311"/>
    </row>
    <row r="913" spans="1:31" ht="16" x14ac:dyDescent="0.2">
      <c r="A913" s="311"/>
      <c r="B913" s="311"/>
      <c r="C913" s="311"/>
      <c r="D913" s="311"/>
      <c r="E913" s="311"/>
      <c r="F913" s="311"/>
      <c r="G913" s="311"/>
      <c r="H913" s="311"/>
      <c r="I913" s="311"/>
      <c r="J913" s="311"/>
      <c r="K913" s="311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  <c r="AA913" s="311"/>
      <c r="AB913" s="311"/>
      <c r="AC913" s="311"/>
      <c r="AD913" s="311"/>
      <c r="AE913" s="311"/>
    </row>
    <row r="914" spans="1:31" ht="16" x14ac:dyDescent="0.2">
      <c r="A914" s="311"/>
      <c r="B914" s="311"/>
      <c r="C914" s="311"/>
      <c r="D914" s="311"/>
      <c r="E914" s="311"/>
      <c r="F914" s="311"/>
      <c r="G914" s="311"/>
      <c r="H914" s="311"/>
      <c r="I914" s="311"/>
      <c r="J914" s="311"/>
      <c r="K914" s="311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  <c r="AA914" s="311"/>
      <c r="AB914" s="311"/>
      <c r="AC914" s="311"/>
      <c r="AD914" s="311"/>
      <c r="AE914" s="311"/>
    </row>
    <row r="915" spans="1:31" ht="16" x14ac:dyDescent="0.2">
      <c r="A915" s="311"/>
      <c r="B915" s="311"/>
      <c r="C915" s="311"/>
      <c r="D915" s="311"/>
      <c r="E915" s="311"/>
      <c r="F915" s="311"/>
      <c r="G915" s="311"/>
      <c r="H915" s="311"/>
      <c r="I915" s="311"/>
      <c r="J915" s="311"/>
      <c r="K915" s="311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  <c r="AA915" s="311"/>
      <c r="AB915" s="311"/>
      <c r="AC915" s="311"/>
      <c r="AD915" s="311"/>
      <c r="AE915" s="311"/>
    </row>
    <row r="916" spans="1:31" ht="16" x14ac:dyDescent="0.2">
      <c r="A916" s="311"/>
      <c r="B916" s="311"/>
      <c r="C916" s="311"/>
      <c r="D916" s="311"/>
      <c r="E916" s="311"/>
      <c r="F916" s="311"/>
      <c r="G916" s="311"/>
      <c r="H916" s="311"/>
      <c r="I916" s="311"/>
      <c r="J916" s="311"/>
      <c r="K916" s="311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  <c r="AA916" s="311"/>
      <c r="AB916" s="311"/>
      <c r="AC916" s="311"/>
      <c r="AD916" s="311"/>
      <c r="AE916" s="311"/>
    </row>
    <row r="917" spans="1:31" ht="16" x14ac:dyDescent="0.2">
      <c r="A917" s="311"/>
      <c r="B917" s="311"/>
      <c r="C917" s="311"/>
      <c r="D917" s="311"/>
      <c r="E917" s="311"/>
      <c r="F917" s="311"/>
      <c r="G917" s="311"/>
      <c r="H917" s="311"/>
      <c r="I917" s="311"/>
      <c r="J917" s="311"/>
      <c r="K917" s="311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  <c r="AA917" s="311"/>
      <c r="AB917" s="311"/>
      <c r="AC917" s="311"/>
      <c r="AD917" s="311"/>
      <c r="AE917" s="311"/>
    </row>
    <row r="918" spans="1:31" ht="16" x14ac:dyDescent="0.2">
      <c r="A918" s="311"/>
      <c r="B918" s="311"/>
      <c r="C918" s="311"/>
      <c r="D918" s="311"/>
      <c r="E918" s="311"/>
      <c r="F918" s="311"/>
      <c r="G918" s="311"/>
      <c r="H918" s="311"/>
      <c r="I918" s="311"/>
      <c r="J918" s="311"/>
      <c r="K918" s="311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  <c r="AA918" s="311"/>
      <c r="AB918" s="311"/>
      <c r="AC918" s="311"/>
      <c r="AD918" s="311"/>
      <c r="AE918" s="311"/>
    </row>
    <row r="919" spans="1:31" ht="16" x14ac:dyDescent="0.2">
      <c r="A919" s="311"/>
      <c r="B919" s="311"/>
      <c r="C919" s="311"/>
      <c r="D919" s="311"/>
      <c r="E919" s="311"/>
      <c r="F919" s="311"/>
      <c r="G919" s="311"/>
      <c r="H919" s="311"/>
      <c r="I919" s="311"/>
      <c r="J919" s="311"/>
      <c r="K919" s="311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  <c r="AA919" s="311"/>
      <c r="AB919" s="311"/>
      <c r="AC919" s="311"/>
      <c r="AD919" s="311"/>
      <c r="AE919" s="311"/>
    </row>
    <row r="920" spans="1:31" ht="16" x14ac:dyDescent="0.2">
      <c r="A920" s="311"/>
      <c r="B920" s="311"/>
      <c r="C920" s="311"/>
      <c r="D920" s="311"/>
      <c r="E920" s="311"/>
      <c r="F920" s="311"/>
      <c r="G920" s="311"/>
      <c r="H920" s="311"/>
      <c r="I920" s="311"/>
      <c r="J920" s="311"/>
      <c r="K920" s="311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  <c r="AA920" s="311"/>
      <c r="AB920" s="311"/>
      <c r="AC920" s="311"/>
      <c r="AD920" s="311"/>
      <c r="AE920" s="311"/>
    </row>
    <row r="921" spans="1:31" ht="16" x14ac:dyDescent="0.2">
      <c r="A921" s="311"/>
      <c r="B921" s="311"/>
      <c r="C921" s="311"/>
      <c r="D921" s="311"/>
      <c r="E921" s="311"/>
      <c r="F921" s="311"/>
      <c r="G921" s="311"/>
      <c r="H921" s="311"/>
      <c r="I921" s="311"/>
      <c r="J921" s="311"/>
      <c r="K921" s="311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  <c r="AA921" s="311"/>
      <c r="AB921" s="311"/>
      <c r="AC921" s="311"/>
      <c r="AD921" s="311"/>
      <c r="AE921" s="311"/>
    </row>
    <row r="922" spans="1:31" ht="16" x14ac:dyDescent="0.2">
      <c r="A922" s="311"/>
      <c r="B922" s="311"/>
      <c r="C922" s="311"/>
      <c r="D922" s="311"/>
      <c r="E922" s="311"/>
      <c r="F922" s="311"/>
      <c r="G922" s="311"/>
      <c r="H922" s="311"/>
      <c r="I922" s="311"/>
      <c r="J922" s="311"/>
      <c r="K922" s="311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  <c r="AA922" s="311"/>
      <c r="AB922" s="311"/>
      <c r="AC922" s="311"/>
      <c r="AD922" s="311"/>
      <c r="AE922" s="311"/>
    </row>
    <row r="923" spans="1:31" ht="16" x14ac:dyDescent="0.2">
      <c r="A923" s="311"/>
      <c r="B923" s="311"/>
      <c r="C923" s="311"/>
      <c r="D923" s="311"/>
      <c r="E923" s="311"/>
      <c r="F923" s="311"/>
      <c r="G923" s="311"/>
      <c r="H923" s="311"/>
      <c r="I923" s="311"/>
      <c r="J923" s="311"/>
      <c r="K923" s="311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  <c r="AA923" s="311"/>
      <c r="AB923" s="311"/>
      <c r="AC923" s="311"/>
      <c r="AD923" s="311"/>
      <c r="AE923" s="311"/>
    </row>
    <row r="924" spans="1:31" ht="16" x14ac:dyDescent="0.2">
      <c r="A924" s="311"/>
      <c r="B924" s="311"/>
      <c r="C924" s="311"/>
      <c r="D924" s="311"/>
      <c r="E924" s="311"/>
      <c r="F924" s="311"/>
      <c r="G924" s="311"/>
      <c r="H924" s="311"/>
      <c r="I924" s="311"/>
      <c r="J924" s="311"/>
      <c r="K924" s="311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  <c r="AA924" s="311"/>
      <c r="AB924" s="311"/>
      <c r="AC924" s="311"/>
      <c r="AD924" s="311"/>
      <c r="AE924" s="311"/>
    </row>
    <row r="925" spans="1:31" ht="16" x14ac:dyDescent="0.2">
      <c r="A925" s="311"/>
      <c r="B925" s="311"/>
      <c r="C925" s="311"/>
      <c r="D925" s="311"/>
      <c r="E925" s="311"/>
      <c r="F925" s="311"/>
      <c r="G925" s="311"/>
      <c r="H925" s="311"/>
      <c r="I925" s="311"/>
      <c r="J925" s="311"/>
      <c r="K925" s="311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  <c r="AA925" s="311"/>
      <c r="AB925" s="311"/>
      <c r="AC925" s="311"/>
      <c r="AD925" s="311"/>
      <c r="AE925" s="311"/>
    </row>
    <row r="926" spans="1:31" ht="16" x14ac:dyDescent="0.2">
      <c r="A926" s="311"/>
      <c r="B926" s="311"/>
      <c r="C926" s="311"/>
      <c r="D926" s="311"/>
      <c r="E926" s="311"/>
      <c r="F926" s="311"/>
      <c r="G926" s="311"/>
      <c r="H926" s="311"/>
      <c r="I926" s="311"/>
      <c r="J926" s="311"/>
      <c r="K926" s="311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  <c r="AA926" s="311"/>
      <c r="AB926" s="311"/>
      <c r="AC926" s="311"/>
      <c r="AD926" s="311"/>
      <c r="AE926" s="311"/>
    </row>
    <row r="927" spans="1:31" ht="16" x14ac:dyDescent="0.2">
      <c r="A927" s="311"/>
      <c r="B927" s="311"/>
      <c r="C927" s="311"/>
      <c r="D927" s="311"/>
      <c r="E927" s="311"/>
      <c r="F927" s="311"/>
      <c r="G927" s="311"/>
      <c r="H927" s="311"/>
      <c r="I927" s="311"/>
      <c r="J927" s="311"/>
      <c r="K927" s="311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  <c r="AA927" s="311"/>
      <c r="AB927" s="311"/>
      <c r="AC927" s="311"/>
      <c r="AD927" s="311"/>
      <c r="AE927" s="311"/>
    </row>
    <row r="928" spans="1:31" ht="16" x14ac:dyDescent="0.2">
      <c r="A928" s="311"/>
      <c r="B928" s="311"/>
      <c r="C928" s="311"/>
      <c r="D928" s="311"/>
      <c r="E928" s="311"/>
      <c r="F928" s="311"/>
      <c r="G928" s="311"/>
      <c r="H928" s="311"/>
      <c r="I928" s="311"/>
      <c r="J928" s="311"/>
      <c r="K928" s="311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  <c r="AA928" s="311"/>
      <c r="AB928" s="311"/>
      <c r="AC928" s="311"/>
      <c r="AD928" s="311"/>
      <c r="AE928" s="311"/>
    </row>
    <row r="929" spans="1:31" ht="16" x14ac:dyDescent="0.2">
      <c r="A929" s="311"/>
      <c r="B929" s="311"/>
      <c r="C929" s="311"/>
      <c r="D929" s="311"/>
      <c r="E929" s="311"/>
      <c r="F929" s="311"/>
      <c r="G929" s="311"/>
      <c r="H929" s="311"/>
      <c r="I929" s="311"/>
      <c r="J929" s="311"/>
      <c r="K929" s="311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  <c r="AA929" s="311"/>
      <c r="AB929" s="311"/>
      <c r="AC929" s="311"/>
      <c r="AD929" s="311"/>
      <c r="AE929" s="311"/>
    </row>
    <row r="930" spans="1:31" ht="16" x14ac:dyDescent="0.2">
      <c r="A930" s="311"/>
      <c r="B930" s="311"/>
      <c r="C930" s="311"/>
      <c r="D930" s="311"/>
      <c r="E930" s="311"/>
      <c r="F930" s="311"/>
      <c r="G930" s="311"/>
      <c r="H930" s="311"/>
      <c r="I930" s="311"/>
      <c r="J930" s="311"/>
      <c r="K930" s="311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  <c r="AA930" s="311"/>
      <c r="AB930" s="311"/>
      <c r="AC930" s="311"/>
      <c r="AD930" s="311"/>
      <c r="AE930" s="311"/>
    </row>
    <row r="931" spans="1:31" ht="16" x14ac:dyDescent="0.2">
      <c r="A931" s="311"/>
      <c r="B931" s="311"/>
      <c r="C931" s="311"/>
      <c r="D931" s="311"/>
      <c r="E931" s="311"/>
      <c r="F931" s="311"/>
      <c r="G931" s="311"/>
      <c r="H931" s="311"/>
      <c r="I931" s="311"/>
      <c r="J931" s="311"/>
      <c r="K931" s="311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  <c r="AA931" s="311"/>
      <c r="AB931" s="311"/>
      <c r="AC931" s="311"/>
      <c r="AD931" s="311"/>
      <c r="AE931" s="311"/>
    </row>
    <row r="932" spans="1:31" ht="16" x14ac:dyDescent="0.2">
      <c r="A932" s="311"/>
      <c r="B932" s="311"/>
      <c r="C932" s="311"/>
      <c r="D932" s="311"/>
      <c r="E932" s="311"/>
      <c r="F932" s="311"/>
      <c r="G932" s="311"/>
      <c r="H932" s="311"/>
      <c r="I932" s="311"/>
      <c r="J932" s="311"/>
      <c r="K932" s="311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  <c r="AA932" s="311"/>
      <c r="AB932" s="311"/>
      <c r="AC932" s="311"/>
      <c r="AD932" s="311"/>
      <c r="AE932" s="311"/>
    </row>
    <row r="933" spans="1:31" ht="16" x14ac:dyDescent="0.2">
      <c r="A933" s="311"/>
      <c r="B933" s="311"/>
      <c r="C933" s="311"/>
      <c r="D933" s="311"/>
      <c r="E933" s="311"/>
      <c r="F933" s="311"/>
      <c r="G933" s="311"/>
      <c r="H933" s="311"/>
      <c r="I933" s="311"/>
      <c r="J933" s="311"/>
      <c r="K933" s="311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  <c r="AA933" s="311"/>
      <c r="AB933" s="311"/>
      <c r="AC933" s="311"/>
      <c r="AD933" s="311"/>
      <c r="AE933" s="311"/>
    </row>
    <row r="934" spans="1:31" ht="16" x14ac:dyDescent="0.2">
      <c r="A934" s="311"/>
      <c r="B934" s="311"/>
      <c r="C934" s="311"/>
      <c r="D934" s="311"/>
      <c r="E934" s="311"/>
      <c r="F934" s="311"/>
      <c r="G934" s="311"/>
      <c r="H934" s="311"/>
      <c r="I934" s="311"/>
      <c r="J934" s="311"/>
      <c r="K934" s="311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  <c r="AA934" s="311"/>
      <c r="AB934" s="311"/>
      <c r="AC934" s="311"/>
      <c r="AD934" s="311"/>
      <c r="AE934" s="311"/>
    </row>
    <row r="935" spans="1:31" ht="16" x14ac:dyDescent="0.2">
      <c r="A935" s="311"/>
      <c r="B935" s="311"/>
      <c r="C935" s="311"/>
      <c r="D935" s="311"/>
      <c r="E935" s="311"/>
      <c r="F935" s="311"/>
      <c r="G935" s="311"/>
      <c r="H935" s="311"/>
      <c r="I935" s="311"/>
      <c r="J935" s="311"/>
      <c r="K935" s="311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  <c r="AA935" s="311"/>
      <c r="AB935" s="311"/>
      <c r="AC935" s="311"/>
      <c r="AD935" s="311"/>
      <c r="AE935" s="311"/>
    </row>
    <row r="936" spans="1:31" ht="16" x14ac:dyDescent="0.2">
      <c r="A936" s="311"/>
      <c r="B936" s="311"/>
      <c r="C936" s="311"/>
      <c r="D936" s="311"/>
      <c r="E936" s="311"/>
      <c r="F936" s="311"/>
      <c r="G936" s="311"/>
      <c r="H936" s="311"/>
      <c r="I936" s="311"/>
      <c r="J936" s="311"/>
      <c r="K936" s="311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  <c r="AA936" s="311"/>
      <c r="AB936" s="311"/>
      <c r="AC936" s="311"/>
      <c r="AD936" s="311"/>
      <c r="AE936" s="311"/>
    </row>
    <row r="937" spans="1:31" ht="16" x14ac:dyDescent="0.2">
      <c r="A937" s="311"/>
      <c r="B937" s="311"/>
      <c r="C937" s="311"/>
      <c r="D937" s="311"/>
      <c r="E937" s="311"/>
      <c r="F937" s="311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  <c r="AA937" s="311"/>
      <c r="AB937" s="311"/>
      <c r="AC937" s="311"/>
      <c r="AD937" s="311"/>
      <c r="AE937" s="311"/>
    </row>
    <row r="938" spans="1:31" ht="16" x14ac:dyDescent="0.2">
      <c r="A938" s="311"/>
      <c r="B938" s="311"/>
      <c r="C938" s="311"/>
      <c r="D938" s="311"/>
      <c r="E938" s="311"/>
      <c r="F938" s="311"/>
      <c r="G938" s="311"/>
      <c r="H938" s="311"/>
      <c r="I938" s="311"/>
      <c r="J938" s="311"/>
      <c r="K938" s="311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  <c r="AA938" s="311"/>
      <c r="AB938" s="311"/>
      <c r="AC938" s="311"/>
      <c r="AD938" s="311"/>
      <c r="AE938" s="311"/>
    </row>
    <row r="939" spans="1:31" ht="16" x14ac:dyDescent="0.2">
      <c r="A939" s="311"/>
      <c r="B939" s="311"/>
      <c r="C939" s="311"/>
      <c r="D939" s="311"/>
      <c r="E939" s="311"/>
      <c r="F939" s="311"/>
      <c r="G939" s="311"/>
      <c r="H939" s="311"/>
      <c r="I939" s="311"/>
      <c r="J939" s="311"/>
      <c r="K939" s="311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  <c r="AA939" s="311"/>
      <c r="AB939" s="311"/>
      <c r="AC939" s="311"/>
      <c r="AD939" s="311"/>
      <c r="AE939" s="311"/>
    </row>
    <row r="940" spans="1:31" ht="16" x14ac:dyDescent="0.2">
      <c r="A940" s="311"/>
      <c r="B940" s="311"/>
      <c r="C940" s="311"/>
      <c r="D940" s="311"/>
      <c r="E940" s="311"/>
      <c r="F940" s="311"/>
      <c r="G940" s="311"/>
      <c r="H940" s="311"/>
      <c r="I940" s="311"/>
      <c r="J940" s="311"/>
      <c r="K940" s="311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  <c r="AA940" s="311"/>
      <c r="AB940" s="311"/>
      <c r="AC940" s="311"/>
      <c r="AD940" s="311"/>
      <c r="AE940" s="311"/>
    </row>
    <row r="941" spans="1:31" ht="16" x14ac:dyDescent="0.2">
      <c r="A941" s="311"/>
      <c r="B941" s="311"/>
      <c r="C941" s="311"/>
      <c r="D941" s="311"/>
      <c r="E941" s="311"/>
      <c r="F941" s="311"/>
      <c r="G941" s="311"/>
      <c r="H941" s="311"/>
      <c r="I941" s="311"/>
      <c r="J941" s="311"/>
      <c r="K941" s="311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  <c r="AA941" s="311"/>
      <c r="AB941" s="311"/>
      <c r="AC941" s="311"/>
      <c r="AD941" s="311"/>
      <c r="AE941" s="311"/>
    </row>
    <row r="942" spans="1:31" ht="16" x14ac:dyDescent="0.2">
      <c r="A942" s="311"/>
      <c r="B942" s="311"/>
      <c r="C942" s="311"/>
      <c r="D942" s="311"/>
      <c r="E942" s="311"/>
      <c r="F942" s="311"/>
      <c r="G942" s="311"/>
      <c r="H942" s="311"/>
      <c r="I942" s="311"/>
      <c r="J942" s="311"/>
      <c r="K942" s="311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  <c r="AA942" s="311"/>
      <c r="AB942" s="311"/>
      <c r="AC942" s="311"/>
      <c r="AD942" s="311"/>
      <c r="AE942" s="311"/>
    </row>
    <row r="943" spans="1:31" ht="16" x14ac:dyDescent="0.2">
      <c r="A943" s="311"/>
      <c r="B943" s="311"/>
      <c r="C943" s="311"/>
      <c r="D943" s="311"/>
      <c r="E943" s="311"/>
      <c r="F943" s="311"/>
      <c r="G943" s="311"/>
      <c r="H943" s="311"/>
      <c r="I943" s="311"/>
      <c r="J943" s="311"/>
      <c r="K943" s="311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  <c r="AA943" s="311"/>
      <c r="AB943" s="311"/>
      <c r="AC943" s="311"/>
      <c r="AD943" s="311"/>
      <c r="AE943" s="311"/>
    </row>
    <row r="944" spans="1:31" ht="16" x14ac:dyDescent="0.2">
      <c r="A944" s="311"/>
      <c r="B944" s="311"/>
      <c r="C944" s="311"/>
      <c r="D944" s="311"/>
      <c r="E944" s="311"/>
      <c r="F944" s="311"/>
      <c r="G944" s="311"/>
      <c r="H944" s="311"/>
      <c r="I944" s="311"/>
      <c r="J944" s="311"/>
      <c r="K944" s="311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  <c r="AA944" s="311"/>
      <c r="AB944" s="311"/>
      <c r="AC944" s="311"/>
      <c r="AD944" s="311"/>
      <c r="AE944" s="311"/>
    </row>
    <row r="945" spans="1:31" ht="16" x14ac:dyDescent="0.2">
      <c r="A945" s="311"/>
      <c r="B945" s="311"/>
      <c r="C945" s="311"/>
      <c r="D945" s="311"/>
      <c r="E945" s="311"/>
      <c r="F945" s="311"/>
      <c r="G945" s="311"/>
      <c r="H945" s="311"/>
      <c r="I945" s="311"/>
      <c r="J945" s="311"/>
      <c r="K945" s="311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  <c r="AA945" s="311"/>
      <c r="AB945" s="311"/>
      <c r="AC945" s="311"/>
      <c r="AD945" s="311"/>
      <c r="AE945" s="311"/>
    </row>
    <row r="946" spans="1:31" ht="16" x14ac:dyDescent="0.2">
      <c r="A946" s="311"/>
      <c r="B946" s="311"/>
      <c r="C946" s="311"/>
      <c r="D946" s="311"/>
      <c r="E946" s="311"/>
      <c r="F946" s="311"/>
      <c r="G946" s="311"/>
      <c r="H946" s="311"/>
      <c r="I946" s="311"/>
      <c r="J946" s="311"/>
      <c r="K946" s="311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  <c r="AA946" s="311"/>
      <c r="AB946" s="311"/>
      <c r="AC946" s="311"/>
      <c r="AD946" s="311"/>
      <c r="AE946" s="311"/>
    </row>
    <row r="947" spans="1:31" ht="16" x14ac:dyDescent="0.2">
      <c r="A947" s="311"/>
      <c r="B947" s="311"/>
      <c r="C947" s="311"/>
      <c r="D947" s="311"/>
      <c r="E947" s="311"/>
      <c r="F947" s="311"/>
      <c r="G947" s="311"/>
      <c r="H947" s="311"/>
      <c r="I947" s="311"/>
      <c r="J947" s="311"/>
      <c r="K947" s="311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  <c r="AA947" s="311"/>
      <c r="AB947" s="311"/>
      <c r="AC947" s="311"/>
      <c r="AD947" s="311"/>
      <c r="AE947" s="311"/>
    </row>
    <row r="948" spans="1:31" ht="16" x14ac:dyDescent="0.2">
      <c r="A948" s="311"/>
      <c r="B948" s="311"/>
      <c r="C948" s="311"/>
      <c r="D948" s="311"/>
      <c r="E948" s="311"/>
      <c r="F948" s="311"/>
      <c r="G948" s="311"/>
      <c r="H948" s="311"/>
      <c r="I948" s="311"/>
      <c r="J948" s="311"/>
      <c r="K948" s="311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  <c r="AA948" s="311"/>
      <c r="AB948" s="311"/>
      <c r="AC948" s="311"/>
      <c r="AD948" s="311"/>
      <c r="AE948" s="311"/>
    </row>
    <row r="949" spans="1:31" ht="16" x14ac:dyDescent="0.2">
      <c r="A949" s="311"/>
      <c r="B949" s="311"/>
      <c r="C949" s="311"/>
      <c r="D949" s="311"/>
      <c r="E949" s="311"/>
      <c r="F949" s="311"/>
      <c r="G949" s="311"/>
      <c r="H949" s="311"/>
      <c r="I949" s="311"/>
      <c r="J949" s="311"/>
      <c r="K949" s="311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  <c r="AA949" s="311"/>
      <c r="AB949" s="311"/>
      <c r="AC949" s="311"/>
      <c r="AD949" s="311"/>
      <c r="AE949" s="311"/>
    </row>
    <row r="950" spans="1:31" ht="16" x14ac:dyDescent="0.2">
      <c r="A950" s="311"/>
      <c r="B950" s="311"/>
      <c r="C950" s="311"/>
      <c r="D950" s="311"/>
      <c r="E950" s="311"/>
      <c r="F950" s="311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  <c r="AA950" s="311"/>
      <c r="AB950" s="311"/>
      <c r="AC950" s="311"/>
      <c r="AD950" s="311"/>
      <c r="AE950" s="311"/>
    </row>
    <row r="951" spans="1:31" ht="16" x14ac:dyDescent="0.2">
      <c r="A951" s="311"/>
      <c r="B951" s="311"/>
      <c r="C951" s="311"/>
      <c r="D951" s="311"/>
      <c r="E951" s="311"/>
      <c r="F951" s="311"/>
      <c r="G951" s="311"/>
      <c r="H951" s="311"/>
      <c r="I951" s="311"/>
      <c r="J951" s="311"/>
      <c r="K951" s="311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  <c r="AA951" s="311"/>
      <c r="AB951" s="311"/>
      <c r="AC951" s="311"/>
      <c r="AD951" s="311"/>
      <c r="AE951" s="311"/>
    </row>
    <row r="952" spans="1:31" ht="16" x14ac:dyDescent="0.2">
      <c r="A952" s="311"/>
      <c r="B952" s="311"/>
      <c r="C952" s="311"/>
      <c r="D952" s="311"/>
      <c r="E952" s="311"/>
      <c r="F952" s="311"/>
      <c r="G952" s="311"/>
      <c r="H952" s="311"/>
      <c r="I952" s="311"/>
      <c r="J952" s="311"/>
      <c r="K952" s="311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  <c r="AA952" s="311"/>
      <c r="AB952" s="311"/>
      <c r="AC952" s="311"/>
      <c r="AD952" s="311"/>
      <c r="AE952" s="311"/>
    </row>
    <row r="953" spans="1:31" ht="16" x14ac:dyDescent="0.2">
      <c r="A953" s="311"/>
      <c r="B953" s="311"/>
      <c r="C953" s="311"/>
      <c r="D953" s="311"/>
      <c r="E953" s="311"/>
      <c r="F953" s="311"/>
      <c r="G953" s="311"/>
      <c r="H953" s="311"/>
      <c r="I953" s="311"/>
      <c r="J953" s="311"/>
      <c r="K953" s="311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  <c r="AA953" s="311"/>
      <c r="AB953" s="311"/>
      <c r="AC953" s="311"/>
      <c r="AD953" s="311"/>
      <c r="AE953" s="311"/>
    </row>
    <row r="954" spans="1:31" ht="16" x14ac:dyDescent="0.2">
      <c r="A954" s="311"/>
      <c r="B954" s="311"/>
      <c r="C954" s="311"/>
      <c r="D954" s="311"/>
      <c r="E954" s="311"/>
      <c r="F954" s="311"/>
      <c r="G954" s="311"/>
      <c r="H954" s="311"/>
      <c r="I954" s="311"/>
      <c r="J954" s="311"/>
      <c r="K954" s="311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  <c r="AA954" s="311"/>
      <c r="AB954" s="311"/>
      <c r="AC954" s="311"/>
      <c r="AD954" s="311"/>
      <c r="AE954" s="311"/>
    </row>
    <row r="955" spans="1:31" ht="16" x14ac:dyDescent="0.2">
      <c r="A955" s="311"/>
      <c r="B955" s="311"/>
      <c r="C955" s="311"/>
      <c r="D955" s="311"/>
      <c r="E955" s="311"/>
      <c r="F955" s="311"/>
      <c r="G955" s="311"/>
      <c r="H955" s="311"/>
      <c r="I955" s="311"/>
      <c r="J955" s="311"/>
      <c r="K955" s="311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  <c r="AA955" s="311"/>
      <c r="AB955" s="311"/>
      <c r="AC955" s="311"/>
      <c r="AD955" s="311"/>
      <c r="AE955" s="311"/>
    </row>
    <row r="956" spans="1:31" ht="16" x14ac:dyDescent="0.2">
      <c r="A956" s="311"/>
      <c r="B956" s="311"/>
      <c r="C956" s="311"/>
      <c r="D956" s="311"/>
      <c r="E956" s="311"/>
      <c r="F956" s="311"/>
      <c r="G956" s="311"/>
      <c r="H956" s="311"/>
      <c r="I956" s="311"/>
      <c r="J956" s="311"/>
      <c r="K956" s="311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  <c r="AA956" s="311"/>
      <c r="AB956" s="311"/>
      <c r="AC956" s="311"/>
      <c r="AD956" s="311"/>
      <c r="AE956" s="311"/>
    </row>
    <row r="957" spans="1:31" ht="16" x14ac:dyDescent="0.2">
      <c r="A957" s="311"/>
      <c r="B957" s="311"/>
      <c r="C957" s="311"/>
      <c r="D957" s="311"/>
      <c r="E957" s="311"/>
      <c r="F957" s="311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  <c r="AA957" s="311"/>
      <c r="AB957" s="311"/>
      <c r="AC957" s="311"/>
      <c r="AD957" s="311"/>
      <c r="AE957" s="311"/>
    </row>
    <row r="958" spans="1:31" ht="16" x14ac:dyDescent="0.2">
      <c r="A958" s="311"/>
      <c r="B958" s="311"/>
      <c r="C958" s="311"/>
      <c r="D958" s="311"/>
      <c r="E958" s="311"/>
      <c r="F958" s="311"/>
      <c r="G958" s="311"/>
      <c r="H958" s="311"/>
      <c r="I958" s="311"/>
      <c r="J958" s="311"/>
      <c r="K958" s="311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  <c r="AA958" s="311"/>
      <c r="AB958" s="311"/>
      <c r="AC958" s="311"/>
      <c r="AD958" s="311"/>
      <c r="AE958" s="311"/>
    </row>
    <row r="959" spans="1:31" ht="16" x14ac:dyDescent="0.2">
      <c r="A959" s="311"/>
      <c r="B959" s="311"/>
      <c r="C959" s="311"/>
      <c r="D959" s="311"/>
      <c r="E959" s="311"/>
      <c r="F959" s="311"/>
      <c r="G959" s="311"/>
      <c r="H959" s="311"/>
      <c r="I959" s="311"/>
      <c r="J959" s="311"/>
      <c r="K959" s="311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  <c r="AA959" s="311"/>
      <c r="AB959" s="311"/>
      <c r="AC959" s="311"/>
      <c r="AD959" s="311"/>
      <c r="AE959" s="311"/>
    </row>
    <row r="960" spans="1:31" ht="16" x14ac:dyDescent="0.2">
      <c r="A960" s="311"/>
      <c r="B960" s="311"/>
      <c r="C960" s="311"/>
      <c r="D960" s="311"/>
      <c r="E960" s="311"/>
      <c r="F960" s="311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  <c r="AA960" s="311"/>
      <c r="AB960" s="311"/>
      <c r="AC960" s="311"/>
      <c r="AD960" s="311"/>
      <c r="AE960" s="311"/>
    </row>
    <row r="961" spans="1:31" ht="16" x14ac:dyDescent="0.2">
      <c r="A961" s="311"/>
      <c r="B961" s="311"/>
      <c r="C961" s="311"/>
      <c r="D961" s="311"/>
      <c r="E961" s="311"/>
      <c r="F961" s="311"/>
      <c r="G961" s="311"/>
      <c r="H961" s="311"/>
      <c r="I961" s="311"/>
      <c r="J961" s="311"/>
      <c r="K961" s="311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  <c r="AA961" s="311"/>
      <c r="AB961" s="311"/>
      <c r="AC961" s="311"/>
      <c r="AD961" s="311"/>
      <c r="AE961" s="311"/>
    </row>
    <row r="962" spans="1:31" ht="16" x14ac:dyDescent="0.2">
      <c r="A962" s="311"/>
      <c r="B962" s="311"/>
      <c r="C962" s="311"/>
      <c r="D962" s="311"/>
      <c r="E962" s="311"/>
      <c r="F962" s="311"/>
      <c r="G962" s="311"/>
      <c r="H962" s="311"/>
      <c r="I962" s="311"/>
      <c r="J962" s="311"/>
      <c r="K962" s="311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  <c r="AA962" s="311"/>
      <c r="AB962" s="311"/>
      <c r="AC962" s="311"/>
      <c r="AD962" s="311"/>
      <c r="AE962" s="311"/>
    </row>
    <row r="963" spans="1:31" ht="16" x14ac:dyDescent="0.2">
      <c r="A963" s="311"/>
      <c r="B963" s="311"/>
      <c r="C963" s="311"/>
      <c r="D963" s="311"/>
      <c r="E963" s="311"/>
      <c r="F963" s="311"/>
      <c r="G963" s="311"/>
      <c r="H963" s="311"/>
      <c r="I963" s="311"/>
      <c r="J963" s="311"/>
      <c r="K963" s="311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  <c r="AA963" s="311"/>
      <c r="AB963" s="311"/>
      <c r="AC963" s="311"/>
      <c r="AD963" s="311"/>
      <c r="AE963" s="311"/>
    </row>
    <row r="964" spans="1:31" ht="16" x14ac:dyDescent="0.2">
      <c r="A964" s="311"/>
      <c r="B964" s="311"/>
      <c r="C964" s="311"/>
      <c r="D964" s="311"/>
      <c r="E964" s="311"/>
      <c r="F964" s="311"/>
      <c r="G964" s="311"/>
      <c r="H964" s="311"/>
      <c r="I964" s="311"/>
      <c r="J964" s="311"/>
      <c r="K964" s="311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  <c r="AA964" s="311"/>
      <c r="AB964" s="311"/>
      <c r="AC964" s="311"/>
      <c r="AD964" s="311"/>
      <c r="AE964" s="311"/>
    </row>
    <row r="965" spans="1:31" ht="16" x14ac:dyDescent="0.2">
      <c r="A965" s="311"/>
      <c r="B965" s="311"/>
      <c r="C965" s="311"/>
      <c r="D965" s="311"/>
      <c r="E965" s="311"/>
      <c r="F965" s="311"/>
      <c r="G965" s="311"/>
      <c r="H965" s="311"/>
      <c r="I965" s="311"/>
      <c r="J965" s="311"/>
      <c r="K965" s="311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  <c r="AA965" s="311"/>
      <c r="AB965" s="311"/>
      <c r="AC965" s="311"/>
      <c r="AD965" s="311"/>
      <c r="AE965" s="311"/>
    </row>
    <row r="966" spans="1:31" ht="16" x14ac:dyDescent="0.2">
      <c r="A966" s="311"/>
      <c r="B966" s="311"/>
      <c r="C966" s="311"/>
      <c r="D966" s="311"/>
      <c r="E966" s="311"/>
      <c r="F966" s="311"/>
      <c r="G966" s="311"/>
      <c r="H966" s="311"/>
      <c r="I966" s="311"/>
      <c r="J966" s="311"/>
      <c r="K966" s="311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  <c r="AA966" s="311"/>
      <c r="AB966" s="311"/>
      <c r="AC966" s="311"/>
      <c r="AD966" s="311"/>
      <c r="AE966" s="311"/>
    </row>
    <row r="967" spans="1:31" ht="16" x14ac:dyDescent="0.2">
      <c r="A967" s="311"/>
      <c r="B967" s="311"/>
      <c r="C967" s="311"/>
      <c r="D967" s="311"/>
      <c r="E967" s="311"/>
      <c r="F967" s="311"/>
      <c r="G967" s="311"/>
      <c r="H967" s="311"/>
      <c r="I967" s="311"/>
      <c r="J967" s="311"/>
      <c r="K967" s="311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  <c r="AA967" s="311"/>
      <c r="AB967" s="311"/>
      <c r="AC967" s="311"/>
      <c r="AD967" s="311"/>
      <c r="AE967" s="311"/>
    </row>
    <row r="968" spans="1:31" ht="16" x14ac:dyDescent="0.2">
      <c r="A968" s="311"/>
      <c r="B968" s="311"/>
      <c r="C968" s="311"/>
      <c r="D968" s="311"/>
      <c r="E968" s="311"/>
      <c r="F968" s="311"/>
      <c r="G968" s="311"/>
      <c r="H968" s="311"/>
      <c r="I968" s="311"/>
      <c r="J968" s="311"/>
      <c r="K968" s="311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  <c r="AA968" s="311"/>
      <c r="AB968" s="311"/>
      <c r="AC968" s="311"/>
      <c r="AD968" s="311"/>
      <c r="AE968" s="311"/>
    </row>
    <row r="969" spans="1:31" ht="16" x14ac:dyDescent="0.2">
      <c r="A969" s="311"/>
      <c r="B969" s="311"/>
      <c r="C969" s="311"/>
      <c r="D969" s="311"/>
      <c r="E969" s="311"/>
      <c r="F969" s="311"/>
      <c r="G969" s="311"/>
      <c r="H969" s="311"/>
      <c r="I969" s="311"/>
      <c r="J969" s="311"/>
      <c r="K969" s="311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  <c r="AA969" s="311"/>
      <c r="AB969" s="311"/>
      <c r="AC969" s="311"/>
      <c r="AD969" s="311"/>
      <c r="AE969" s="311"/>
    </row>
    <row r="970" spans="1:31" ht="16" x14ac:dyDescent="0.2">
      <c r="A970" s="311"/>
      <c r="B970" s="311"/>
      <c r="C970" s="311"/>
      <c r="D970" s="311"/>
      <c r="E970" s="311"/>
      <c r="F970" s="311"/>
      <c r="G970" s="311"/>
      <c r="H970" s="311"/>
      <c r="I970" s="311"/>
      <c r="J970" s="311"/>
      <c r="K970" s="311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  <c r="AA970" s="311"/>
      <c r="AB970" s="311"/>
      <c r="AC970" s="311"/>
      <c r="AD970" s="311"/>
      <c r="AE970" s="311"/>
    </row>
    <row r="971" spans="1:31" ht="16" x14ac:dyDescent="0.2">
      <c r="A971" s="311"/>
      <c r="B971" s="311"/>
      <c r="C971" s="311"/>
      <c r="D971" s="311"/>
      <c r="E971" s="311"/>
      <c r="F971" s="311"/>
      <c r="G971" s="311"/>
      <c r="H971" s="311"/>
      <c r="I971" s="311"/>
      <c r="J971" s="311"/>
      <c r="K971" s="311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  <c r="AA971" s="311"/>
      <c r="AB971" s="311"/>
      <c r="AC971" s="311"/>
      <c r="AD971" s="311"/>
      <c r="AE971" s="311"/>
    </row>
    <row r="972" spans="1:31" ht="16" x14ac:dyDescent="0.2">
      <c r="A972" s="311"/>
      <c r="B972" s="311"/>
      <c r="C972" s="311"/>
      <c r="D972" s="311"/>
      <c r="E972" s="311"/>
      <c r="F972" s="311"/>
      <c r="G972" s="311"/>
      <c r="H972" s="311"/>
      <c r="I972" s="311"/>
      <c r="J972" s="311"/>
      <c r="K972" s="311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  <c r="AA972" s="311"/>
      <c r="AB972" s="311"/>
      <c r="AC972" s="311"/>
      <c r="AD972" s="311"/>
      <c r="AE972" s="311"/>
    </row>
    <row r="973" spans="1:31" ht="16" x14ac:dyDescent="0.2">
      <c r="A973" s="311"/>
      <c r="B973" s="311"/>
      <c r="C973" s="311"/>
      <c r="D973" s="311"/>
      <c r="E973" s="311"/>
      <c r="F973" s="311"/>
      <c r="G973" s="311"/>
      <c r="H973" s="311"/>
      <c r="I973" s="311"/>
      <c r="J973" s="311"/>
      <c r="K973" s="311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  <c r="AA973" s="311"/>
      <c r="AB973" s="311"/>
      <c r="AC973" s="311"/>
      <c r="AD973" s="311"/>
      <c r="AE973" s="311"/>
    </row>
    <row r="974" spans="1:31" ht="16" x14ac:dyDescent="0.2">
      <c r="A974" s="311"/>
      <c r="B974" s="311"/>
      <c r="C974" s="311"/>
      <c r="D974" s="311"/>
      <c r="E974" s="311"/>
      <c r="F974" s="311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</row>
    <row r="975" spans="1:31" ht="16" x14ac:dyDescent="0.2">
      <c r="A975" s="311"/>
      <c r="B975" s="311"/>
      <c r="C975" s="311"/>
      <c r="D975" s="311"/>
      <c r="E975" s="311"/>
      <c r="F975" s="311"/>
      <c r="G975" s="311"/>
      <c r="H975" s="311"/>
      <c r="I975" s="311"/>
      <c r="J975" s="311"/>
      <c r="K975" s="311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  <c r="AA975" s="311"/>
      <c r="AB975" s="311"/>
      <c r="AC975" s="311"/>
      <c r="AD975" s="311"/>
      <c r="AE975" s="311"/>
    </row>
    <row r="976" spans="1:31" ht="16" x14ac:dyDescent="0.2">
      <c r="A976" s="311"/>
      <c r="B976" s="311"/>
      <c r="C976" s="311"/>
      <c r="D976" s="311"/>
      <c r="E976" s="311"/>
      <c r="F976" s="311"/>
      <c r="G976" s="311"/>
      <c r="H976" s="311"/>
      <c r="I976" s="311"/>
      <c r="J976" s="311"/>
      <c r="K976" s="311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  <c r="AA976" s="311"/>
      <c r="AB976" s="311"/>
      <c r="AC976" s="311"/>
      <c r="AD976" s="311"/>
      <c r="AE976" s="311"/>
    </row>
    <row r="977" spans="1:31" ht="16" x14ac:dyDescent="0.2">
      <c r="A977" s="311"/>
      <c r="B977" s="311"/>
      <c r="C977" s="311"/>
      <c r="D977" s="311"/>
      <c r="E977" s="311"/>
      <c r="F977" s="311"/>
      <c r="G977" s="311"/>
      <c r="H977" s="311"/>
      <c r="I977" s="311"/>
      <c r="J977" s="311"/>
      <c r="K977" s="311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  <c r="AA977" s="311"/>
      <c r="AB977" s="311"/>
      <c r="AC977" s="311"/>
      <c r="AD977" s="311"/>
      <c r="AE977" s="311"/>
    </row>
    <row r="978" spans="1:31" ht="16" x14ac:dyDescent="0.2">
      <c r="A978" s="311"/>
      <c r="B978" s="311"/>
      <c r="C978" s="311"/>
      <c r="D978" s="311"/>
      <c r="E978" s="311"/>
      <c r="F978" s="311"/>
      <c r="G978" s="311"/>
      <c r="H978" s="311"/>
      <c r="I978" s="311"/>
      <c r="J978" s="311"/>
      <c r="K978" s="311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  <c r="AA978" s="311"/>
      <c r="AB978" s="311"/>
      <c r="AC978" s="311"/>
      <c r="AD978" s="311"/>
      <c r="AE978" s="311"/>
    </row>
    <row r="979" spans="1:31" ht="16" x14ac:dyDescent="0.2">
      <c r="A979" s="311"/>
      <c r="B979" s="311"/>
      <c r="C979" s="311"/>
      <c r="D979" s="311"/>
      <c r="E979" s="311"/>
      <c r="F979" s="311"/>
      <c r="G979" s="311"/>
      <c r="H979" s="311"/>
      <c r="I979" s="311"/>
      <c r="J979" s="311"/>
      <c r="K979" s="311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  <c r="AA979" s="311"/>
      <c r="AB979" s="311"/>
      <c r="AC979" s="311"/>
      <c r="AD979" s="311"/>
      <c r="AE979" s="311"/>
    </row>
    <row r="980" spans="1:31" ht="16" x14ac:dyDescent="0.2">
      <c r="A980" s="311"/>
      <c r="B980" s="311"/>
      <c r="C980" s="311"/>
      <c r="D980" s="311"/>
      <c r="E980" s="311"/>
      <c r="F980" s="311"/>
      <c r="G980" s="311"/>
      <c r="H980" s="311"/>
      <c r="I980" s="311"/>
      <c r="J980" s="311"/>
      <c r="K980" s="311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  <c r="AA980" s="311"/>
      <c r="AB980" s="311"/>
      <c r="AC980" s="311"/>
      <c r="AD980" s="311"/>
      <c r="AE980" s="311"/>
    </row>
    <row r="981" spans="1:31" ht="16" x14ac:dyDescent="0.2">
      <c r="A981" s="311"/>
      <c r="B981" s="311"/>
      <c r="C981" s="311"/>
      <c r="D981" s="311"/>
      <c r="E981" s="311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</row>
    <row r="982" spans="1:31" ht="16" x14ac:dyDescent="0.2">
      <c r="A982" s="311"/>
      <c r="B982" s="311"/>
      <c r="C982" s="311"/>
      <c r="D982" s="311"/>
      <c r="E982" s="311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  <c r="AA982" s="311"/>
      <c r="AB982" s="311"/>
      <c r="AC982" s="311"/>
      <c r="AD982" s="311"/>
      <c r="AE982" s="311"/>
    </row>
    <row r="983" spans="1:31" ht="16" x14ac:dyDescent="0.2">
      <c r="A983" s="311"/>
      <c r="B983" s="311"/>
      <c r="C983" s="311"/>
      <c r="D983" s="311"/>
      <c r="E983" s="311"/>
      <c r="F983" s="311"/>
      <c r="G983" s="311"/>
      <c r="H983" s="311"/>
      <c r="I983" s="311"/>
      <c r="J983" s="311"/>
      <c r="K983" s="311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  <c r="AA983" s="311"/>
      <c r="AB983" s="311"/>
      <c r="AC983" s="311"/>
      <c r="AD983" s="311"/>
      <c r="AE983" s="311"/>
    </row>
    <row r="984" spans="1:31" ht="16" x14ac:dyDescent="0.2">
      <c r="A984" s="311"/>
      <c r="B984" s="311"/>
      <c r="C984" s="311"/>
      <c r="D984" s="311"/>
      <c r="E984" s="311"/>
      <c r="F984" s="311"/>
      <c r="G984" s="311"/>
      <c r="H984" s="311"/>
      <c r="I984" s="311"/>
      <c r="J984" s="311"/>
      <c r="K984" s="311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  <c r="AA984" s="311"/>
      <c r="AB984" s="311"/>
      <c r="AC984" s="311"/>
      <c r="AD984" s="311"/>
      <c r="AE984" s="311"/>
    </row>
    <row r="985" spans="1:31" ht="16" x14ac:dyDescent="0.2">
      <c r="A985" s="311"/>
      <c r="B985" s="311"/>
      <c r="C985" s="311"/>
      <c r="D985" s="311"/>
      <c r="E985" s="311"/>
      <c r="F985" s="311"/>
      <c r="G985" s="311"/>
      <c r="H985" s="311"/>
      <c r="I985" s="311"/>
      <c r="J985" s="311"/>
      <c r="K985" s="311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  <c r="AA985" s="311"/>
      <c r="AB985" s="311"/>
      <c r="AC985" s="311"/>
      <c r="AD985" s="311"/>
      <c r="AE985" s="311"/>
    </row>
    <row r="986" spans="1:31" ht="16" x14ac:dyDescent="0.2">
      <c r="A986" s="311"/>
      <c r="B986" s="311"/>
      <c r="C986" s="311"/>
      <c r="D986" s="311"/>
      <c r="E986" s="311"/>
      <c r="F986" s="311"/>
      <c r="G986" s="311"/>
      <c r="H986" s="311"/>
      <c r="I986" s="311"/>
      <c r="J986" s="311"/>
      <c r="K986" s="311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  <c r="AA986" s="311"/>
      <c r="AB986" s="311"/>
      <c r="AC986" s="311"/>
      <c r="AD986" s="311"/>
      <c r="AE986" s="311"/>
    </row>
    <row r="987" spans="1:31" ht="16" x14ac:dyDescent="0.2">
      <c r="A987" s="311"/>
      <c r="B987" s="311"/>
      <c r="C987" s="311"/>
      <c r="D987" s="311"/>
      <c r="E987" s="311"/>
      <c r="F987" s="311"/>
      <c r="G987" s="311"/>
      <c r="H987" s="311"/>
      <c r="I987" s="311"/>
      <c r="J987" s="311"/>
      <c r="K987" s="311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  <c r="AA987" s="311"/>
      <c r="AB987" s="311"/>
      <c r="AC987" s="311"/>
      <c r="AD987" s="311"/>
      <c r="AE987" s="311"/>
    </row>
    <row r="988" spans="1:31" ht="16" x14ac:dyDescent="0.2">
      <c r="A988" s="311"/>
      <c r="B988" s="311"/>
      <c r="C988" s="311"/>
      <c r="D988" s="311"/>
      <c r="E988" s="311"/>
      <c r="F988" s="311"/>
      <c r="G988" s="311"/>
      <c r="H988" s="311"/>
      <c r="I988" s="311"/>
      <c r="J988" s="311"/>
      <c r="K988" s="311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  <c r="AA988" s="311"/>
      <c r="AB988" s="311"/>
      <c r="AC988" s="311"/>
      <c r="AD988" s="311"/>
      <c r="AE988" s="311"/>
    </row>
    <row r="989" spans="1:31" ht="16" x14ac:dyDescent="0.2">
      <c r="A989" s="311"/>
      <c r="B989" s="311"/>
      <c r="C989" s="311"/>
      <c r="D989" s="311"/>
      <c r="E989" s="311"/>
      <c r="F989" s="311"/>
      <c r="G989" s="311"/>
      <c r="H989" s="311"/>
      <c r="I989" s="311"/>
      <c r="J989" s="311"/>
      <c r="K989" s="311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  <c r="AA989" s="311"/>
      <c r="AB989" s="311"/>
      <c r="AC989" s="311"/>
      <c r="AD989" s="311"/>
      <c r="AE989" s="311"/>
    </row>
    <row r="990" spans="1:31" ht="16" x14ac:dyDescent="0.2">
      <c r="A990" s="311"/>
      <c r="B990" s="311"/>
      <c r="C990" s="311"/>
      <c r="D990" s="311"/>
      <c r="E990" s="311"/>
      <c r="F990" s="311"/>
      <c r="G990" s="311"/>
      <c r="H990" s="311"/>
      <c r="I990" s="311"/>
      <c r="J990" s="311"/>
      <c r="K990" s="311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  <c r="AA990" s="311"/>
      <c r="AB990" s="311"/>
      <c r="AC990" s="311"/>
      <c r="AD990" s="311"/>
      <c r="AE990" s="311"/>
    </row>
    <row r="991" spans="1:31" ht="16" x14ac:dyDescent="0.2">
      <c r="A991" s="311"/>
      <c r="B991" s="311"/>
      <c r="C991" s="311"/>
      <c r="D991" s="311"/>
      <c r="E991" s="311"/>
      <c r="F991" s="311"/>
      <c r="G991" s="311"/>
      <c r="H991" s="311"/>
      <c r="I991" s="311"/>
      <c r="J991" s="311"/>
      <c r="K991" s="311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  <c r="AA991" s="311"/>
      <c r="AB991" s="311"/>
      <c r="AC991" s="311"/>
      <c r="AD991" s="311"/>
      <c r="AE991" s="311"/>
    </row>
    <row r="992" spans="1:31" ht="16" x14ac:dyDescent="0.2">
      <c r="A992" s="311"/>
      <c r="B992" s="311"/>
      <c r="C992" s="311"/>
      <c r="D992" s="311"/>
      <c r="E992" s="311"/>
      <c r="F992" s="311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</row>
    <row r="993" spans="1:31" ht="16" x14ac:dyDescent="0.2">
      <c r="A993" s="311"/>
      <c r="B993" s="311"/>
      <c r="C993" s="311"/>
      <c r="D993" s="311"/>
      <c r="E993" s="311"/>
      <c r="F993" s="311"/>
      <c r="G993" s="311"/>
      <c r="H993" s="311"/>
      <c r="I993" s="311"/>
      <c r="J993" s="311"/>
      <c r="K993" s="311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  <c r="AA993" s="311"/>
      <c r="AB993" s="311"/>
      <c r="AC993" s="311"/>
      <c r="AD993" s="311"/>
      <c r="AE993" s="311"/>
    </row>
    <row r="994" spans="1:31" ht="16" x14ac:dyDescent="0.2">
      <c r="A994" s="311"/>
      <c r="B994" s="311"/>
      <c r="C994" s="311"/>
      <c r="D994" s="311"/>
      <c r="E994" s="311"/>
      <c r="F994" s="311"/>
      <c r="G994" s="311"/>
      <c r="H994" s="311"/>
      <c r="I994" s="311"/>
      <c r="J994" s="311"/>
      <c r="K994" s="311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  <c r="AA994" s="311"/>
      <c r="AB994" s="311"/>
      <c r="AC994" s="311"/>
      <c r="AD994" s="311"/>
      <c r="AE994" s="311"/>
    </row>
    <row r="995" spans="1:31" ht="16" x14ac:dyDescent="0.2">
      <c r="A995" s="311"/>
      <c r="B995" s="311"/>
      <c r="C995" s="311"/>
      <c r="D995" s="311"/>
      <c r="E995" s="311"/>
      <c r="F995" s="311"/>
      <c r="G995" s="311"/>
      <c r="H995" s="311"/>
      <c r="I995" s="311"/>
      <c r="J995" s="311"/>
      <c r="K995" s="311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  <c r="AA995" s="311"/>
      <c r="AB995" s="311"/>
      <c r="AC995" s="311"/>
      <c r="AD995" s="311"/>
      <c r="AE995" s="311"/>
    </row>
    <row r="996" spans="1:31" ht="16" x14ac:dyDescent="0.2">
      <c r="A996" s="311"/>
      <c r="B996" s="311"/>
      <c r="C996" s="311"/>
      <c r="D996" s="311"/>
      <c r="E996" s="311"/>
      <c r="F996" s="311"/>
      <c r="G996" s="311"/>
      <c r="H996" s="311"/>
      <c r="I996" s="311"/>
      <c r="J996" s="311"/>
      <c r="K996" s="311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  <c r="AA996" s="311"/>
      <c r="AB996" s="311"/>
      <c r="AC996" s="311"/>
      <c r="AD996" s="311"/>
      <c r="AE996" s="311"/>
    </row>
    <row r="997" spans="1:31" ht="16" x14ac:dyDescent="0.2">
      <c r="A997" s="311"/>
      <c r="B997" s="311"/>
      <c r="C997" s="311"/>
      <c r="D997" s="311"/>
      <c r="E997" s="311"/>
      <c r="F997" s="311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</row>
    <row r="998" spans="1:31" ht="16" x14ac:dyDescent="0.2">
      <c r="A998" s="311"/>
      <c r="B998" s="311"/>
      <c r="C998" s="311"/>
      <c r="D998" s="311"/>
      <c r="E998" s="311"/>
      <c r="F998" s="311"/>
      <c r="G998" s="311"/>
      <c r="H998" s="311"/>
      <c r="I998" s="311"/>
      <c r="J998" s="311"/>
      <c r="K998" s="311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  <c r="AA998" s="311"/>
      <c r="AB998" s="311"/>
      <c r="AC998" s="311"/>
      <c r="AD998" s="311"/>
      <c r="AE998" s="311"/>
    </row>
    <row r="999" spans="1:31" ht="16" x14ac:dyDescent="0.2">
      <c r="A999" s="311"/>
      <c r="B999" s="311"/>
      <c r="C999" s="311"/>
      <c r="D999" s="311"/>
      <c r="E999" s="311"/>
      <c r="F999" s="311"/>
      <c r="G999" s="311"/>
      <c r="H999" s="311"/>
      <c r="I999" s="311"/>
      <c r="J999" s="311"/>
      <c r="K999" s="311"/>
      <c r="L999" s="311"/>
      <c r="M999" s="311"/>
      <c r="N999" s="311"/>
      <c r="O999" s="311"/>
      <c r="P999" s="311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  <c r="AA999" s="311"/>
      <c r="AB999" s="311"/>
      <c r="AC999" s="311"/>
      <c r="AD999" s="311"/>
      <c r="AE999" s="311"/>
    </row>
  </sheetData>
  <mergeCells count="3">
    <mergeCell ref="A1:R1"/>
    <mergeCell ref="A2:R2"/>
    <mergeCell ref="A3:R3"/>
  </mergeCells>
  <hyperlinks>
    <hyperlink ref="C7" r:id="rId1" xr:uid="{00000000-0004-0000-0700-000001000000}"/>
    <hyperlink ref="C8" r:id="rId2" xr:uid="{00000000-0004-0000-0700-000003000000}"/>
    <hyperlink ref="C9" r:id="rId3" xr:uid="{00000000-0004-0000-0700-000004000000}"/>
    <hyperlink ref="D37" r:id="rId4" xr:uid="{00000000-0004-0000-0700-000005000000}"/>
    <hyperlink ref="E37" r:id="rId5" xr:uid="{00000000-0004-0000-0700-000006000000}"/>
    <hyperlink ref="F37" r:id="rId6" xr:uid="{00000000-0004-0000-0700-000007000000}"/>
    <hyperlink ref="G37" r:id="rId7" xr:uid="{00000000-0004-0000-0700-000008000000}"/>
    <hyperlink ref="D38" r:id="rId8" xr:uid="{00000000-0004-0000-0700-000009000000}"/>
    <hyperlink ref="E38" r:id="rId9" xr:uid="{00000000-0004-0000-0700-00000A000000}"/>
    <hyperlink ref="F38" r:id="rId10" xr:uid="{00000000-0004-0000-0700-00000B000000}"/>
    <hyperlink ref="G38" r:id="rId11" xr:uid="{00000000-0004-0000-0700-00000C000000}"/>
    <hyperlink ref="D39" r:id="rId12" xr:uid="{00000000-0004-0000-0700-00000D000000}"/>
    <hyperlink ref="E39" r:id="rId13" xr:uid="{00000000-0004-0000-0700-00000E000000}"/>
    <hyperlink ref="F39" r:id="rId14" xr:uid="{00000000-0004-0000-0700-00000F000000}"/>
    <hyperlink ref="G39" r:id="rId15" xr:uid="{00000000-0004-0000-0700-000010000000}"/>
    <hyperlink ref="D40" r:id="rId16" xr:uid="{00000000-0004-0000-0700-000011000000}"/>
    <hyperlink ref="E40" r:id="rId17" xr:uid="{00000000-0004-0000-0700-000012000000}"/>
    <hyperlink ref="F40" r:id="rId18" xr:uid="{00000000-0004-0000-0700-000013000000}"/>
    <hyperlink ref="G40" r:id="rId19" xr:uid="{00000000-0004-0000-0700-000014000000}"/>
    <hyperlink ref="C10" r:id="rId20" xr:uid="{9493710F-C76B-46A1-B6B9-980EAD1A1ED7}"/>
    <hyperlink ref="C4" r:id="rId21" xr:uid="{F08A15DB-17E7-4BA4-8E8D-02D54023920D}"/>
  </hyperlinks>
  <pageMargins left="0.7" right="0.7" top="0.75" bottom="0.75" header="0.3" footer="0.3"/>
  <pageSetup orientation="portrait" horizontalDpi="0" verticalDpi="0"/>
  <drawing r:id="rId2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E1003"/>
  <sheetViews>
    <sheetView topLeftCell="A14" workbookViewId="0">
      <selection activeCell="E31" sqref="E31"/>
    </sheetView>
  </sheetViews>
  <sheetFormatPr baseColWidth="10" defaultColWidth="14.5" defaultRowHeight="15.75" customHeight="1" x14ac:dyDescent="0.15"/>
  <cols>
    <col min="1" max="1" width="31.5" customWidth="1"/>
    <col min="2" max="2" width="33.83203125" bestFit="1" customWidth="1"/>
    <col min="3" max="3" width="24.5" customWidth="1"/>
    <col min="4" max="6" width="15.5" bestFit="1" customWidth="1"/>
    <col min="7" max="7" width="19" customWidth="1"/>
    <col min="8" max="8" width="17.5" customWidth="1"/>
    <col min="9" max="9" width="18.1640625" bestFit="1" customWidth="1"/>
    <col min="10" max="14" width="17.5" bestFit="1" customWidth="1"/>
    <col min="15" max="15" width="22.5" bestFit="1" customWidth="1"/>
    <col min="16" max="16" width="17.5" bestFit="1" customWidth="1"/>
    <col min="17" max="17" width="19.83203125" bestFit="1" customWidth="1"/>
    <col min="18" max="18" width="18.33203125" bestFit="1" customWidth="1"/>
  </cols>
  <sheetData>
    <row r="1" spans="1:31" s="310" customFormat="1" ht="15.75" customHeight="1" x14ac:dyDescent="0.15">
      <c r="A1" s="583" t="s">
        <v>0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  <c r="R1" s="583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</row>
    <row r="2" spans="1:31" s="310" customFormat="1" ht="15.75" customHeight="1" x14ac:dyDescent="0.15">
      <c r="A2" s="583" t="s">
        <v>340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</row>
    <row r="3" spans="1:31" s="310" customFormat="1" ht="15.75" customHeight="1" x14ac:dyDescent="0.15">
      <c r="A3" s="584" t="s">
        <v>132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4"/>
      <c r="M3" s="584"/>
      <c r="N3" s="584"/>
      <c r="O3" s="584"/>
      <c r="P3" s="584"/>
      <c r="Q3" s="584"/>
      <c r="R3" s="584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</row>
    <row r="4" spans="1:31" ht="15.75" customHeight="1" x14ac:dyDescent="0.2">
      <c r="A4" s="302"/>
      <c r="B4" s="581" t="s">
        <v>4</v>
      </c>
      <c r="C4" s="581"/>
      <c r="D4" s="581"/>
      <c r="E4" s="581"/>
      <c r="F4" s="581"/>
      <c r="G4" s="581"/>
      <c r="H4" s="580" t="s">
        <v>5</v>
      </c>
      <c r="I4" s="580"/>
      <c r="J4" s="580"/>
      <c r="K4" s="580"/>
      <c r="L4" s="580"/>
      <c r="M4" s="580"/>
      <c r="N4" s="580"/>
      <c r="O4" s="580"/>
      <c r="P4" s="580"/>
      <c r="Q4" s="580"/>
    </row>
    <row r="5" spans="1:31" ht="16" customHeight="1" x14ac:dyDescent="0.2">
      <c r="A5" s="306" t="s">
        <v>54</v>
      </c>
      <c r="B5" s="303">
        <v>2020</v>
      </c>
      <c r="C5" s="303">
        <v>2021</v>
      </c>
      <c r="D5" s="303">
        <v>2022</v>
      </c>
      <c r="E5" s="304">
        <v>2023</v>
      </c>
      <c r="F5" s="303">
        <v>2024</v>
      </c>
      <c r="G5" s="305">
        <v>2025</v>
      </c>
      <c r="H5" s="303">
        <v>2026</v>
      </c>
      <c r="I5" s="303">
        <v>2027</v>
      </c>
      <c r="J5" s="303">
        <v>2028</v>
      </c>
      <c r="K5" s="303">
        <v>2029</v>
      </c>
      <c r="L5" s="303">
        <v>2030</v>
      </c>
      <c r="M5" s="303">
        <v>2031</v>
      </c>
      <c r="N5" s="303">
        <v>2032</v>
      </c>
      <c r="O5" s="303">
        <v>2033</v>
      </c>
      <c r="P5" s="303">
        <v>2034</v>
      </c>
      <c r="Q5" s="303">
        <v>2035</v>
      </c>
      <c r="S5" s="31"/>
      <c r="T5" s="31"/>
      <c r="U5" s="76"/>
      <c r="V5" s="76"/>
      <c r="W5" s="76"/>
      <c r="X5" s="76"/>
      <c r="Y5" s="76"/>
      <c r="Z5" s="76"/>
      <c r="AA5" s="76"/>
      <c r="AB5" s="76"/>
      <c r="AC5" s="76"/>
    </row>
    <row r="6" spans="1:31" ht="16" customHeight="1" x14ac:dyDescent="0.2">
      <c r="A6" s="76" t="s">
        <v>244</v>
      </c>
      <c r="B6" s="364">
        <f>'Free Cash Flow'!C8</f>
        <v>219787.75</v>
      </c>
      <c r="C6" s="364">
        <f>'Free Cash Flow'!D8</f>
        <v>327733.25</v>
      </c>
      <c r="D6" s="364">
        <f>'Free Cash Flow'!E8</f>
        <v>367059.55000000005</v>
      </c>
      <c r="E6" s="364">
        <f>'Free Cash Flow'!F8</f>
        <v>424288.15</v>
      </c>
      <c r="F6" s="364">
        <f>'Free Cash Flow'!G8</f>
        <v>602884.10000000009</v>
      </c>
      <c r="G6" s="364">
        <f>'Free Cash Flow'!H8</f>
        <v>766409.8</v>
      </c>
      <c r="H6" s="364">
        <f>'Free Cash Flow'!I8</f>
        <v>748265.28556080745</v>
      </c>
      <c r="I6" s="364">
        <f>'Free Cash Flow'!J8</f>
        <v>887054.5888006289</v>
      </c>
      <c r="J6" s="364">
        <f>'Free Cash Flow'!K8</f>
        <v>1051586.7282584351</v>
      </c>
      <c r="K6" s="364">
        <f>'Free Cash Flow'!L8</f>
        <v>1246636.5215972322</v>
      </c>
      <c r="L6" s="364">
        <f>'Free Cash Flow'!M8</f>
        <v>1477864.4264119272</v>
      </c>
      <c r="M6" s="364">
        <f>'Free Cash Flow'!N8</f>
        <v>1751980.8099762187</v>
      </c>
      <c r="N6" s="364">
        <f>'Free Cash Flow'!O8</f>
        <v>2076940.6879744323</v>
      </c>
      <c r="O6" s="364">
        <f>'Free Cash Flow'!P8</f>
        <v>2462174.583648697</v>
      </c>
      <c r="P6" s="364">
        <f>'Free Cash Flow'!Q8</f>
        <v>2918862.2070271987</v>
      </c>
      <c r="Q6" s="364">
        <f>'Free Cash Flow'!R8</f>
        <v>3460256.8965626555</v>
      </c>
      <c r="S6" s="86"/>
      <c r="T6" s="76"/>
      <c r="V6" s="12"/>
      <c r="W6" s="12"/>
      <c r="X6" s="12"/>
      <c r="Y6" s="12"/>
      <c r="Z6" s="12"/>
      <c r="AA6" s="12"/>
      <c r="AB6" s="12"/>
      <c r="AC6" s="76"/>
    </row>
    <row r="7" spans="1:31" ht="16" customHeight="1" x14ac:dyDescent="0.2">
      <c r="A7" s="76" t="s">
        <v>245</v>
      </c>
      <c r="B7" s="364">
        <f>'Balance Sheet'!D15</f>
        <v>235939</v>
      </c>
      <c r="C7" s="364">
        <f>'Balance Sheet'!E15</f>
        <v>266905</v>
      </c>
      <c r="D7" s="364">
        <f>'Balance Sheet'!F15</f>
        <v>282571</v>
      </c>
      <c r="E7" s="364">
        <f>'Balance Sheet'!G15</f>
        <v>317508</v>
      </c>
      <c r="F7" s="364">
        <f>'Balance Sheet'!H15</f>
        <v>349138</v>
      </c>
      <c r="G7" s="364">
        <f>'Balance Sheet'!I15</f>
        <v>402964</v>
      </c>
      <c r="H7" s="364">
        <f>'Balance Sheet'!J15</f>
        <v>547069.97732597589</v>
      </c>
      <c r="I7" s="364">
        <f>'Balance Sheet'!K15</f>
        <v>648541.29029700498</v>
      </c>
      <c r="J7" s="364">
        <f>'Balance Sheet'!L15</f>
        <v>768833.64588198357</v>
      </c>
      <c r="K7" s="364">
        <f>'Balance Sheet'!M15</f>
        <v>911437.99767857767</v>
      </c>
      <c r="L7" s="364">
        <f>'Balance Sheet'!N15</f>
        <v>1080492.806294082</v>
      </c>
      <c r="M7" s="364">
        <f>'Balance Sheet'!O15</f>
        <v>1280904.1398611644</v>
      </c>
      <c r="N7" s="364">
        <f>'Balance Sheet'!P15</f>
        <v>1518488.050967097</v>
      </c>
      <c r="O7" s="364">
        <f>'Balance Sheet'!Q15</f>
        <v>1800139.361857146</v>
      </c>
      <c r="P7" s="364">
        <f>'Balance Sheet'!R15</f>
        <v>2134031.7561561558</v>
      </c>
      <c r="Q7" s="364">
        <f>'Balance Sheet'!S15</f>
        <v>2529854.9838855909</v>
      </c>
      <c r="AC7" s="76"/>
    </row>
    <row r="8" spans="1:31" ht="16" customHeight="1" x14ac:dyDescent="0.2">
      <c r="A8" s="76" t="s">
        <v>246</v>
      </c>
      <c r="B8" s="365">
        <f>'Free Cash Flow'!C10</f>
        <v>289266</v>
      </c>
      <c r="C8" s="365">
        <f>'Free Cash Flow'!D10</f>
        <v>289266</v>
      </c>
      <c r="D8" s="365">
        <f>'Free Cash Flow'!E10</f>
        <v>28013</v>
      </c>
      <c r="E8" s="365">
        <f>'Free Cash Flow'!F10</f>
        <v>202429</v>
      </c>
      <c r="F8" s="365">
        <f>'Free Cash Flow'!G10</f>
        <v>310617</v>
      </c>
      <c r="G8" s="365">
        <f>'Free Cash Flow'!H10</f>
        <v>367044</v>
      </c>
      <c r="H8" s="365">
        <f>'Free Cash Flow'!I10</f>
        <v>705072.8189905975</v>
      </c>
      <c r="I8" s="365">
        <f>'Free Cash Flow'!J10</f>
        <v>518533.10587487882</v>
      </c>
      <c r="J8" s="365">
        <f>'Free Cash Flow'!K10</f>
        <v>614711.35957699874</v>
      </c>
      <c r="K8" s="365">
        <f>'Free Cash Flow'!L10</f>
        <v>728728.89177529234</v>
      </c>
      <c r="L8" s="365">
        <f>'Free Cash Flow'!M10</f>
        <v>863894.55707061198</v>
      </c>
      <c r="M8" s="365">
        <f>'Free Cash Flow'!N10</f>
        <v>1024130.9410940195</v>
      </c>
      <c r="N8" s="365">
        <f>'Free Cash Flow'!O10</f>
        <v>1214088.1962060919</v>
      </c>
      <c r="O8" s="365">
        <f>'Free Cash Flow'!P10</f>
        <v>1439278.9916027319</v>
      </c>
      <c r="P8" s="365">
        <f>'Free Cash Flow'!Q10</f>
        <v>1706238.4941574261</v>
      </c>
      <c r="Q8" s="365">
        <f>'Free Cash Flow'!R10</f>
        <v>2022714.0227362923</v>
      </c>
      <c r="AC8" s="76"/>
    </row>
    <row r="9" spans="1:31" ht="16" customHeight="1" x14ac:dyDescent="0.2">
      <c r="A9" s="76" t="s">
        <v>247</v>
      </c>
      <c r="B9" s="365">
        <f>'Free Cash Flow'!C11</f>
        <v>233112</v>
      </c>
      <c r="C9" s="365">
        <f>'Free Cash Flow'!D11</f>
        <v>264078</v>
      </c>
      <c r="D9" s="365">
        <f>'Free Cash Flow'!E11</f>
        <v>298810</v>
      </c>
      <c r="E9" s="365">
        <f>'Free Cash Flow'!F11</f>
        <v>361738</v>
      </c>
      <c r="F9" s="365">
        <f>'Free Cash Flow'!G11</f>
        <v>384581</v>
      </c>
      <c r="G9" s="365">
        <f>'Free Cash Flow'!H11</f>
        <v>426441</v>
      </c>
      <c r="H9" s="365">
        <f>'Free Cash Flow'!I11</f>
        <v>673131.71970970265</v>
      </c>
      <c r="I9" s="365">
        <f>'Free Cash Flow'!J11</f>
        <v>732315.96345885901</v>
      </c>
      <c r="J9" s="365">
        <f>'Free Cash Flow'!K11</f>
        <v>868146.9638822967</v>
      </c>
      <c r="K9" s="365">
        <f>'Free Cash Flow'!L11</f>
        <v>1029172.0903341892</v>
      </c>
      <c r="L9" s="365">
        <f>'Free Cash Flow'!M11</f>
        <v>1220064.3849356943</v>
      </c>
      <c r="M9" s="365">
        <f>'Free Cash Flow'!N11</f>
        <v>1446363.6522684509</v>
      </c>
      <c r="N9" s="365">
        <f>'Free Cash Flow'!O11</f>
        <v>1714637.2277013834</v>
      </c>
      <c r="O9" s="365">
        <f>'Free Cash Flow'!P11</f>
        <v>2032670.5652540924</v>
      </c>
      <c r="P9" s="365">
        <f>'Free Cash Flow'!Q11</f>
        <v>2409693.1759666456</v>
      </c>
      <c r="Q9" s="365">
        <f>'Free Cash Flow'!R11</f>
        <v>2856646.4736376838</v>
      </c>
      <c r="AC9" s="76"/>
    </row>
    <row r="10" spans="1:31" ht="16" customHeight="1" x14ac:dyDescent="0.2">
      <c r="A10" s="363" t="s">
        <v>248</v>
      </c>
      <c r="B10" s="366">
        <f>'Free Cash Flow'!C12</f>
        <v>-66651.25</v>
      </c>
      <c r="C10" s="366">
        <f>'Free Cash Flow'!D12</f>
        <v>41294.25</v>
      </c>
      <c r="D10" s="366">
        <f>'Free Cash Flow'!E12</f>
        <v>322807.55000000005</v>
      </c>
      <c r="E10" s="366">
        <f>'Free Cash Flow'!F12</f>
        <v>177629.15000000002</v>
      </c>
      <c r="F10" s="366">
        <f>'Free Cash Flow'!G12</f>
        <v>256824.09999999998</v>
      </c>
      <c r="G10" s="366">
        <f>'Free Cash Flow'!H12</f>
        <v>375888.80000000005</v>
      </c>
      <c r="H10" s="366">
        <f>'Free Cash Flow'!I12</f>
        <v>-82869.275813516811</v>
      </c>
      <c r="I10" s="366">
        <f>'Free Cash Flow'!J12</f>
        <v>284746.80976389616</v>
      </c>
      <c r="J10" s="366">
        <f>'Free Cash Flow'!K12</f>
        <v>337562.05068112316</v>
      </c>
      <c r="K10" s="366">
        <f>'Free Cash Flow'!L12</f>
        <v>400173.53716632864</v>
      </c>
      <c r="L10" s="366">
        <f>'Free Cash Flow'!M12</f>
        <v>474398.29069970315</v>
      </c>
      <c r="M10" s="366">
        <f>'Free Cash Flow'!N12</f>
        <v>562390.35647491249</v>
      </c>
      <c r="N10" s="366">
        <f>'Free Cash Flow'!O12</f>
        <v>666703.31503405399</v>
      </c>
      <c r="O10" s="366">
        <f>'Free Cash Flow'!P12</f>
        <v>790364.38864901848</v>
      </c>
      <c r="P10" s="366">
        <f>'Free Cash Flow'!Q12</f>
        <v>936962.29305928294</v>
      </c>
      <c r="Q10" s="366">
        <f>'Free Cash Flow'!R12</f>
        <v>1110751.3840742703</v>
      </c>
      <c r="AC10" s="76"/>
    </row>
    <row r="11" spans="1:31" ht="16" customHeight="1" x14ac:dyDescent="0.2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86"/>
      <c r="L11" s="86"/>
      <c r="M11" s="86"/>
      <c r="O11" s="86"/>
      <c r="AC11" s="76"/>
    </row>
    <row r="12" spans="1:31" ht="16" customHeight="1" x14ac:dyDescent="0.2"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113"/>
      <c r="AC12" s="86"/>
    </row>
    <row r="13" spans="1:31" ht="16" customHeight="1" x14ac:dyDescent="0.2">
      <c r="A13" s="585" t="s">
        <v>341</v>
      </c>
      <c r="B13" s="58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424">
        <f>Q10/(B37-B29)</f>
        <v>47400176.874850027</v>
      </c>
      <c r="AC13" s="86"/>
    </row>
    <row r="14" spans="1:31" ht="16" customHeight="1" x14ac:dyDescent="0.2">
      <c r="A14" s="308" t="s">
        <v>342</v>
      </c>
      <c r="B14" s="308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O14" s="86"/>
      <c r="Q14" s="426"/>
      <c r="AC14" s="76"/>
    </row>
    <row r="15" spans="1:31" ht="16" customHeight="1" x14ac:dyDescent="0.2">
      <c r="A15" s="76" t="s">
        <v>343</v>
      </c>
      <c r="B15" s="365">
        <f>Q13</f>
        <v>47400176.874850027</v>
      </c>
      <c r="C15" s="76"/>
      <c r="D15" s="363" t="s">
        <v>344</v>
      </c>
      <c r="E15" s="414">
        <f>B17/B23</f>
        <v>189.71814084708473</v>
      </c>
      <c r="F15" s="76"/>
      <c r="G15" s="76"/>
      <c r="H15" s="76"/>
      <c r="I15" s="76"/>
      <c r="J15" s="76"/>
      <c r="K15" s="76"/>
      <c r="L15" s="76"/>
      <c r="M15" s="76"/>
      <c r="O15" s="86"/>
      <c r="Q15" s="425">
        <f>Q13</f>
        <v>47400176.874850027</v>
      </c>
      <c r="AC15" s="76"/>
    </row>
    <row r="16" spans="1:31" ht="16" customHeight="1" x14ac:dyDescent="0.2">
      <c r="A16" s="76" t="s">
        <v>345</v>
      </c>
      <c r="B16" s="365">
        <f>NPV(B37,H10:P10,Q10+Q15)</f>
        <v>26677177.01325655</v>
      </c>
      <c r="C16" s="76"/>
      <c r="D16" s="76"/>
      <c r="E16" s="76"/>
      <c r="F16" s="76"/>
      <c r="G16" s="76"/>
      <c r="H16" s="76"/>
      <c r="I16" s="76"/>
      <c r="J16" s="76"/>
      <c r="K16" s="86"/>
      <c r="L16" s="86"/>
      <c r="M16" s="86"/>
      <c r="O16" s="86"/>
      <c r="Q16" s="426"/>
      <c r="AC16" s="76"/>
    </row>
    <row r="17" spans="1:29" ht="16" customHeight="1" x14ac:dyDescent="0.2">
      <c r="A17" s="76" t="s">
        <v>346</v>
      </c>
      <c r="B17" s="365">
        <f>B16-B24+'Balanced Proforma'!B21-B27</f>
        <v>28142789.01325655</v>
      </c>
      <c r="C17" s="76"/>
      <c r="D17" s="76"/>
      <c r="E17" s="76"/>
      <c r="F17" s="76"/>
      <c r="G17" s="76"/>
      <c r="H17" s="76"/>
      <c r="I17" s="76"/>
      <c r="J17" s="76"/>
      <c r="K17" s="86"/>
      <c r="L17" s="86"/>
      <c r="M17" s="86"/>
      <c r="O17" s="86"/>
      <c r="Q17" s="426"/>
      <c r="AC17" s="76"/>
    </row>
    <row r="18" spans="1:29" ht="16" customHeight="1" x14ac:dyDescent="0.2">
      <c r="A18" s="587" t="s">
        <v>347</v>
      </c>
      <c r="B18" s="587"/>
      <c r="G18" s="76"/>
      <c r="H18" s="76"/>
      <c r="I18" s="76"/>
      <c r="J18" s="76"/>
      <c r="K18" s="20"/>
      <c r="L18" s="76"/>
      <c r="M18" s="76"/>
      <c r="N18" s="76"/>
      <c r="O18" s="86"/>
      <c r="Q18" s="425">
        <f>('Balanced Proforma'!L10+'Free Cash Flow'!R9)*B25</f>
        <v>65851237.282120936</v>
      </c>
      <c r="AC18" s="76"/>
    </row>
    <row r="19" spans="1:29" ht="16" customHeight="1" x14ac:dyDescent="0.2">
      <c r="A19" s="76" t="s">
        <v>343</v>
      </c>
      <c r="B19" s="93">
        <f>Q18</f>
        <v>65851237.282120936</v>
      </c>
      <c r="C19" s="76"/>
      <c r="D19" s="363" t="s">
        <v>344</v>
      </c>
      <c r="E19" s="414">
        <f>B21/B23</f>
        <v>250.95482479527962</v>
      </c>
      <c r="F19" s="76"/>
      <c r="G19" s="76"/>
      <c r="H19" s="76"/>
      <c r="I19" s="76"/>
      <c r="J19" s="76"/>
      <c r="K19" s="76"/>
      <c r="L19" s="76"/>
      <c r="M19" s="76"/>
      <c r="N19" s="76"/>
      <c r="O19" s="86"/>
      <c r="Q19" s="149"/>
      <c r="AC19" s="76"/>
    </row>
    <row r="20" spans="1:29" ht="16" customHeight="1" x14ac:dyDescent="0.2">
      <c r="A20" s="76" t="s">
        <v>345</v>
      </c>
      <c r="B20" s="93">
        <f>NPV(B37,H10:P10,Q10+Q18)</f>
        <v>35761026.710131779</v>
      </c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86"/>
      <c r="AC20" s="76"/>
    </row>
    <row r="21" spans="1:29" ht="17" customHeight="1" x14ac:dyDescent="0.2">
      <c r="A21" s="76" t="s">
        <v>346</v>
      </c>
      <c r="B21" s="93">
        <f>B20-B24+'Balanced Proforma'!B21-B27</f>
        <v>37226638.710131779</v>
      </c>
      <c r="C21" s="76"/>
      <c r="D21" s="76"/>
      <c r="E21" s="76"/>
      <c r="F21" s="76"/>
      <c r="G21" s="76"/>
      <c r="H21" s="76"/>
      <c r="I21" s="76"/>
      <c r="J21" s="76"/>
      <c r="K21" s="76"/>
      <c r="AC21" s="76"/>
    </row>
    <row r="22" spans="1:29" ht="16" x14ac:dyDescent="0.2">
      <c r="A22" s="76"/>
      <c r="B22" s="76"/>
      <c r="C22" s="76"/>
      <c r="D22" s="76"/>
      <c r="E22" s="76"/>
      <c r="F22" s="76"/>
      <c r="G22" s="393"/>
      <c r="H22" s="592" t="s">
        <v>348</v>
      </c>
      <c r="I22" s="588" t="s">
        <v>349</v>
      </c>
      <c r="J22" s="588"/>
      <c r="K22" s="588"/>
      <c r="L22" s="588"/>
      <c r="M22" s="588"/>
      <c r="N22" s="588"/>
      <c r="O22" s="588"/>
      <c r="Q22" s="392"/>
      <c r="R22" s="594" t="s">
        <v>348</v>
      </c>
      <c r="S22" s="588" t="s">
        <v>349</v>
      </c>
      <c r="T22" s="588"/>
      <c r="U22" s="588"/>
      <c r="V22" s="588"/>
      <c r="W22" s="588"/>
      <c r="X22" s="588"/>
      <c r="Y22" s="588"/>
      <c r="AC22" s="76"/>
    </row>
    <row r="23" spans="1:29" ht="16" x14ac:dyDescent="0.2">
      <c r="A23" s="380" t="s">
        <v>350</v>
      </c>
      <c r="B23" s="386">
        <v>148340</v>
      </c>
      <c r="C23" s="76"/>
      <c r="D23" s="76"/>
      <c r="E23" s="76"/>
      <c r="F23" s="76"/>
      <c r="G23" s="393"/>
      <c r="H23" s="593"/>
      <c r="I23" s="588" t="s">
        <v>351</v>
      </c>
      <c r="J23" s="588"/>
      <c r="K23" s="588"/>
      <c r="L23" s="588"/>
      <c r="M23" s="588"/>
      <c r="N23" s="588"/>
      <c r="O23" s="588"/>
      <c r="Q23" s="392"/>
      <c r="R23" s="592"/>
      <c r="S23" s="588" t="s">
        <v>352</v>
      </c>
      <c r="T23" s="588"/>
      <c r="U23" s="588"/>
      <c r="V23" s="588"/>
      <c r="W23" s="588"/>
      <c r="X23" s="588"/>
      <c r="Y23" s="588"/>
      <c r="Z23" s="76"/>
      <c r="AA23" s="76"/>
      <c r="AB23" s="76"/>
      <c r="AC23" s="76"/>
    </row>
    <row r="24" spans="1:29" ht="16" x14ac:dyDescent="0.2">
      <c r="A24" s="381" t="s">
        <v>353</v>
      </c>
      <c r="B24" s="387">
        <v>266876</v>
      </c>
      <c r="C24" s="76" t="s">
        <v>354</v>
      </c>
      <c r="D24" s="76"/>
      <c r="E24" s="76"/>
      <c r="F24" s="76"/>
      <c r="G24" s="406"/>
      <c r="H24" s="423">
        <f>E15</f>
        <v>189.71814084708473</v>
      </c>
      <c r="I24" s="402">
        <v>0.02</v>
      </c>
      <c r="J24" s="403">
        <v>2.5000000000000001E-2</v>
      </c>
      <c r="K24" s="404">
        <v>0.03</v>
      </c>
      <c r="L24" s="403">
        <v>3.5000000000000003E-2</v>
      </c>
      <c r="M24" s="404">
        <v>0.04</v>
      </c>
      <c r="N24" s="403">
        <v>4.4999999999999998E-2</v>
      </c>
      <c r="O24" s="405">
        <v>0.05</v>
      </c>
      <c r="Q24" s="392"/>
      <c r="R24" s="422">
        <f>E19</f>
        <v>250.95482479527962</v>
      </c>
      <c r="S24" s="409">
        <v>8</v>
      </c>
      <c r="T24" s="409">
        <v>9</v>
      </c>
      <c r="U24" s="409">
        <v>10</v>
      </c>
      <c r="V24" s="409">
        <v>11</v>
      </c>
      <c r="W24" s="409">
        <v>12</v>
      </c>
      <c r="X24" s="409">
        <v>13</v>
      </c>
      <c r="Y24" s="410">
        <v>14</v>
      </c>
      <c r="Z24" s="76"/>
      <c r="AA24" s="76"/>
      <c r="AB24" s="76"/>
      <c r="AC24" s="76"/>
    </row>
    <row r="25" spans="1:29" ht="16" x14ac:dyDescent="0.2">
      <c r="A25" s="382" t="s">
        <v>355</v>
      </c>
      <c r="B25" s="383">
        <v>11.52</v>
      </c>
      <c r="C25" s="76" t="s">
        <v>354</v>
      </c>
      <c r="D25" s="76"/>
      <c r="E25" s="76"/>
      <c r="F25" s="76"/>
      <c r="G25" s="588" t="s">
        <v>356</v>
      </c>
      <c r="H25" s="400">
        <v>6.8000000000000005E-2</v>
      </c>
      <c r="I25" s="389">
        <f t="dataTable" ref="I25:O33" dt2D="1" dtr="1" r1="B29" r2="B37" ca="1"/>
        <v>113.99246459665939</v>
      </c>
      <c r="J25" s="389">
        <v>123.38767202314935</v>
      </c>
      <c r="K25" s="389">
        <v>135.25530245661037</v>
      </c>
      <c r="L25" s="390">
        <v>150.71918453657474</v>
      </c>
      <c r="M25" s="389">
        <v>171.70588164509775</v>
      </c>
      <c r="N25" s="389">
        <v>201.8172296703699</v>
      </c>
      <c r="O25" s="394">
        <v>248.65710437634891</v>
      </c>
      <c r="Q25" s="589" t="s">
        <v>356</v>
      </c>
      <c r="R25" s="412">
        <v>6.8000000000000005E-2</v>
      </c>
      <c r="S25" s="407">
        <f t="dataTable" ref="S25:Y33" dt2D="1" dtr="1" r1="B25" r2="B37"/>
        <v>192.86637211215401</v>
      </c>
      <c r="T25" s="407">
        <v>212.82545853506755</v>
      </c>
      <c r="U25" s="407">
        <v>232.78454495798107</v>
      </c>
      <c r="V25" s="408">
        <v>252.74363138089461</v>
      </c>
      <c r="W25" s="407">
        <v>272.70271780380813</v>
      </c>
      <c r="X25" s="407">
        <v>292.6618042267217</v>
      </c>
      <c r="Y25" s="411">
        <v>312.62089064963521</v>
      </c>
      <c r="Z25" s="76"/>
      <c r="AA25" s="76"/>
      <c r="AB25" s="76"/>
      <c r="AC25" s="76"/>
    </row>
    <row r="26" spans="1:29" ht="16" x14ac:dyDescent="0.2">
      <c r="A26" s="381"/>
      <c r="B26" s="384"/>
      <c r="D26" s="76"/>
      <c r="E26" s="76"/>
      <c r="F26" s="76"/>
      <c r="G26" s="588"/>
      <c r="H26" s="400">
        <f>6.9%</f>
        <v>6.9000000000000006E-2</v>
      </c>
      <c r="I26" s="92">
        <v>111.45808407089774</v>
      </c>
      <c r="J26" s="92">
        <v>120.36859862982811</v>
      </c>
      <c r="K26" s="92">
        <v>131.56386051156119</v>
      </c>
      <c r="L26" s="391">
        <v>146.05184647615687</v>
      </c>
      <c r="M26" s="92">
        <v>165.53568966992356</v>
      </c>
      <c r="N26" s="92">
        <v>193.13780086109296</v>
      </c>
      <c r="O26" s="395">
        <v>235.26733899498316</v>
      </c>
      <c r="Q26" s="590"/>
      <c r="R26" s="412">
        <f>6.9%</f>
        <v>6.9000000000000006E-2</v>
      </c>
      <c r="S26" s="415">
        <v>191.23085522612692</v>
      </c>
      <c r="T26" s="415">
        <v>211.00401763535399</v>
      </c>
      <c r="U26" s="415">
        <v>230.77718004458109</v>
      </c>
      <c r="V26" s="416">
        <v>250.55034245380821</v>
      </c>
      <c r="W26" s="415">
        <v>270.32350486303528</v>
      </c>
      <c r="X26" s="415">
        <v>290.09666727226232</v>
      </c>
      <c r="Y26" s="418">
        <v>309.86982968148942</v>
      </c>
      <c r="Z26" s="76"/>
      <c r="AA26" s="76"/>
      <c r="AB26" s="76"/>
      <c r="AC26" s="76"/>
    </row>
    <row r="27" spans="1:29" ht="16" customHeight="1" x14ac:dyDescent="0.2">
      <c r="A27" s="385" t="s">
        <v>357</v>
      </c>
      <c r="B27" s="388">
        <f>276975</f>
        <v>276975</v>
      </c>
      <c r="C27" s="76"/>
      <c r="E27" s="76"/>
      <c r="F27" s="76"/>
      <c r="G27" s="588"/>
      <c r="H27" s="400">
        <v>7.0000000000000007E-2</v>
      </c>
      <c r="I27" s="92">
        <v>109.02774549782961</v>
      </c>
      <c r="J27" s="92">
        <v>117.48653656088018</v>
      </c>
      <c r="K27" s="92">
        <v>128.06002538969332</v>
      </c>
      <c r="L27" s="391">
        <v>141.65451102673882</v>
      </c>
      <c r="M27" s="92">
        <v>159.78049187613288</v>
      </c>
      <c r="N27" s="92">
        <v>185.15686506528451</v>
      </c>
      <c r="O27" s="395">
        <v>223.22142484901195</v>
      </c>
      <c r="Q27" s="590"/>
      <c r="R27" s="412">
        <v>7.0000000000000007E-2</v>
      </c>
      <c r="S27" s="415">
        <v>189.61175988391193</v>
      </c>
      <c r="T27" s="415">
        <v>209.20090162810411</v>
      </c>
      <c r="U27" s="415">
        <v>228.79004337229622</v>
      </c>
      <c r="V27" s="416">
        <v>248.37918511648837</v>
      </c>
      <c r="W27" s="415">
        <v>267.96832686068052</v>
      </c>
      <c r="X27" s="415">
        <v>287.55746860487267</v>
      </c>
      <c r="Y27" s="418">
        <v>307.14661034906482</v>
      </c>
      <c r="Z27" s="76"/>
      <c r="AA27" s="76"/>
      <c r="AB27" s="76"/>
      <c r="AC27" s="76"/>
    </row>
    <row r="28" spans="1:29" ht="16" x14ac:dyDescent="0.2">
      <c r="A28" s="89"/>
      <c r="B28" s="76"/>
      <c r="C28" s="76"/>
      <c r="G28" s="588"/>
      <c r="H28" s="400">
        <v>7.0999999999999994E-2</v>
      </c>
      <c r="I28" s="92">
        <v>106.6953068091932</v>
      </c>
      <c r="J28" s="92">
        <v>114.73252718590875</v>
      </c>
      <c r="K28" s="92">
        <v>124.73004521548177</v>
      </c>
      <c r="L28" s="391">
        <v>137.50465158660288</v>
      </c>
      <c r="M28" s="92">
        <v>154.40009872260171</v>
      </c>
      <c r="N28" s="92">
        <v>177.79379475706165</v>
      </c>
      <c r="O28" s="395">
        <v>212.32734604602635</v>
      </c>
      <c r="Q28" s="590"/>
      <c r="R28" s="412">
        <v>7.0999999999999994E-2</v>
      </c>
      <c r="S28" s="415">
        <v>188.00890487288044</v>
      </c>
      <c r="T28" s="415">
        <v>207.41590806406424</v>
      </c>
      <c r="U28" s="415">
        <v>226.82291125524807</v>
      </c>
      <c r="V28" s="416">
        <v>246.22991444643191</v>
      </c>
      <c r="W28" s="415">
        <v>265.63691763761562</v>
      </c>
      <c r="X28" s="415">
        <v>285.04392082879946</v>
      </c>
      <c r="Y28" s="418">
        <v>304.45092401998329</v>
      </c>
      <c r="Z28" s="76"/>
      <c r="AA28" s="76"/>
      <c r="AB28" s="76"/>
      <c r="AC28" s="76"/>
    </row>
    <row r="29" spans="1:29" ht="16" x14ac:dyDescent="0.2">
      <c r="A29" s="367" t="s">
        <v>358</v>
      </c>
      <c r="B29" s="369">
        <v>0.05</v>
      </c>
      <c r="C29" s="87"/>
      <c r="G29" s="588"/>
      <c r="H29" s="400">
        <v>7.1999999999999995E-2</v>
      </c>
      <c r="I29" s="391">
        <v>104.45509861229397</v>
      </c>
      <c r="J29" s="391">
        <v>112.09837452924212</v>
      </c>
      <c r="K29" s="391">
        <v>121.56147804546363</v>
      </c>
      <c r="L29" s="391">
        <v>133.58217710660995</v>
      </c>
      <c r="M29" s="391">
        <v>149.35934462436444</v>
      </c>
      <c r="N29" s="391">
        <v>170.97990751906499</v>
      </c>
      <c r="O29" s="396">
        <v>202.42799900226586</v>
      </c>
      <c r="Q29" s="590"/>
      <c r="R29" s="412">
        <v>7.1999999999999995E-2</v>
      </c>
      <c r="S29" s="416">
        <v>186.42211115323531</v>
      </c>
      <c r="T29" s="416">
        <v>205.64883692326708</v>
      </c>
      <c r="U29" s="416">
        <v>224.8755626932988</v>
      </c>
      <c r="V29" s="416">
        <v>244.10228846333052</v>
      </c>
      <c r="W29" s="416">
        <v>263.32901423336227</v>
      </c>
      <c r="X29" s="416">
        <v>282.55574000339408</v>
      </c>
      <c r="Y29" s="419">
        <v>301.78246577342577</v>
      </c>
      <c r="Z29" s="76"/>
      <c r="AA29" s="76"/>
      <c r="AB29" s="76"/>
      <c r="AC29" s="76"/>
    </row>
    <row r="30" spans="1:29" ht="16" x14ac:dyDescent="0.2">
      <c r="A30" s="368" t="s">
        <v>279</v>
      </c>
      <c r="B30" s="370">
        <v>4.2700000000000002E-2</v>
      </c>
      <c r="C30" s="77"/>
      <c r="G30" s="588"/>
      <c r="H30" s="400">
        <v>7.2999999999999995E-2</v>
      </c>
      <c r="I30" s="92">
        <v>102.30187959575375</v>
      </c>
      <c r="J30" s="92">
        <v>109.57656582443504</v>
      </c>
      <c r="K30" s="92">
        <v>118.54303954815853</v>
      </c>
      <c r="L30" s="391">
        <v>129.86911162023029</v>
      </c>
      <c r="M30" s="92">
        <v>144.62732674444501</v>
      </c>
      <c r="N30" s="92">
        <v>164.6563329844507</v>
      </c>
      <c r="O30" s="395">
        <v>193.39360280706757</v>
      </c>
      <c r="Q30" s="590"/>
      <c r="R30" s="412">
        <v>7.2999999999999995E-2</v>
      </c>
      <c r="S30" s="415">
        <v>184.85120182992179</v>
      </c>
      <c r="T30" s="415">
        <v>203.89949058361034</v>
      </c>
      <c r="U30" s="415">
        <v>222.94777933729895</v>
      </c>
      <c r="V30" s="416">
        <v>241.99606809098754</v>
      </c>
      <c r="W30" s="415">
        <v>261.04435684467614</v>
      </c>
      <c r="X30" s="415">
        <v>280.0926455983647</v>
      </c>
      <c r="Y30" s="418">
        <v>299.14093435205325</v>
      </c>
      <c r="Z30" s="76"/>
      <c r="AA30" s="76"/>
      <c r="AB30" s="76"/>
      <c r="AC30" s="76"/>
    </row>
    <row r="31" spans="1:29" ht="16" x14ac:dyDescent="0.2">
      <c r="A31" s="368" t="s">
        <v>280</v>
      </c>
      <c r="B31" s="371">
        <v>5.5E-2</v>
      </c>
      <c r="C31" s="87"/>
      <c r="G31" s="588"/>
      <c r="H31" s="400">
        <v>7.3999999999999996E-2</v>
      </c>
      <c r="I31" s="92">
        <v>100.23079689019929</v>
      </c>
      <c r="J31" s="92">
        <v>107.16020179681418</v>
      </c>
      <c r="K31" s="92">
        <v>115.6644714549325</v>
      </c>
      <c r="L31" s="391">
        <v>126.34932307667083</v>
      </c>
      <c r="M31" s="92">
        <v>140.17677811656753</v>
      </c>
      <c r="N31" s="92">
        <v>158.77232110125618</v>
      </c>
      <c r="O31" s="395">
        <v>185.11600699623182</v>
      </c>
      <c r="Q31" s="590"/>
      <c r="R31" s="412">
        <v>7.3999999999999996E-2</v>
      </c>
      <c r="S31" s="415">
        <v>183.29600212492275</v>
      </c>
      <c r="T31" s="415">
        <v>202.16767378986643</v>
      </c>
      <c r="U31" s="415">
        <v>221.03934545481007</v>
      </c>
      <c r="V31" s="416">
        <v>239.91101711975381</v>
      </c>
      <c r="W31" s="415">
        <v>258.78268878469743</v>
      </c>
      <c r="X31" s="415">
        <v>277.65436044964116</v>
      </c>
      <c r="Y31" s="418">
        <v>296.52603211458478</v>
      </c>
      <c r="Z31" s="76"/>
      <c r="AA31" s="76"/>
      <c r="AB31" s="76"/>
      <c r="AC31" s="76"/>
    </row>
    <row r="32" spans="1:29" ht="16" x14ac:dyDescent="0.2">
      <c r="A32" s="368" t="s">
        <v>359</v>
      </c>
      <c r="B32" s="372">
        <v>0.99</v>
      </c>
      <c r="C32" s="76"/>
      <c r="G32" s="588"/>
      <c r="H32" s="400">
        <v>7.4999999999999997E-2</v>
      </c>
      <c r="I32" s="92">
        <v>98.237350753267378</v>
      </c>
      <c r="J32" s="92">
        <v>104.84293531214665</v>
      </c>
      <c r="K32" s="92">
        <v>112.91642755077687</v>
      </c>
      <c r="L32" s="391">
        <v>123.00829284906469</v>
      </c>
      <c r="M32" s="92">
        <v>135.98354823257753</v>
      </c>
      <c r="N32" s="92">
        <v>153.28388874392803</v>
      </c>
      <c r="O32" s="395">
        <v>177.50436545981876</v>
      </c>
      <c r="Q32" s="590"/>
      <c r="R32" s="412">
        <v>7.4999999999999997E-2</v>
      </c>
      <c r="S32" s="415">
        <v>181.75633934994235</v>
      </c>
      <c r="T32" s="415">
        <v>200.45319362312583</v>
      </c>
      <c r="U32" s="415">
        <v>219.1500478963093</v>
      </c>
      <c r="V32" s="416">
        <v>237.84690216949278</v>
      </c>
      <c r="W32" s="415">
        <v>256.54375644267628</v>
      </c>
      <c r="X32" s="415">
        <v>275.24061071585976</v>
      </c>
      <c r="Y32" s="418">
        <v>293.93746498904318</v>
      </c>
      <c r="Z32" s="76"/>
      <c r="AA32" s="76"/>
      <c r="AB32" s="76"/>
      <c r="AC32" s="76"/>
    </row>
    <row r="33" spans="1:29" ht="16" x14ac:dyDescent="0.2">
      <c r="A33" s="375" t="s">
        <v>281</v>
      </c>
      <c r="B33" s="378">
        <f>'Cost of Capital'!K16</f>
        <v>8.2649399999999998E-2</v>
      </c>
      <c r="C33" s="78"/>
      <c r="G33" s="588"/>
      <c r="H33" s="401">
        <v>7.5999999999999998E-2</v>
      </c>
      <c r="I33" s="397">
        <v>96.317363038380861</v>
      </c>
      <c r="J33" s="397">
        <v>102.6189172431344</v>
      </c>
      <c r="K33" s="397">
        <v>110.29037453587786</v>
      </c>
      <c r="L33" s="398">
        <v>119.83291897319288</v>
      </c>
      <c r="M33" s="397">
        <v>132.02617019865096</v>
      </c>
      <c r="N33" s="397">
        <v>148.15272827103098</v>
      </c>
      <c r="O33" s="399">
        <v>170.48180867894183</v>
      </c>
      <c r="P33" s="76"/>
      <c r="Q33" s="591"/>
      <c r="R33" s="413">
        <v>7.5999999999999998E-2</v>
      </c>
      <c r="S33" s="417">
        <v>180.23204287946274</v>
      </c>
      <c r="T33" s="417">
        <v>198.75585947065878</v>
      </c>
      <c r="U33" s="417">
        <v>217.27967606185476</v>
      </c>
      <c r="V33" s="420">
        <v>235.80349265305082</v>
      </c>
      <c r="W33" s="417">
        <v>254.32730924424683</v>
      </c>
      <c r="X33" s="417">
        <v>272.85112583544282</v>
      </c>
      <c r="Y33" s="421">
        <v>291.37494242663877</v>
      </c>
      <c r="Z33" s="76"/>
      <c r="AA33" s="76"/>
      <c r="AB33" s="76"/>
      <c r="AC33" s="76"/>
    </row>
    <row r="34" spans="1:29" ht="16" x14ac:dyDescent="0.2">
      <c r="A34" s="368" t="s">
        <v>282</v>
      </c>
      <c r="B34" s="374">
        <f>'Cost of Capital'!K17</f>
        <v>0.21629396948099081</v>
      </c>
      <c r="C34" s="77"/>
      <c r="H34" s="76"/>
      <c r="I34" s="93"/>
      <c r="J34" s="93"/>
      <c r="K34" s="93"/>
      <c r="L34" s="93"/>
      <c r="M34" s="93"/>
      <c r="N34" s="93"/>
      <c r="O34" s="93"/>
      <c r="P34" s="76"/>
      <c r="Q34" s="76"/>
      <c r="R34" s="76"/>
      <c r="U34" s="76"/>
      <c r="V34" s="76"/>
      <c r="W34" s="76"/>
      <c r="X34" s="76"/>
      <c r="Y34" s="76"/>
      <c r="Z34" s="76"/>
      <c r="AA34" s="76"/>
      <c r="AB34" s="76"/>
      <c r="AC34" s="76"/>
    </row>
    <row r="35" spans="1:29" ht="16" x14ac:dyDescent="0.2">
      <c r="A35" s="368" t="s">
        <v>283</v>
      </c>
      <c r="B35" s="377">
        <f>'Cost of Capital'!K18</f>
        <v>0.1265</v>
      </c>
      <c r="C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U35" s="76"/>
      <c r="V35" s="76"/>
      <c r="W35" s="76"/>
      <c r="X35" s="76"/>
      <c r="Y35" s="76"/>
      <c r="Z35" s="76"/>
      <c r="AA35" s="76"/>
      <c r="AB35" s="76"/>
      <c r="AC35" s="76"/>
    </row>
    <row r="36" spans="1:29" ht="16" x14ac:dyDescent="0.2">
      <c r="A36" s="368" t="s">
        <v>284</v>
      </c>
      <c r="B36" s="373">
        <v>1.2500000000000001E-2</v>
      </c>
      <c r="C36" s="77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U36" s="76"/>
      <c r="V36" s="76"/>
      <c r="W36" s="76"/>
      <c r="X36" s="76"/>
      <c r="Y36" s="76"/>
      <c r="Z36" s="76"/>
      <c r="AA36" s="76"/>
      <c r="AB36" s="76"/>
      <c r="AC36" s="76"/>
    </row>
    <row r="37" spans="1:29" ht="16" x14ac:dyDescent="0.2">
      <c r="A37" s="376" t="s">
        <v>285</v>
      </c>
      <c r="B37" s="379">
        <f>'Cost of Capital'!K20</f>
        <v>7.3433486060758182E-2</v>
      </c>
      <c r="C37" s="77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U37" s="76"/>
      <c r="V37" s="76"/>
      <c r="W37" s="76"/>
      <c r="X37" s="76"/>
      <c r="Y37" s="76"/>
      <c r="Z37" s="76"/>
      <c r="AA37" s="76"/>
      <c r="AB37" s="76"/>
      <c r="AC37" s="76"/>
    </row>
    <row r="38" spans="1:29" ht="16" x14ac:dyDescent="0.2">
      <c r="A38" s="76"/>
      <c r="B38" s="76"/>
      <c r="C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U38" s="76"/>
      <c r="V38" s="76"/>
      <c r="W38" s="76"/>
      <c r="X38" s="76"/>
      <c r="Y38" s="76"/>
      <c r="Z38" s="76"/>
      <c r="AA38" s="76"/>
      <c r="AB38" s="76"/>
      <c r="AC38" s="76"/>
    </row>
    <row r="39" spans="1:29" ht="23" x14ac:dyDescent="0.3">
      <c r="H39" s="76"/>
      <c r="I39" s="76"/>
      <c r="J39" s="76"/>
      <c r="K39" s="76"/>
      <c r="L39" s="76"/>
      <c r="M39" s="76"/>
      <c r="N39" s="76"/>
      <c r="O39" s="90"/>
      <c r="P39" s="77"/>
      <c r="Q39" s="77"/>
      <c r="R39" s="77"/>
      <c r="S39" s="32"/>
      <c r="T39" s="32"/>
      <c r="U39" s="77"/>
      <c r="V39" s="77"/>
      <c r="W39" s="76"/>
      <c r="X39" s="76"/>
      <c r="Y39" s="76"/>
      <c r="Z39" s="76"/>
      <c r="AA39" s="76"/>
      <c r="AB39" s="76"/>
      <c r="AC39" s="76"/>
    </row>
    <row r="40" spans="1:29" ht="16" x14ac:dyDescent="0.2">
      <c r="O40" s="32"/>
      <c r="P40" s="38"/>
      <c r="Q40" s="38"/>
      <c r="R40" s="38"/>
      <c r="S40" s="91"/>
      <c r="T40" s="91"/>
      <c r="U40" s="91"/>
      <c r="V40" s="91"/>
      <c r="W40" s="76"/>
      <c r="X40" s="76"/>
      <c r="Y40" s="76"/>
      <c r="Z40" s="76"/>
      <c r="AA40" s="76"/>
      <c r="AB40" s="76"/>
      <c r="AC40" s="76"/>
    </row>
    <row r="41" spans="1:29" ht="16" x14ac:dyDescent="0.2">
      <c r="A41" s="76"/>
      <c r="B41" s="76"/>
      <c r="C41" s="88"/>
      <c r="D41" s="76"/>
      <c r="E41" s="76"/>
      <c r="F41" s="76"/>
      <c r="G41" s="76"/>
      <c r="H41" s="76"/>
      <c r="I41" s="76"/>
      <c r="J41" s="76"/>
      <c r="K41" s="76"/>
      <c r="L41" s="76"/>
      <c r="O41" s="32"/>
      <c r="P41" s="38"/>
      <c r="Q41" s="38"/>
      <c r="R41" s="38"/>
      <c r="S41" s="91"/>
      <c r="T41" s="91"/>
      <c r="U41" s="91"/>
      <c r="V41" s="91"/>
      <c r="W41" s="76"/>
      <c r="X41" s="76"/>
      <c r="Y41" s="76"/>
      <c r="Z41" s="76"/>
      <c r="AA41" s="76"/>
      <c r="AB41" s="76"/>
      <c r="AC41" s="76"/>
    </row>
    <row r="42" spans="1:29" ht="16" x14ac:dyDescent="0.2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7"/>
      <c r="P42" s="91"/>
      <c r="Q42" s="91"/>
      <c r="R42" s="91"/>
      <c r="S42" s="91"/>
      <c r="T42" s="91"/>
      <c r="U42" s="91"/>
      <c r="V42" s="91"/>
      <c r="W42" s="76"/>
      <c r="X42" s="76"/>
      <c r="Y42" s="76"/>
      <c r="Z42" s="76"/>
      <c r="AA42" s="76"/>
      <c r="AB42" s="76"/>
      <c r="AC42" s="76"/>
    </row>
    <row r="43" spans="1:29" ht="16" x14ac:dyDescent="0.2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91"/>
      <c r="Q43" s="91"/>
      <c r="R43" s="91"/>
      <c r="S43" s="91"/>
      <c r="T43" s="91"/>
      <c r="U43" s="91"/>
      <c r="V43" s="91"/>
      <c r="W43" s="76"/>
      <c r="X43" s="76"/>
      <c r="Y43" s="76"/>
      <c r="Z43" s="76"/>
      <c r="AA43" s="76"/>
      <c r="AB43" s="76"/>
      <c r="AC43" s="76"/>
    </row>
    <row r="44" spans="1:29" ht="16" x14ac:dyDescent="0.2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91"/>
      <c r="Q44" s="91"/>
      <c r="R44" s="91"/>
      <c r="S44" s="91"/>
      <c r="T44" s="91"/>
      <c r="U44" s="91"/>
      <c r="V44" s="91"/>
      <c r="W44" s="76"/>
      <c r="X44" s="76"/>
      <c r="Y44" s="76"/>
      <c r="Z44" s="76"/>
      <c r="AA44" s="76"/>
      <c r="AB44" s="76"/>
      <c r="AC44" s="76"/>
    </row>
    <row r="45" spans="1:29" ht="16" x14ac:dyDescent="0.2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91"/>
      <c r="Q45" s="91"/>
      <c r="R45" s="91"/>
      <c r="S45" s="91"/>
      <c r="T45" s="91"/>
      <c r="U45" s="91"/>
      <c r="V45" s="91"/>
      <c r="W45" s="76"/>
      <c r="X45" s="76"/>
      <c r="Y45" s="76"/>
      <c r="Z45" s="76"/>
      <c r="AA45" s="76"/>
      <c r="AB45" s="76"/>
      <c r="AC45" s="76"/>
    </row>
    <row r="46" spans="1:29" ht="16" x14ac:dyDescent="0.2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7"/>
      <c r="P46" s="91"/>
      <c r="Q46" s="91"/>
      <c r="R46" s="91"/>
      <c r="S46" s="91"/>
      <c r="T46" s="91"/>
      <c r="U46" s="91"/>
      <c r="V46" s="91"/>
      <c r="W46" s="76"/>
      <c r="X46" s="76"/>
      <c r="Y46" s="76"/>
      <c r="Z46" s="76"/>
      <c r="AA46" s="76"/>
      <c r="AB46" s="76"/>
      <c r="AC46" s="76"/>
    </row>
    <row r="47" spans="1:29" ht="16" x14ac:dyDescent="0.2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7"/>
      <c r="P47" s="91"/>
      <c r="Q47" s="91"/>
      <c r="R47" s="91"/>
      <c r="S47" s="91"/>
      <c r="T47" s="91"/>
      <c r="U47" s="91"/>
      <c r="V47" s="91"/>
      <c r="W47" s="76"/>
      <c r="X47" s="76"/>
      <c r="Y47" s="76"/>
      <c r="Z47" s="76"/>
      <c r="AA47" s="76"/>
      <c r="AB47" s="76"/>
      <c r="AC47" s="76"/>
    </row>
    <row r="48" spans="1:29" ht="16" x14ac:dyDescent="0.2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7"/>
      <c r="P48" s="91"/>
      <c r="Q48" s="91"/>
      <c r="R48" s="91"/>
      <c r="S48" s="91"/>
      <c r="T48" s="91"/>
      <c r="U48" s="91"/>
      <c r="V48" s="91"/>
      <c r="W48" s="76"/>
      <c r="X48" s="76"/>
      <c r="Y48" s="76"/>
      <c r="Z48" s="76"/>
      <c r="AA48" s="76"/>
      <c r="AB48" s="76"/>
      <c r="AC48" s="76"/>
    </row>
    <row r="49" spans="1:29" ht="16" x14ac:dyDescent="0.2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</row>
    <row r="50" spans="1:29" ht="16" x14ac:dyDescent="0.2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</row>
    <row r="51" spans="1:29" ht="16" x14ac:dyDescent="0.2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</row>
    <row r="52" spans="1:29" ht="16" x14ac:dyDescent="0.2">
      <c r="A52" s="76"/>
      <c r="B52" s="76"/>
      <c r="C52" s="8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</row>
    <row r="53" spans="1:29" ht="16" x14ac:dyDescent="0.2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</row>
    <row r="54" spans="1:29" ht="16" x14ac:dyDescent="0.2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 spans="1:29" ht="16" x14ac:dyDescent="0.2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 spans="1:29" ht="16" x14ac:dyDescent="0.2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 spans="1:29" ht="16" x14ac:dyDescent="0.2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</row>
    <row r="58" spans="1:29" ht="16" x14ac:dyDescent="0.2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</row>
    <row r="59" spans="1:29" ht="16" x14ac:dyDescent="0.2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</row>
    <row r="60" spans="1:29" ht="16" x14ac:dyDescent="0.2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</row>
    <row r="61" spans="1:29" ht="16" x14ac:dyDescent="0.2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</row>
    <row r="62" spans="1:29" ht="16" x14ac:dyDescent="0.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</row>
    <row r="63" spans="1:29" ht="16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</row>
    <row r="64" spans="1:29" ht="16" x14ac:dyDescent="0.2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</row>
    <row r="65" spans="1:29" ht="16" x14ac:dyDescent="0.2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</row>
    <row r="66" spans="1:29" ht="16" x14ac:dyDescent="0.2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</row>
    <row r="67" spans="1:29" ht="16" x14ac:dyDescent="0.2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</row>
    <row r="68" spans="1:29" ht="16" x14ac:dyDescent="0.2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</row>
    <row r="69" spans="1:29" ht="16" x14ac:dyDescent="0.2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</row>
    <row r="70" spans="1:29" ht="16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</row>
    <row r="71" spans="1:29" ht="16" x14ac:dyDescent="0.2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</row>
    <row r="72" spans="1:29" ht="16" x14ac:dyDescent="0.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</row>
    <row r="73" spans="1:29" ht="16" x14ac:dyDescent="0.2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</row>
    <row r="74" spans="1:29" ht="16" x14ac:dyDescent="0.2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</row>
    <row r="75" spans="1:29" ht="16" x14ac:dyDescent="0.2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</row>
    <row r="76" spans="1:29" ht="16" x14ac:dyDescent="0.2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</row>
    <row r="77" spans="1:29" ht="16" x14ac:dyDescent="0.2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</row>
    <row r="78" spans="1:29" ht="16" x14ac:dyDescent="0.2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</row>
    <row r="79" spans="1:29" ht="16" x14ac:dyDescent="0.2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</row>
    <row r="80" spans="1:29" ht="16" x14ac:dyDescent="0.2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</row>
    <row r="81" spans="1:29" ht="16" x14ac:dyDescent="0.2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</row>
    <row r="82" spans="1:29" ht="16" x14ac:dyDescent="0.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</row>
    <row r="83" spans="1:29" ht="16" x14ac:dyDescent="0.2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</row>
    <row r="84" spans="1:29" ht="16" x14ac:dyDescent="0.2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</row>
    <row r="85" spans="1:29" ht="16" x14ac:dyDescent="0.2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</row>
    <row r="86" spans="1:29" ht="16" x14ac:dyDescent="0.2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</row>
    <row r="87" spans="1:29" ht="16" x14ac:dyDescent="0.2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</row>
    <row r="88" spans="1:29" ht="16" x14ac:dyDescent="0.2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</row>
    <row r="89" spans="1:29" ht="16" x14ac:dyDescent="0.2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</row>
    <row r="90" spans="1:29" ht="16" x14ac:dyDescent="0.2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</row>
    <row r="91" spans="1:29" ht="16" x14ac:dyDescent="0.2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</row>
    <row r="92" spans="1:29" ht="16" x14ac:dyDescent="0.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</row>
    <row r="93" spans="1:29" ht="16" x14ac:dyDescent="0.2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</row>
    <row r="94" spans="1:29" ht="16" x14ac:dyDescent="0.2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</row>
    <row r="95" spans="1:29" ht="16" x14ac:dyDescent="0.2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</row>
    <row r="96" spans="1:29" ht="16" x14ac:dyDescent="0.2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</row>
    <row r="97" spans="1:29" ht="16" x14ac:dyDescent="0.2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</row>
    <row r="98" spans="1:29" ht="16" x14ac:dyDescent="0.2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</row>
    <row r="99" spans="1:29" ht="16" x14ac:dyDescent="0.2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</row>
    <row r="100" spans="1:29" ht="16" x14ac:dyDescent="0.2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</row>
    <row r="101" spans="1:29" ht="16" x14ac:dyDescent="0.2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</row>
    <row r="102" spans="1:29" ht="16" x14ac:dyDescent="0.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</row>
    <row r="103" spans="1:29" ht="16" x14ac:dyDescent="0.2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</row>
    <row r="104" spans="1:29" ht="16" x14ac:dyDescent="0.2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</row>
    <row r="105" spans="1:29" ht="16" x14ac:dyDescent="0.2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</row>
    <row r="106" spans="1:29" ht="16" x14ac:dyDescent="0.2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</row>
    <row r="107" spans="1:29" ht="16" x14ac:dyDescent="0.2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</row>
    <row r="108" spans="1:29" ht="16" x14ac:dyDescent="0.2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</row>
    <row r="109" spans="1:29" ht="16" x14ac:dyDescent="0.2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</row>
    <row r="110" spans="1:29" ht="16" x14ac:dyDescent="0.2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</row>
    <row r="111" spans="1:29" ht="16" x14ac:dyDescent="0.2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</row>
    <row r="112" spans="1:29" ht="16" x14ac:dyDescent="0.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</row>
    <row r="113" spans="1:29" ht="16" x14ac:dyDescent="0.2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</row>
    <row r="114" spans="1:29" ht="16" x14ac:dyDescent="0.2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</row>
    <row r="115" spans="1:29" ht="16" x14ac:dyDescent="0.2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</row>
    <row r="116" spans="1:29" ht="16" x14ac:dyDescent="0.2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</row>
    <row r="117" spans="1:29" ht="16" x14ac:dyDescent="0.2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</row>
    <row r="118" spans="1:29" ht="16" x14ac:dyDescent="0.2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</row>
    <row r="119" spans="1:29" ht="16" x14ac:dyDescent="0.2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</row>
    <row r="120" spans="1:29" ht="16" x14ac:dyDescent="0.2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</row>
    <row r="121" spans="1:29" ht="16" x14ac:dyDescent="0.2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</row>
    <row r="122" spans="1:29" ht="16" x14ac:dyDescent="0.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</row>
    <row r="123" spans="1:29" ht="16" x14ac:dyDescent="0.2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</row>
    <row r="124" spans="1:29" ht="16" x14ac:dyDescent="0.2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</row>
    <row r="125" spans="1:29" ht="16" x14ac:dyDescent="0.2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</row>
    <row r="126" spans="1:29" ht="16" x14ac:dyDescent="0.2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</row>
    <row r="127" spans="1:29" ht="16" x14ac:dyDescent="0.2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</row>
    <row r="128" spans="1:29" ht="16" x14ac:dyDescent="0.2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</row>
    <row r="129" spans="1:29" ht="16" x14ac:dyDescent="0.2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</row>
    <row r="130" spans="1:29" ht="16" x14ac:dyDescent="0.2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</row>
    <row r="131" spans="1:29" ht="16" x14ac:dyDescent="0.2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</row>
    <row r="132" spans="1:29" ht="16" x14ac:dyDescent="0.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</row>
    <row r="133" spans="1:29" ht="16" x14ac:dyDescent="0.2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</row>
    <row r="134" spans="1:29" ht="16" x14ac:dyDescent="0.2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</row>
    <row r="135" spans="1:29" ht="16" x14ac:dyDescent="0.2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</row>
    <row r="136" spans="1:29" ht="16" x14ac:dyDescent="0.2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</row>
    <row r="137" spans="1:29" ht="16" x14ac:dyDescent="0.2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</row>
    <row r="138" spans="1:29" ht="16" x14ac:dyDescent="0.2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</row>
    <row r="139" spans="1:29" ht="16" x14ac:dyDescent="0.2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</row>
    <row r="140" spans="1:29" ht="16" x14ac:dyDescent="0.2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</row>
    <row r="141" spans="1:29" ht="16" x14ac:dyDescent="0.2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</row>
    <row r="142" spans="1:29" ht="16" x14ac:dyDescent="0.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</row>
    <row r="143" spans="1:29" ht="16" x14ac:dyDescent="0.2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</row>
    <row r="144" spans="1:29" ht="16" x14ac:dyDescent="0.2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</row>
    <row r="145" spans="1:29" ht="16" x14ac:dyDescent="0.2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</row>
    <row r="146" spans="1:29" ht="16" x14ac:dyDescent="0.2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</row>
    <row r="147" spans="1:29" ht="16" x14ac:dyDescent="0.2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</row>
    <row r="148" spans="1:29" ht="16" x14ac:dyDescent="0.2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</row>
    <row r="149" spans="1:29" ht="16" x14ac:dyDescent="0.2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</row>
    <row r="150" spans="1:29" ht="16" x14ac:dyDescent="0.2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</row>
    <row r="151" spans="1:29" ht="16" x14ac:dyDescent="0.2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</row>
    <row r="152" spans="1:29" ht="16" x14ac:dyDescent="0.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</row>
    <row r="153" spans="1:29" ht="16" x14ac:dyDescent="0.2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</row>
    <row r="154" spans="1:29" ht="16" x14ac:dyDescent="0.2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</row>
    <row r="155" spans="1:29" ht="16" x14ac:dyDescent="0.2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</row>
    <row r="156" spans="1:29" ht="16" x14ac:dyDescent="0.2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</row>
    <row r="157" spans="1:29" ht="16" x14ac:dyDescent="0.2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</row>
    <row r="158" spans="1:29" ht="16" x14ac:dyDescent="0.2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</row>
    <row r="159" spans="1:29" ht="16" x14ac:dyDescent="0.2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</row>
    <row r="160" spans="1:29" ht="16" x14ac:dyDescent="0.2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</row>
    <row r="161" spans="1:29" ht="16" x14ac:dyDescent="0.2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</row>
    <row r="162" spans="1:29" ht="16" x14ac:dyDescent="0.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</row>
    <row r="163" spans="1:29" ht="16" x14ac:dyDescent="0.2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</row>
    <row r="164" spans="1:29" ht="16" x14ac:dyDescent="0.2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</row>
    <row r="165" spans="1:29" ht="16" x14ac:dyDescent="0.2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</row>
    <row r="166" spans="1:29" ht="16" x14ac:dyDescent="0.2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</row>
    <row r="167" spans="1:29" ht="16" x14ac:dyDescent="0.2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</row>
    <row r="168" spans="1:29" ht="16" x14ac:dyDescent="0.2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</row>
    <row r="169" spans="1:29" ht="16" x14ac:dyDescent="0.2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</row>
    <row r="170" spans="1:29" ht="16" x14ac:dyDescent="0.2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</row>
    <row r="171" spans="1:29" ht="16" x14ac:dyDescent="0.2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</row>
    <row r="172" spans="1:29" ht="16" x14ac:dyDescent="0.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</row>
    <row r="173" spans="1:29" ht="16" x14ac:dyDescent="0.2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</row>
    <row r="174" spans="1:29" ht="16" x14ac:dyDescent="0.2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</row>
    <row r="175" spans="1:29" ht="16" x14ac:dyDescent="0.2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</row>
    <row r="176" spans="1:29" ht="16" x14ac:dyDescent="0.2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</row>
    <row r="177" spans="1:29" ht="16" x14ac:dyDescent="0.2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</row>
    <row r="178" spans="1:29" ht="16" x14ac:dyDescent="0.2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</row>
    <row r="179" spans="1:29" ht="16" x14ac:dyDescent="0.2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</row>
    <row r="180" spans="1:29" ht="16" x14ac:dyDescent="0.2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</row>
    <row r="181" spans="1:29" ht="16" x14ac:dyDescent="0.2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</row>
    <row r="182" spans="1:29" ht="16" x14ac:dyDescent="0.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</row>
    <row r="183" spans="1:29" ht="16" x14ac:dyDescent="0.2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</row>
    <row r="184" spans="1:29" ht="16" x14ac:dyDescent="0.2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</row>
    <row r="185" spans="1:29" ht="16" x14ac:dyDescent="0.2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</row>
    <row r="186" spans="1:29" ht="16" x14ac:dyDescent="0.2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</row>
    <row r="187" spans="1:29" ht="16" x14ac:dyDescent="0.2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</row>
    <row r="188" spans="1:29" ht="16" x14ac:dyDescent="0.2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</row>
    <row r="189" spans="1:29" ht="16" x14ac:dyDescent="0.2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</row>
    <row r="190" spans="1:29" ht="16" x14ac:dyDescent="0.2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</row>
    <row r="191" spans="1:29" ht="16" x14ac:dyDescent="0.2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</row>
    <row r="192" spans="1:29" ht="16" x14ac:dyDescent="0.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</row>
    <row r="193" spans="1:29" ht="16" x14ac:dyDescent="0.2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</row>
    <row r="194" spans="1:29" ht="16" x14ac:dyDescent="0.2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</row>
    <row r="195" spans="1:29" ht="16" x14ac:dyDescent="0.2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</row>
    <row r="196" spans="1:29" ht="16" x14ac:dyDescent="0.2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</row>
    <row r="197" spans="1:29" ht="16" x14ac:dyDescent="0.2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</row>
    <row r="198" spans="1:29" ht="16" x14ac:dyDescent="0.2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</row>
    <row r="199" spans="1:29" ht="16" x14ac:dyDescent="0.2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</row>
    <row r="200" spans="1:29" ht="16" x14ac:dyDescent="0.2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</row>
    <row r="201" spans="1:29" ht="16" x14ac:dyDescent="0.2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</row>
    <row r="202" spans="1:29" ht="16" x14ac:dyDescent="0.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</row>
    <row r="203" spans="1:29" ht="16" x14ac:dyDescent="0.2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</row>
    <row r="204" spans="1:29" ht="16" x14ac:dyDescent="0.2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</row>
    <row r="205" spans="1:29" ht="16" x14ac:dyDescent="0.2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</row>
    <row r="206" spans="1:29" ht="16" x14ac:dyDescent="0.2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</row>
    <row r="207" spans="1:29" ht="16" x14ac:dyDescent="0.2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</row>
    <row r="208" spans="1:29" ht="16" x14ac:dyDescent="0.2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</row>
    <row r="209" spans="1:29" ht="16" x14ac:dyDescent="0.2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</row>
    <row r="210" spans="1:29" ht="16" x14ac:dyDescent="0.2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</row>
    <row r="211" spans="1:29" ht="16" x14ac:dyDescent="0.2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</row>
    <row r="212" spans="1:29" ht="16" x14ac:dyDescent="0.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</row>
    <row r="213" spans="1:29" ht="16" x14ac:dyDescent="0.2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</row>
    <row r="214" spans="1:29" ht="16" x14ac:dyDescent="0.2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</row>
    <row r="215" spans="1:29" ht="16" x14ac:dyDescent="0.2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</row>
    <row r="216" spans="1:29" ht="16" x14ac:dyDescent="0.2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</row>
    <row r="217" spans="1:29" ht="16" x14ac:dyDescent="0.2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</row>
    <row r="218" spans="1:29" ht="16" x14ac:dyDescent="0.2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</row>
    <row r="219" spans="1:29" ht="16" x14ac:dyDescent="0.2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</row>
    <row r="220" spans="1:29" ht="16" x14ac:dyDescent="0.2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</row>
    <row r="221" spans="1:29" ht="16" x14ac:dyDescent="0.2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</row>
    <row r="222" spans="1:29" ht="16" x14ac:dyDescent="0.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</row>
    <row r="223" spans="1:29" ht="16" x14ac:dyDescent="0.2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</row>
    <row r="224" spans="1:29" ht="16" x14ac:dyDescent="0.2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</row>
    <row r="225" spans="1:29" ht="16" x14ac:dyDescent="0.2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</row>
    <row r="226" spans="1:29" ht="16" x14ac:dyDescent="0.2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</row>
    <row r="227" spans="1:29" ht="16" x14ac:dyDescent="0.2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</row>
    <row r="228" spans="1:29" ht="16" x14ac:dyDescent="0.2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</row>
    <row r="229" spans="1:29" ht="16" x14ac:dyDescent="0.2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</row>
    <row r="230" spans="1:29" ht="16" x14ac:dyDescent="0.2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</row>
    <row r="231" spans="1:29" ht="16" x14ac:dyDescent="0.2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</row>
    <row r="232" spans="1:29" ht="16" x14ac:dyDescent="0.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</row>
    <row r="233" spans="1:29" ht="16" x14ac:dyDescent="0.2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</row>
    <row r="234" spans="1:29" ht="16" x14ac:dyDescent="0.2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</row>
    <row r="235" spans="1:29" ht="16" x14ac:dyDescent="0.2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</row>
    <row r="236" spans="1:29" ht="16" x14ac:dyDescent="0.2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</row>
    <row r="237" spans="1:29" ht="16" x14ac:dyDescent="0.2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</row>
    <row r="238" spans="1:29" ht="16" x14ac:dyDescent="0.2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</row>
    <row r="239" spans="1:29" ht="16" x14ac:dyDescent="0.2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</row>
    <row r="240" spans="1:29" ht="16" x14ac:dyDescent="0.2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</row>
    <row r="241" spans="1:29" ht="16" x14ac:dyDescent="0.2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</row>
    <row r="242" spans="1:29" ht="16" x14ac:dyDescent="0.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</row>
    <row r="243" spans="1:29" ht="16" x14ac:dyDescent="0.2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</row>
    <row r="244" spans="1:29" ht="16" x14ac:dyDescent="0.2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</row>
    <row r="245" spans="1:29" ht="16" x14ac:dyDescent="0.2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</row>
    <row r="246" spans="1:29" ht="16" x14ac:dyDescent="0.2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</row>
    <row r="247" spans="1:29" ht="16" x14ac:dyDescent="0.2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</row>
    <row r="248" spans="1:29" ht="16" x14ac:dyDescent="0.2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</row>
    <row r="249" spans="1:29" ht="16" x14ac:dyDescent="0.2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</row>
    <row r="250" spans="1:29" ht="16" x14ac:dyDescent="0.2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</row>
    <row r="251" spans="1:29" ht="16" x14ac:dyDescent="0.2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</row>
    <row r="252" spans="1:29" ht="16" x14ac:dyDescent="0.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</row>
    <row r="253" spans="1:29" ht="16" x14ac:dyDescent="0.2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</row>
    <row r="254" spans="1:29" ht="16" x14ac:dyDescent="0.2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</row>
    <row r="255" spans="1:29" ht="16" x14ac:dyDescent="0.2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</row>
    <row r="256" spans="1:29" ht="16" x14ac:dyDescent="0.2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</row>
    <row r="257" spans="1:29" ht="16" x14ac:dyDescent="0.2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</row>
    <row r="258" spans="1:29" ht="16" x14ac:dyDescent="0.2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</row>
    <row r="259" spans="1:29" ht="16" x14ac:dyDescent="0.2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</row>
    <row r="260" spans="1:29" ht="16" x14ac:dyDescent="0.2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</row>
    <row r="261" spans="1:29" ht="16" x14ac:dyDescent="0.2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</row>
    <row r="262" spans="1:29" ht="16" x14ac:dyDescent="0.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</row>
    <row r="263" spans="1:29" ht="16" x14ac:dyDescent="0.2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</row>
    <row r="264" spans="1:29" ht="16" x14ac:dyDescent="0.2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</row>
    <row r="265" spans="1:29" ht="16" x14ac:dyDescent="0.2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</row>
    <row r="266" spans="1:29" ht="16" x14ac:dyDescent="0.2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</row>
    <row r="267" spans="1:29" ht="16" x14ac:dyDescent="0.2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</row>
    <row r="268" spans="1:29" ht="16" x14ac:dyDescent="0.2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</row>
    <row r="269" spans="1:29" ht="16" x14ac:dyDescent="0.2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</row>
    <row r="270" spans="1:29" ht="16" x14ac:dyDescent="0.2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</row>
    <row r="271" spans="1:29" ht="16" x14ac:dyDescent="0.2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</row>
    <row r="272" spans="1:29" ht="16" x14ac:dyDescent="0.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</row>
    <row r="273" spans="1:29" ht="16" x14ac:dyDescent="0.2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</row>
    <row r="274" spans="1:29" ht="16" x14ac:dyDescent="0.2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</row>
    <row r="275" spans="1:29" ht="16" x14ac:dyDescent="0.2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 spans="1:29" ht="16" x14ac:dyDescent="0.2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 spans="1:29" ht="16" x14ac:dyDescent="0.2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 spans="1:29" ht="16" x14ac:dyDescent="0.2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spans="1:29" ht="16" x14ac:dyDescent="0.2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spans="1:29" ht="16" x14ac:dyDescent="0.2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spans="1:29" ht="16" x14ac:dyDescent="0.2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6" x14ac:dyDescent="0.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6" x14ac:dyDescent="0.2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6" x14ac:dyDescent="0.2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6" x14ac:dyDescent="0.2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6" x14ac:dyDescent="0.2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6" x14ac:dyDescent="0.2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6" x14ac:dyDescent="0.2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6" x14ac:dyDescent="0.2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6" x14ac:dyDescent="0.2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6" x14ac:dyDescent="0.2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6" x14ac:dyDescent="0.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6" x14ac:dyDescent="0.2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6" x14ac:dyDescent="0.2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6" x14ac:dyDescent="0.2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6" x14ac:dyDescent="0.2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6" x14ac:dyDescent="0.2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6" x14ac:dyDescent="0.2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6" x14ac:dyDescent="0.2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6" x14ac:dyDescent="0.2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6" x14ac:dyDescent="0.2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6" x14ac:dyDescent="0.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6" x14ac:dyDescent="0.2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6" x14ac:dyDescent="0.2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6" x14ac:dyDescent="0.2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6" x14ac:dyDescent="0.2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6" x14ac:dyDescent="0.2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6" x14ac:dyDescent="0.2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6" x14ac:dyDescent="0.2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6" x14ac:dyDescent="0.2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6" x14ac:dyDescent="0.2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6" x14ac:dyDescent="0.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6" x14ac:dyDescent="0.2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6" x14ac:dyDescent="0.2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6" x14ac:dyDescent="0.2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6" x14ac:dyDescent="0.2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6" x14ac:dyDescent="0.2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6" x14ac:dyDescent="0.2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6" x14ac:dyDescent="0.2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6" x14ac:dyDescent="0.2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6" x14ac:dyDescent="0.2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6" x14ac:dyDescent="0.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6" x14ac:dyDescent="0.2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6" x14ac:dyDescent="0.2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6" x14ac:dyDescent="0.2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6" x14ac:dyDescent="0.2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6" x14ac:dyDescent="0.2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6" x14ac:dyDescent="0.2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6" x14ac:dyDescent="0.2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6" x14ac:dyDescent="0.2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6" x14ac:dyDescent="0.2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6" x14ac:dyDescent="0.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6" x14ac:dyDescent="0.2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6" x14ac:dyDescent="0.2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6" x14ac:dyDescent="0.2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6" x14ac:dyDescent="0.2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6" x14ac:dyDescent="0.2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6" x14ac:dyDescent="0.2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6" x14ac:dyDescent="0.2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6" x14ac:dyDescent="0.2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6" x14ac:dyDescent="0.2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6" x14ac:dyDescent="0.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6" x14ac:dyDescent="0.2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6" x14ac:dyDescent="0.2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6" x14ac:dyDescent="0.2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6" x14ac:dyDescent="0.2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6" x14ac:dyDescent="0.2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6" x14ac:dyDescent="0.2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6" x14ac:dyDescent="0.2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6" x14ac:dyDescent="0.2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6" x14ac:dyDescent="0.2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6" x14ac:dyDescent="0.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6" x14ac:dyDescent="0.2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6" x14ac:dyDescent="0.2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6" x14ac:dyDescent="0.2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6" x14ac:dyDescent="0.2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6" x14ac:dyDescent="0.2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6" x14ac:dyDescent="0.2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6" x14ac:dyDescent="0.2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6" x14ac:dyDescent="0.2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6" x14ac:dyDescent="0.2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6" x14ac:dyDescent="0.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6" x14ac:dyDescent="0.2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6" x14ac:dyDescent="0.2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6" x14ac:dyDescent="0.2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6" x14ac:dyDescent="0.2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6" x14ac:dyDescent="0.2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6" x14ac:dyDescent="0.2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6" x14ac:dyDescent="0.2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6" x14ac:dyDescent="0.2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6" x14ac:dyDescent="0.2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6" x14ac:dyDescent="0.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6" x14ac:dyDescent="0.2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6" x14ac:dyDescent="0.2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6" x14ac:dyDescent="0.2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6" x14ac:dyDescent="0.2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6" x14ac:dyDescent="0.2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6" x14ac:dyDescent="0.2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6" x14ac:dyDescent="0.2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6" x14ac:dyDescent="0.2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6" x14ac:dyDescent="0.2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6" x14ac:dyDescent="0.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6" x14ac:dyDescent="0.2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6" x14ac:dyDescent="0.2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6" x14ac:dyDescent="0.2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6" x14ac:dyDescent="0.2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6" x14ac:dyDescent="0.2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6" x14ac:dyDescent="0.2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6" x14ac:dyDescent="0.2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6" x14ac:dyDescent="0.2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6" x14ac:dyDescent="0.2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6" x14ac:dyDescent="0.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6" x14ac:dyDescent="0.2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6" x14ac:dyDescent="0.2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6" x14ac:dyDescent="0.2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6" x14ac:dyDescent="0.2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6" x14ac:dyDescent="0.2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6" x14ac:dyDescent="0.2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6" x14ac:dyDescent="0.2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6" x14ac:dyDescent="0.2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6" x14ac:dyDescent="0.2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6" x14ac:dyDescent="0.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6" x14ac:dyDescent="0.2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6" x14ac:dyDescent="0.2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6" x14ac:dyDescent="0.2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6" x14ac:dyDescent="0.2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6" x14ac:dyDescent="0.2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6" x14ac:dyDescent="0.2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6" x14ac:dyDescent="0.2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6" x14ac:dyDescent="0.2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6" x14ac:dyDescent="0.2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6" x14ac:dyDescent="0.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6" x14ac:dyDescent="0.2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6" x14ac:dyDescent="0.2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6" x14ac:dyDescent="0.2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6" x14ac:dyDescent="0.2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6" x14ac:dyDescent="0.2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6" x14ac:dyDescent="0.2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6" x14ac:dyDescent="0.2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6" x14ac:dyDescent="0.2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6" x14ac:dyDescent="0.2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6" x14ac:dyDescent="0.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6" x14ac:dyDescent="0.2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6" x14ac:dyDescent="0.2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6" x14ac:dyDescent="0.2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6" x14ac:dyDescent="0.2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6" x14ac:dyDescent="0.2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6" x14ac:dyDescent="0.2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6" x14ac:dyDescent="0.2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6" x14ac:dyDescent="0.2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6" x14ac:dyDescent="0.2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6" x14ac:dyDescent="0.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6" x14ac:dyDescent="0.2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6" x14ac:dyDescent="0.2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6" x14ac:dyDescent="0.2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6" x14ac:dyDescent="0.2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6" x14ac:dyDescent="0.2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6" x14ac:dyDescent="0.2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6" x14ac:dyDescent="0.2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6" x14ac:dyDescent="0.2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6" x14ac:dyDescent="0.2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6" x14ac:dyDescent="0.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6" x14ac:dyDescent="0.2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6" x14ac:dyDescent="0.2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6" x14ac:dyDescent="0.2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6" x14ac:dyDescent="0.2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6" x14ac:dyDescent="0.2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6" x14ac:dyDescent="0.2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6" x14ac:dyDescent="0.2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6" x14ac:dyDescent="0.2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6" x14ac:dyDescent="0.2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6" x14ac:dyDescent="0.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6" x14ac:dyDescent="0.2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6" x14ac:dyDescent="0.2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6" x14ac:dyDescent="0.2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6" x14ac:dyDescent="0.2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6" x14ac:dyDescent="0.2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6" x14ac:dyDescent="0.2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6" x14ac:dyDescent="0.2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6" x14ac:dyDescent="0.2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6" x14ac:dyDescent="0.2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6" x14ac:dyDescent="0.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6" x14ac:dyDescent="0.2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6" x14ac:dyDescent="0.2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6" x14ac:dyDescent="0.2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6" x14ac:dyDescent="0.2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6" x14ac:dyDescent="0.2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6" x14ac:dyDescent="0.2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6" x14ac:dyDescent="0.2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6" x14ac:dyDescent="0.2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6" x14ac:dyDescent="0.2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6" x14ac:dyDescent="0.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6" x14ac:dyDescent="0.2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6" x14ac:dyDescent="0.2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6" x14ac:dyDescent="0.2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6" x14ac:dyDescent="0.2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6" x14ac:dyDescent="0.2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6" x14ac:dyDescent="0.2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6" x14ac:dyDescent="0.2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6" x14ac:dyDescent="0.2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6" x14ac:dyDescent="0.2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6" x14ac:dyDescent="0.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6" x14ac:dyDescent="0.2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6" x14ac:dyDescent="0.2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6" x14ac:dyDescent="0.2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6" x14ac:dyDescent="0.2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6" x14ac:dyDescent="0.2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6" x14ac:dyDescent="0.2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6" x14ac:dyDescent="0.2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6" x14ac:dyDescent="0.2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6" x14ac:dyDescent="0.2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6" x14ac:dyDescent="0.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6" x14ac:dyDescent="0.2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6" x14ac:dyDescent="0.2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6" x14ac:dyDescent="0.2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6" x14ac:dyDescent="0.2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6" x14ac:dyDescent="0.2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6" x14ac:dyDescent="0.2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6" x14ac:dyDescent="0.2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6" x14ac:dyDescent="0.2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6" x14ac:dyDescent="0.2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6" x14ac:dyDescent="0.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6" x14ac:dyDescent="0.2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6" x14ac:dyDescent="0.2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6" x14ac:dyDescent="0.2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6" x14ac:dyDescent="0.2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6" x14ac:dyDescent="0.2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6" x14ac:dyDescent="0.2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6" x14ac:dyDescent="0.2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6" x14ac:dyDescent="0.2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6" x14ac:dyDescent="0.2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6" x14ac:dyDescent="0.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6" x14ac:dyDescent="0.2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6" x14ac:dyDescent="0.2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6" x14ac:dyDescent="0.2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6" x14ac:dyDescent="0.2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6" x14ac:dyDescent="0.2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6" x14ac:dyDescent="0.2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6" x14ac:dyDescent="0.2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6" x14ac:dyDescent="0.2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6" x14ac:dyDescent="0.2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6" x14ac:dyDescent="0.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6" x14ac:dyDescent="0.2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6" x14ac:dyDescent="0.2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6" x14ac:dyDescent="0.2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6" x14ac:dyDescent="0.2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6" x14ac:dyDescent="0.2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6" x14ac:dyDescent="0.2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6" x14ac:dyDescent="0.2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6" x14ac:dyDescent="0.2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6" x14ac:dyDescent="0.2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6" x14ac:dyDescent="0.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6" x14ac:dyDescent="0.2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6" x14ac:dyDescent="0.2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6" x14ac:dyDescent="0.2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6" x14ac:dyDescent="0.2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6" x14ac:dyDescent="0.2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6" x14ac:dyDescent="0.2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6" x14ac:dyDescent="0.2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6" x14ac:dyDescent="0.2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6" x14ac:dyDescent="0.2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6" x14ac:dyDescent="0.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6" x14ac:dyDescent="0.2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6" x14ac:dyDescent="0.2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6" x14ac:dyDescent="0.2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6" x14ac:dyDescent="0.2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6" x14ac:dyDescent="0.2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6" x14ac:dyDescent="0.2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6" x14ac:dyDescent="0.2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6" x14ac:dyDescent="0.2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6" x14ac:dyDescent="0.2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6" x14ac:dyDescent="0.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6" x14ac:dyDescent="0.2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6" x14ac:dyDescent="0.2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6" x14ac:dyDescent="0.2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6" x14ac:dyDescent="0.2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6" x14ac:dyDescent="0.2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6" x14ac:dyDescent="0.2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6" x14ac:dyDescent="0.2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6" x14ac:dyDescent="0.2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6" x14ac:dyDescent="0.2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6" x14ac:dyDescent="0.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6" x14ac:dyDescent="0.2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6" x14ac:dyDescent="0.2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6" x14ac:dyDescent="0.2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6" x14ac:dyDescent="0.2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6" x14ac:dyDescent="0.2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6" x14ac:dyDescent="0.2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6" x14ac:dyDescent="0.2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6" x14ac:dyDescent="0.2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6" x14ac:dyDescent="0.2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6" x14ac:dyDescent="0.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6" x14ac:dyDescent="0.2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6" x14ac:dyDescent="0.2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6" x14ac:dyDescent="0.2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6" x14ac:dyDescent="0.2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6" x14ac:dyDescent="0.2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6" x14ac:dyDescent="0.2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6" x14ac:dyDescent="0.2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6" x14ac:dyDescent="0.2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6" x14ac:dyDescent="0.2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6" x14ac:dyDescent="0.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6" x14ac:dyDescent="0.2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6" x14ac:dyDescent="0.2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6" x14ac:dyDescent="0.2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6" x14ac:dyDescent="0.2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6" x14ac:dyDescent="0.2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6" x14ac:dyDescent="0.2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6" x14ac:dyDescent="0.2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6" x14ac:dyDescent="0.2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6" x14ac:dyDescent="0.2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6" x14ac:dyDescent="0.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6" x14ac:dyDescent="0.2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6" x14ac:dyDescent="0.2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6" x14ac:dyDescent="0.2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6" x14ac:dyDescent="0.2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6" x14ac:dyDescent="0.2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6" x14ac:dyDescent="0.2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6" x14ac:dyDescent="0.2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6" x14ac:dyDescent="0.2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6" x14ac:dyDescent="0.2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6" x14ac:dyDescent="0.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6" x14ac:dyDescent="0.2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6" x14ac:dyDescent="0.2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6" x14ac:dyDescent="0.2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6" x14ac:dyDescent="0.2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6" x14ac:dyDescent="0.2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6" x14ac:dyDescent="0.2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6" x14ac:dyDescent="0.2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6" x14ac:dyDescent="0.2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6" x14ac:dyDescent="0.2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6" x14ac:dyDescent="0.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6" x14ac:dyDescent="0.2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6" x14ac:dyDescent="0.2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6" x14ac:dyDescent="0.2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6" x14ac:dyDescent="0.2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6" x14ac:dyDescent="0.2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6" x14ac:dyDescent="0.2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6" x14ac:dyDescent="0.2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6" x14ac:dyDescent="0.2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6" x14ac:dyDescent="0.2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6" x14ac:dyDescent="0.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6" x14ac:dyDescent="0.2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6" x14ac:dyDescent="0.2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6" x14ac:dyDescent="0.2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6" x14ac:dyDescent="0.2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6" x14ac:dyDescent="0.2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6" x14ac:dyDescent="0.2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6" x14ac:dyDescent="0.2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6" x14ac:dyDescent="0.2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6" x14ac:dyDescent="0.2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6" x14ac:dyDescent="0.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6" x14ac:dyDescent="0.2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6" x14ac:dyDescent="0.2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6" x14ac:dyDescent="0.2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6" x14ac:dyDescent="0.2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6" x14ac:dyDescent="0.2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6" x14ac:dyDescent="0.2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6" x14ac:dyDescent="0.2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6" x14ac:dyDescent="0.2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6" x14ac:dyDescent="0.2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6" x14ac:dyDescent="0.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6" x14ac:dyDescent="0.2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6" x14ac:dyDescent="0.2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6" x14ac:dyDescent="0.2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6" x14ac:dyDescent="0.2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6" x14ac:dyDescent="0.2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6" x14ac:dyDescent="0.2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6" x14ac:dyDescent="0.2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6" x14ac:dyDescent="0.2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6" x14ac:dyDescent="0.2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6" x14ac:dyDescent="0.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6" x14ac:dyDescent="0.2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6" x14ac:dyDescent="0.2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6" x14ac:dyDescent="0.2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6" x14ac:dyDescent="0.2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6" x14ac:dyDescent="0.2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6" x14ac:dyDescent="0.2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6" x14ac:dyDescent="0.2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6" x14ac:dyDescent="0.2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6" x14ac:dyDescent="0.2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6" x14ac:dyDescent="0.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6" x14ac:dyDescent="0.2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6" x14ac:dyDescent="0.2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6" x14ac:dyDescent="0.2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6" x14ac:dyDescent="0.2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6" x14ac:dyDescent="0.2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6" x14ac:dyDescent="0.2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6" x14ac:dyDescent="0.2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6" x14ac:dyDescent="0.2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6" x14ac:dyDescent="0.2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6" x14ac:dyDescent="0.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6" x14ac:dyDescent="0.2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6" x14ac:dyDescent="0.2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6" x14ac:dyDescent="0.2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6" x14ac:dyDescent="0.2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6" x14ac:dyDescent="0.2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6" x14ac:dyDescent="0.2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6" x14ac:dyDescent="0.2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6" x14ac:dyDescent="0.2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6" x14ac:dyDescent="0.2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6" x14ac:dyDescent="0.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6" x14ac:dyDescent="0.2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6" x14ac:dyDescent="0.2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6" x14ac:dyDescent="0.2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6" x14ac:dyDescent="0.2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6" x14ac:dyDescent="0.2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6" x14ac:dyDescent="0.2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6" x14ac:dyDescent="0.2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6" x14ac:dyDescent="0.2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6" x14ac:dyDescent="0.2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6" x14ac:dyDescent="0.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6" x14ac:dyDescent="0.2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6" x14ac:dyDescent="0.2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6" x14ac:dyDescent="0.2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6" x14ac:dyDescent="0.2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6" x14ac:dyDescent="0.2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6" x14ac:dyDescent="0.2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6" x14ac:dyDescent="0.2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6" x14ac:dyDescent="0.2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6" x14ac:dyDescent="0.2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6" x14ac:dyDescent="0.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6" x14ac:dyDescent="0.2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6" x14ac:dyDescent="0.2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6" x14ac:dyDescent="0.2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6" x14ac:dyDescent="0.2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6" x14ac:dyDescent="0.2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6" x14ac:dyDescent="0.2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6" x14ac:dyDescent="0.2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6" x14ac:dyDescent="0.2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6" x14ac:dyDescent="0.2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6" x14ac:dyDescent="0.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6" x14ac:dyDescent="0.2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6" x14ac:dyDescent="0.2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6" x14ac:dyDescent="0.2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6" x14ac:dyDescent="0.2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6" x14ac:dyDescent="0.2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6" x14ac:dyDescent="0.2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6" x14ac:dyDescent="0.2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6" x14ac:dyDescent="0.2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6" x14ac:dyDescent="0.2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6" x14ac:dyDescent="0.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6" x14ac:dyDescent="0.2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6" x14ac:dyDescent="0.2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6" x14ac:dyDescent="0.2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6" x14ac:dyDescent="0.2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6" x14ac:dyDescent="0.2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6" x14ac:dyDescent="0.2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6" x14ac:dyDescent="0.2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6" x14ac:dyDescent="0.2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6" x14ac:dyDescent="0.2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6" x14ac:dyDescent="0.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6" x14ac:dyDescent="0.2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6" x14ac:dyDescent="0.2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6" x14ac:dyDescent="0.2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6" x14ac:dyDescent="0.2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6" x14ac:dyDescent="0.2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6" x14ac:dyDescent="0.2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6" x14ac:dyDescent="0.2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6" x14ac:dyDescent="0.2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6" x14ac:dyDescent="0.2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6" x14ac:dyDescent="0.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6" x14ac:dyDescent="0.2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6" x14ac:dyDescent="0.2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6" x14ac:dyDescent="0.2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6" x14ac:dyDescent="0.2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6" x14ac:dyDescent="0.2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6" x14ac:dyDescent="0.2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6" x14ac:dyDescent="0.2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6" x14ac:dyDescent="0.2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6" x14ac:dyDescent="0.2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6" x14ac:dyDescent="0.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6" x14ac:dyDescent="0.2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6" x14ac:dyDescent="0.2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6" x14ac:dyDescent="0.2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6" x14ac:dyDescent="0.2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6" x14ac:dyDescent="0.2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6" x14ac:dyDescent="0.2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6" x14ac:dyDescent="0.2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6" x14ac:dyDescent="0.2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6" x14ac:dyDescent="0.2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6" x14ac:dyDescent="0.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6" x14ac:dyDescent="0.2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6" x14ac:dyDescent="0.2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6" x14ac:dyDescent="0.2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6" x14ac:dyDescent="0.2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6" x14ac:dyDescent="0.2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6" x14ac:dyDescent="0.2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6" x14ac:dyDescent="0.2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6" x14ac:dyDescent="0.2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6" x14ac:dyDescent="0.2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6" x14ac:dyDescent="0.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6" x14ac:dyDescent="0.2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6" x14ac:dyDescent="0.2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6" x14ac:dyDescent="0.2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6" x14ac:dyDescent="0.2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6" x14ac:dyDescent="0.2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6" x14ac:dyDescent="0.2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6" x14ac:dyDescent="0.2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6" x14ac:dyDescent="0.2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6" x14ac:dyDescent="0.2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6" x14ac:dyDescent="0.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6" x14ac:dyDescent="0.2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6" x14ac:dyDescent="0.2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6" x14ac:dyDescent="0.2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6" x14ac:dyDescent="0.2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6" x14ac:dyDescent="0.2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6" x14ac:dyDescent="0.2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6" x14ac:dyDescent="0.2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6" x14ac:dyDescent="0.2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6" x14ac:dyDescent="0.2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6" x14ac:dyDescent="0.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6" x14ac:dyDescent="0.2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6" x14ac:dyDescent="0.2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6" x14ac:dyDescent="0.2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6" x14ac:dyDescent="0.2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6" x14ac:dyDescent="0.2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6" x14ac:dyDescent="0.2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6" x14ac:dyDescent="0.2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6" x14ac:dyDescent="0.2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6" x14ac:dyDescent="0.2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6" x14ac:dyDescent="0.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6" x14ac:dyDescent="0.2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6" x14ac:dyDescent="0.2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6" x14ac:dyDescent="0.2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6" x14ac:dyDescent="0.2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6" x14ac:dyDescent="0.2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6" x14ac:dyDescent="0.2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6" x14ac:dyDescent="0.2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6" x14ac:dyDescent="0.2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6" x14ac:dyDescent="0.2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6" x14ac:dyDescent="0.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6" x14ac:dyDescent="0.2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6" x14ac:dyDescent="0.2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6" x14ac:dyDescent="0.2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6" x14ac:dyDescent="0.2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6" x14ac:dyDescent="0.2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6" x14ac:dyDescent="0.2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6" x14ac:dyDescent="0.2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6" x14ac:dyDescent="0.2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6" x14ac:dyDescent="0.2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6" x14ac:dyDescent="0.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6" x14ac:dyDescent="0.2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6" x14ac:dyDescent="0.2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6" x14ac:dyDescent="0.2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6" x14ac:dyDescent="0.2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6" x14ac:dyDescent="0.2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6" x14ac:dyDescent="0.2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6" x14ac:dyDescent="0.2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6" x14ac:dyDescent="0.2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6" x14ac:dyDescent="0.2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6" x14ac:dyDescent="0.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6" x14ac:dyDescent="0.2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6" x14ac:dyDescent="0.2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6" x14ac:dyDescent="0.2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6" x14ac:dyDescent="0.2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6" x14ac:dyDescent="0.2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6" x14ac:dyDescent="0.2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6" x14ac:dyDescent="0.2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6" x14ac:dyDescent="0.2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6" x14ac:dyDescent="0.2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6" x14ac:dyDescent="0.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6" x14ac:dyDescent="0.2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6" x14ac:dyDescent="0.2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6" x14ac:dyDescent="0.2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6" x14ac:dyDescent="0.2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6" x14ac:dyDescent="0.2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6" x14ac:dyDescent="0.2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6" x14ac:dyDescent="0.2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6" x14ac:dyDescent="0.2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6" x14ac:dyDescent="0.2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6" x14ac:dyDescent="0.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6" x14ac:dyDescent="0.2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6" x14ac:dyDescent="0.2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6" x14ac:dyDescent="0.2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6" x14ac:dyDescent="0.2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6" x14ac:dyDescent="0.2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6" x14ac:dyDescent="0.2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6" x14ac:dyDescent="0.2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6" x14ac:dyDescent="0.2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6" x14ac:dyDescent="0.2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6" x14ac:dyDescent="0.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6" x14ac:dyDescent="0.2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6" x14ac:dyDescent="0.2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6" x14ac:dyDescent="0.2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6" x14ac:dyDescent="0.2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6" x14ac:dyDescent="0.2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6" x14ac:dyDescent="0.2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6" x14ac:dyDescent="0.2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6" x14ac:dyDescent="0.2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6" x14ac:dyDescent="0.2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6" x14ac:dyDescent="0.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6" x14ac:dyDescent="0.2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6" x14ac:dyDescent="0.2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6" x14ac:dyDescent="0.2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6" x14ac:dyDescent="0.2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6" x14ac:dyDescent="0.2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6" x14ac:dyDescent="0.2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6" x14ac:dyDescent="0.2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6" x14ac:dyDescent="0.2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6" x14ac:dyDescent="0.2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6" x14ac:dyDescent="0.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6" x14ac:dyDescent="0.2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6" x14ac:dyDescent="0.2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6" x14ac:dyDescent="0.2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6" x14ac:dyDescent="0.2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6" x14ac:dyDescent="0.2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6" x14ac:dyDescent="0.2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6" x14ac:dyDescent="0.2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6" x14ac:dyDescent="0.2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6" x14ac:dyDescent="0.2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6" x14ac:dyDescent="0.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6" x14ac:dyDescent="0.2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6" x14ac:dyDescent="0.2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6" x14ac:dyDescent="0.2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6" x14ac:dyDescent="0.2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6" x14ac:dyDescent="0.2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6" x14ac:dyDescent="0.2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6" x14ac:dyDescent="0.2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6" x14ac:dyDescent="0.2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6" x14ac:dyDescent="0.2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6" x14ac:dyDescent="0.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6" x14ac:dyDescent="0.2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6" x14ac:dyDescent="0.2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6" x14ac:dyDescent="0.2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6" x14ac:dyDescent="0.2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6" x14ac:dyDescent="0.2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6" x14ac:dyDescent="0.2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6" x14ac:dyDescent="0.2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6" x14ac:dyDescent="0.2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6" x14ac:dyDescent="0.2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6" x14ac:dyDescent="0.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6" x14ac:dyDescent="0.2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6" x14ac:dyDescent="0.2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6" x14ac:dyDescent="0.2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6" x14ac:dyDescent="0.2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6" x14ac:dyDescent="0.2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6" x14ac:dyDescent="0.2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6" x14ac:dyDescent="0.2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6" x14ac:dyDescent="0.2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6" x14ac:dyDescent="0.2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6" x14ac:dyDescent="0.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6" x14ac:dyDescent="0.2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6" x14ac:dyDescent="0.2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6" x14ac:dyDescent="0.2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6" x14ac:dyDescent="0.2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6" x14ac:dyDescent="0.2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6" x14ac:dyDescent="0.2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6" x14ac:dyDescent="0.2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6" x14ac:dyDescent="0.2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6" x14ac:dyDescent="0.2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6" x14ac:dyDescent="0.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6" x14ac:dyDescent="0.2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6" x14ac:dyDescent="0.2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6" x14ac:dyDescent="0.2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6" x14ac:dyDescent="0.2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6" x14ac:dyDescent="0.2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6" x14ac:dyDescent="0.2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6" x14ac:dyDescent="0.2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6" x14ac:dyDescent="0.2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6" x14ac:dyDescent="0.2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6" x14ac:dyDescent="0.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6" x14ac:dyDescent="0.2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6" x14ac:dyDescent="0.2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6" x14ac:dyDescent="0.2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6" x14ac:dyDescent="0.2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6" x14ac:dyDescent="0.2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6" x14ac:dyDescent="0.2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6" x14ac:dyDescent="0.2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6" x14ac:dyDescent="0.2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6" x14ac:dyDescent="0.2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6" x14ac:dyDescent="0.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6" x14ac:dyDescent="0.2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6" x14ac:dyDescent="0.2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6" x14ac:dyDescent="0.2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6" x14ac:dyDescent="0.2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6" x14ac:dyDescent="0.2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6" x14ac:dyDescent="0.2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6" x14ac:dyDescent="0.2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spans="1:29" ht="16" x14ac:dyDescent="0.2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spans="1:29" ht="16" x14ac:dyDescent="0.2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 spans="1:29" ht="16" x14ac:dyDescent="0.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 spans="1:29" ht="16" x14ac:dyDescent="0.2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 spans="1:29" ht="16" x14ac:dyDescent="0.2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</row>
    <row r="965" spans="1:29" ht="16" x14ac:dyDescent="0.2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</row>
    <row r="966" spans="1:29" ht="16" x14ac:dyDescent="0.2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</row>
    <row r="967" spans="1:29" ht="16" x14ac:dyDescent="0.2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</row>
    <row r="968" spans="1:29" ht="16" x14ac:dyDescent="0.2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</row>
    <row r="969" spans="1:29" ht="16" x14ac:dyDescent="0.2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</row>
    <row r="970" spans="1:29" ht="16" x14ac:dyDescent="0.2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</row>
    <row r="971" spans="1:29" ht="16" x14ac:dyDescent="0.2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</row>
    <row r="972" spans="1:29" ht="16" x14ac:dyDescent="0.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</row>
    <row r="973" spans="1:29" ht="16" x14ac:dyDescent="0.2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</row>
    <row r="974" spans="1:29" ht="16" x14ac:dyDescent="0.2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</row>
    <row r="975" spans="1:29" ht="16" x14ac:dyDescent="0.2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</row>
    <row r="976" spans="1:29" ht="16" x14ac:dyDescent="0.2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</row>
    <row r="977" spans="1:29" ht="16" x14ac:dyDescent="0.2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</row>
    <row r="978" spans="1:29" ht="16" x14ac:dyDescent="0.2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</row>
    <row r="979" spans="1:29" ht="16" x14ac:dyDescent="0.2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</row>
    <row r="980" spans="1:29" ht="16" x14ac:dyDescent="0.2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</row>
    <row r="981" spans="1:29" ht="16" x14ac:dyDescent="0.2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</row>
    <row r="982" spans="1:29" ht="16" x14ac:dyDescent="0.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</row>
    <row r="983" spans="1:29" ht="16" x14ac:dyDescent="0.2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</row>
    <row r="984" spans="1:29" ht="16" x14ac:dyDescent="0.2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</row>
    <row r="985" spans="1:29" ht="16" x14ac:dyDescent="0.2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</row>
    <row r="986" spans="1:29" ht="16" x14ac:dyDescent="0.2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</row>
    <row r="987" spans="1:29" ht="16" x14ac:dyDescent="0.2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</row>
    <row r="988" spans="1:29" ht="16" x14ac:dyDescent="0.2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</row>
    <row r="989" spans="1:29" ht="16" x14ac:dyDescent="0.2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</row>
    <row r="990" spans="1:29" ht="16" x14ac:dyDescent="0.2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</row>
    <row r="991" spans="1:29" ht="16" x14ac:dyDescent="0.2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</row>
    <row r="992" spans="1:29" ht="16" x14ac:dyDescent="0.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</row>
    <row r="993" spans="1:29" ht="16" x14ac:dyDescent="0.2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</row>
    <row r="994" spans="1:29" ht="16" x14ac:dyDescent="0.2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</row>
    <row r="995" spans="1:29" ht="16" x14ac:dyDescent="0.2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</row>
    <row r="996" spans="1:29" ht="16" x14ac:dyDescent="0.2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</row>
    <row r="997" spans="1:29" ht="16" x14ac:dyDescent="0.2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</row>
    <row r="998" spans="1:29" ht="16" x14ac:dyDescent="0.2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</row>
    <row r="999" spans="1:29" ht="16" x14ac:dyDescent="0.2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</row>
    <row r="1000" spans="1:29" ht="16" x14ac:dyDescent="0.2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</row>
    <row r="1001" spans="1:29" ht="16" x14ac:dyDescent="0.2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6"/>
      <c r="L1001" s="76"/>
      <c r="M1001" s="76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  <c r="Y1001" s="76"/>
      <c r="Z1001" s="76"/>
      <c r="AA1001" s="76"/>
      <c r="AB1001" s="76"/>
      <c r="AC1001" s="76"/>
    </row>
    <row r="1002" spans="1:29" ht="16" x14ac:dyDescent="0.2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6"/>
      <c r="L1002" s="76"/>
      <c r="M1002" s="76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  <c r="Y1002" s="76"/>
      <c r="Z1002" s="76"/>
      <c r="AA1002" s="76"/>
      <c r="AB1002" s="76"/>
      <c r="AC1002" s="76"/>
    </row>
    <row r="1003" spans="1:29" ht="16" x14ac:dyDescent="0.2">
      <c r="A1003" s="76"/>
      <c r="B1003" s="76"/>
      <c r="C1003" s="76"/>
      <c r="D1003" s="76"/>
      <c r="E1003" s="76"/>
      <c r="F1003" s="76"/>
      <c r="G1003" s="76"/>
      <c r="H1003" s="76"/>
      <c r="I1003" s="76"/>
      <c r="J1003" s="76"/>
      <c r="K1003" s="76"/>
      <c r="L1003" s="76"/>
      <c r="M1003" s="76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  <c r="Y1003" s="76"/>
      <c r="Z1003" s="76"/>
      <c r="AA1003" s="76"/>
      <c r="AB1003" s="76"/>
      <c r="AC1003" s="76"/>
    </row>
  </sheetData>
  <mergeCells count="15">
    <mergeCell ref="G25:G33"/>
    <mergeCell ref="I23:O23"/>
    <mergeCell ref="S23:Y23"/>
    <mergeCell ref="Q25:Q33"/>
    <mergeCell ref="I22:O22"/>
    <mergeCell ref="S22:Y22"/>
    <mergeCell ref="H22:H23"/>
    <mergeCell ref="R22:R23"/>
    <mergeCell ref="A13:B13"/>
    <mergeCell ref="A18:B18"/>
    <mergeCell ref="A1:R1"/>
    <mergeCell ref="A2:R2"/>
    <mergeCell ref="A3:R3"/>
    <mergeCell ref="B4:G4"/>
    <mergeCell ref="H4:Q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E391-8079-7F48-9DAB-9F05128BB056}">
  <dimension ref="A1:G99"/>
  <sheetViews>
    <sheetView topLeftCell="A54" workbookViewId="0">
      <selection activeCell="B104" sqref="B104"/>
    </sheetView>
  </sheetViews>
  <sheetFormatPr baseColWidth="10" defaultColWidth="11.5" defaultRowHeight="14" x14ac:dyDescent="0.15"/>
  <cols>
    <col min="1" max="1" width="54.83203125" style="149" bestFit="1" customWidth="1"/>
    <col min="2" max="2" width="32.33203125" style="149" bestFit="1" customWidth="1"/>
    <col min="3" max="3" width="112.1640625" style="149" bestFit="1" customWidth="1"/>
    <col min="4" max="16384" width="11.5" style="149"/>
  </cols>
  <sheetData>
    <row r="1" spans="1:3" x14ac:dyDescent="0.15">
      <c r="A1" s="269" t="s">
        <v>360</v>
      </c>
    </row>
    <row r="3" spans="1:3" x14ac:dyDescent="0.15">
      <c r="A3" s="487" t="s">
        <v>361</v>
      </c>
      <c r="B3" s="487" t="s">
        <v>362</v>
      </c>
      <c r="C3" s="487" t="s">
        <v>363</v>
      </c>
    </row>
    <row r="4" spans="1:3" x14ac:dyDescent="0.15">
      <c r="A4" s="269" t="s">
        <v>93</v>
      </c>
      <c r="B4" s="114" t="s">
        <v>364</v>
      </c>
      <c r="C4" s="114" t="s">
        <v>365</v>
      </c>
    </row>
    <row r="5" spans="1:3" x14ac:dyDescent="0.15">
      <c r="A5" s="269" t="s">
        <v>94</v>
      </c>
      <c r="B5" s="114" t="s">
        <v>364</v>
      </c>
      <c r="C5" s="114" t="s">
        <v>366</v>
      </c>
    </row>
    <row r="6" spans="1:3" x14ac:dyDescent="0.15">
      <c r="A6" s="269" t="s">
        <v>95</v>
      </c>
      <c r="B6" s="114" t="s">
        <v>296</v>
      </c>
      <c r="C6" s="114" t="s">
        <v>367</v>
      </c>
    </row>
    <row r="7" spans="1:3" x14ac:dyDescent="0.15">
      <c r="A7" s="269" t="s">
        <v>96</v>
      </c>
      <c r="B7" s="114" t="s">
        <v>364</v>
      </c>
      <c r="C7" s="114" t="s">
        <v>368</v>
      </c>
    </row>
    <row r="8" spans="1:3" x14ac:dyDescent="0.15">
      <c r="A8" s="269" t="s">
        <v>369</v>
      </c>
      <c r="B8" s="114" t="s">
        <v>296</v>
      </c>
      <c r="C8" s="114" t="s">
        <v>370</v>
      </c>
    </row>
    <row r="9" spans="1:3" x14ac:dyDescent="0.15">
      <c r="A9" s="269" t="s">
        <v>98</v>
      </c>
      <c r="B9" s="114" t="s">
        <v>371</v>
      </c>
      <c r="C9" s="114" t="s">
        <v>372</v>
      </c>
    </row>
    <row r="10" spans="1:3" x14ac:dyDescent="0.15">
      <c r="A10" s="269" t="s">
        <v>373</v>
      </c>
      <c r="B10" s="114" t="s">
        <v>371</v>
      </c>
      <c r="C10" s="114" t="s">
        <v>374</v>
      </c>
    </row>
    <row r="11" spans="1:3" x14ac:dyDescent="0.15">
      <c r="A11" s="269" t="s">
        <v>101</v>
      </c>
      <c r="B11" s="114" t="s">
        <v>375</v>
      </c>
      <c r="C11" s="114" t="s">
        <v>376</v>
      </c>
    </row>
    <row r="12" spans="1:3" x14ac:dyDescent="0.15">
      <c r="A12" s="269" t="s">
        <v>103</v>
      </c>
      <c r="B12" s="114" t="s">
        <v>375</v>
      </c>
      <c r="C12" s="114" t="s">
        <v>377</v>
      </c>
    </row>
    <row r="13" spans="1:3" x14ac:dyDescent="0.15">
      <c r="A13" s="269" t="s">
        <v>378</v>
      </c>
      <c r="B13" s="114" t="s">
        <v>296</v>
      </c>
      <c r="C13" s="114" t="s">
        <v>379</v>
      </c>
    </row>
    <row r="14" spans="1:3" x14ac:dyDescent="0.15">
      <c r="A14" s="269" t="s">
        <v>105</v>
      </c>
      <c r="B14" s="114" t="s">
        <v>380</v>
      </c>
      <c r="C14" s="114" t="s">
        <v>381</v>
      </c>
    </row>
    <row r="15" spans="1:3" x14ac:dyDescent="0.15">
      <c r="A15" s="269" t="s">
        <v>134</v>
      </c>
      <c r="B15" s="114" t="s">
        <v>296</v>
      </c>
      <c r="C15" s="114" t="s">
        <v>382</v>
      </c>
    </row>
    <row r="16" spans="1:3" x14ac:dyDescent="0.15">
      <c r="A16" s="269" t="s">
        <v>107</v>
      </c>
      <c r="B16" s="114" t="s">
        <v>375</v>
      </c>
      <c r="C16" s="114" t="s">
        <v>383</v>
      </c>
    </row>
    <row r="17" spans="1:3" x14ac:dyDescent="0.15">
      <c r="A17" s="269" t="s">
        <v>108</v>
      </c>
      <c r="B17" s="114" t="s">
        <v>375</v>
      </c>
      <c r="C17" s="114" t="s">
        <v>384</v>
      </c>
    </row>
    <row r="18" spans="1:3" x14ac:dyDescent="0.15">
      <c r="A18" s="269" t="s">
        <v>109</v>
      </c>
      <c r="B18" s="114" t="s">
        <v>375</v>
      </c>
      <c r="C18" s="114" t="s">
        <v>384</v>
      </c>
    </row>
    <row r="19" spans="1:3" x14ac:dyDescent="0.15">
      <c r="A19" s="269" t="s">
        <v>110</v>
      </c>
      <c r="B19" s="114" t="s">
        <v>375</v>
      </c>
      <c r="C19" s="114" t="s">
        <v>385</v>
      </c>
    </row>
    <row r="20" spans="1:3" x14ac:dyDescent="0.15">
      <c r="A20" s="269" t="s">
        <v>386</v>
      </c>
      <c r="B20" s="114" t="s">
        <v>375</v>
      </c>
      <c r="C20" s="114" t="s">
        <v>387</v>
      </c>
    </row>
    <row r="21" spans="1:3" x14ac:dyDescent="0.15">
      <c r="A21" s="269" t="s">
        <v>388</v>
      </c>
      <c r="B21" s="114" t="s">
        <v>389</v>
      </c>
      <c r="C21" s="114" t="s">
        <v>390</v>
      </c>
    </row>
    <row r="22" spans="1:3" x14ac:dyDescent="0.15">
      <c r="A22" s="269" t="s">
        <v>391</v>
      </c>
      <c r="B22" s="114" t="s">
        <v>392</v>
      </c>
      <c r="C22" s="114" t="s">
        <v>393</v>
      </c>
    </row>
    <row r="23" spans="1:3" x14ac:dyDescent="0.15">
      <c r="A23" s="487" t="s">
        <v>394</v>
      </c>
      <c r="B23" s="487"/>
      <c r="C23" s="487"/>
    </row>
    <row r="24" spans="1:3" x14ac:dyDescent="0.15">
      <c r="A24" s="269" t="s">
        <v>229</v>
      </c>
      <c r="B24" s="114" t="s">
        <v>395</v>
      </c>
      <c r="C24" s="114" t="s">
        <v>396</v>
      </c>
    </row>
    <row r="25" spans="1:3" x14ac:dyDescent="0.15">
      <c r="A25" s="269" t="s">
        <v>397</v>
      </c>
      <c r="B25" s="114" t="s">
        <v>364</v>
      </c>
      <c r="C25" s="114" t="s">
        <v>398</v>
      </c>
    </row>
    <row r="26" spans="1:3" x14ac:dyDescent="0.15">
      <c r="A26" s="269" t="s">
        <v>228</v>
      </c>
      <c r="B26" s="114" t="s">
        <v>364</v>
      </c>
      <c r="C26" s="114" t="s">
        <v>399</v>
      </c>
    </row>
    <row r="27" spans="1:3" x14ac:dyDescent="0.15">
      <c r="A27" s="269" t="s">
        <v>400</v>
      </c>
      <c r="B27" s="114" t="s">
        <v>364</v>
      </c>
      <c r="C27" s="114" t="s">
        <v>401</v>
      </c>
    </row>
    <row r="28" spans="1:3" x14ac:dyDescent="0.15">
      <c r="A28" s="269" t="s">
        <v>402</v>
      </c>
      <c r="B28" s="114" t="s">
        <v>364</v>
      </c>
      <c r="C28" s="114" t="s">
        <v>403</v>
      </c>
    </row>
    <row r="29" spans="1:3" x14ac:dyDescent="0.15">
      <c r="A29" s="269" t="s">
        <v>404</v>
      </c>
      <c r="B29" s="114" t="s">
        <v>405</v>
      </c>
      <c r="C29" s="114" t="s">
        <v>190</v>
      </c>
    </row>
    <row r="30" spans="1:3" x14ac:dyDescent="0.15">
      <c r="A30" s="269" t="s">
        <v>406</v>
      </c>
      <c r="B30" s="114" t="s">
        <v>296</v>
      </c>
      <c r="C30" s="114" t="s">
        <v>407</v>
      </c>
    </row>
    <row r="31" spans="1:3" x14ac:dyDescent="0.15">
      <c r="A31" s="269" t="s">
        <v>14</v>
      </c>
      <c r="B31" s="114" t="s">
        <v>364</v>
      </c>
      <c r="C31" s="114" t="s">
        <v>408</v>
      </c>
    </row>
    <row r="32" spans="1:3" x14ac:dyDescent="0.15">
      <c r="A32" s="269" t="s">
        <v>15</v>
      </c>
      <c r="B32" s="114" t="s">
        <v>409</v>
      </c>
      <c r="C32" s="114" t="s">
        <v>410</v>
      </c>
    </row>
    <row r="33" spans="1:3" x14ac:dyDescent="0.15">
      <c r="A33" s="269" t="s">
        <v>16</v>
      </c>
      <c r="B33" s="114" t="s">
        <v>296</v>
      </c>
      <c r="C33" s="114" t="s">
        <v>411</v>
      </c>
    </row>
    <row r="34" spans="1:3" x14ac:dyDescent="0.15">
      <c r="A34" s="269" t="s">
        <v>412</v>
      </c>
      <c r="B34" s="114" t="s">
        <v>364</v>
      </c>
      <c r="C34" s="114" t="s">
        <v>413</v>
      </c>
    </row>
    <row r="35" spans="1:3" x14ac:dyDescent="0.15">
      <c r="A35" s="269" t="s">
        <v>19</v>
      </c>
      <c r="B35" s="114" t="s">
        <v>414</v>
      </c>
      <c r="C35" s="114" t="s">
        <v>415</v>
      </c>
    </row>
    <row r="36" spans="1:3" x14ac:dyDescent="0.15">
      <c r="A36" s="269" t="s">
        <v>416</v>
      </c>
      <c r="B36" s="114" t="s">
        <v>364</v>
      </c>
      <c r="C36" s="114" t="s">
        <v>417</v>
      </c>
    </row>
    <row r="37" spans="1:3" x14ac:dyDescent="0.15">
      <c r="A37" s="269" t="s">
        <v>21</v>
      </c>
      <c r="B37" s="114" t="s">
        <v>375</v>
      </c>
      <c r="C37" s="114" t="s">
        <v>191</v>
      </c>
    </row>
    <row r="38" spans="1:3" x14ac:dyDescent="0.15">
      <c r="A38" s="269" t="s">
        <v>418</v>
      </c>
      <c r="B38" s="114" t="s">
        <v>364</v>
      </c>
      <c r="C38" s="114" t="s">
        <v>419</v>
      </c>
    </row>
    <row r="39" spans="1:3" x14ac:dyDescent="0.15">
      <c r="A39" s="269" t="s">
        <v>24</v>
      </c>
      <c r="B39" s="114" t="s">
        <v>296</v>
      </c>
      <c r="C39" s="114" t="s">
        <v>420</v>
      </c>
    </row>
    <row r="40" spans="1:3" x14ac:dyDescent="0.15">
      <c r="A40" s="269" t="s">
        <v>421</v>
      </c>
      <c r="B40" s="114" t="s">
        <v>296</v>
      </c>
      <c r="C40" s="114" t="s">
        <v>422</v>
      </c>
    </row>
    <row r="41" spans="1:3" x14ac:dyDescent="0.15">
      <c r="A41" s="487" t="s">
        <v>423</v>
      </c>
      <c r="B41" s="487"/>
      <c r="C41" s="487"/>
    </row>
    <row r="42" spans="1:3" x14ac:dyDescent="0.15">
      <c r="A42" s="269" t="s">
        <v>27</v>
      </c>
      <c r="B42" s="114" t="s">
        <v>424</v>
      </c>
      <c r="C42" s="114" t="s">
        <v>425</v>
      </c>
    </row>
    <row r="43" spans="1:3" x14ac:dyDescent="0.15">
      <c r="A43" s="269" t="s">
        <v>426</v>
      </c>
      <c r="B43" s="114" t="s">
        <v>364</v>
      </c>
      <c r="C43" s="114" t="s">
        <v>427</v>
      </c>
    </row>
    <row r="44" spans="1:3" x14ac:dyDescent="0.15">
      <c r="A44" s="269" t="s">
        <v>231</v>
      </c>
      <c r="B44" s="114" t="s">
        <v>364</v>
      </c>
      <c r="C44" s="114" t="s">
        <v>428</v>
      </c>
    </row>
    <row r="45" spans="1:3" x14ac:dyDescent="0.15">
      <c r="A45" s="269" t="s">
        <v>30</v>
      </c>
      <c r="B45" s="114" t="s">
        <v>364</v>
      </c>
      <c r="C45" s="114" t="s">
        <v>429</v>
      </c>
    </row>
    <row r="46" spans="1:3" x14ac:dyDescent="0.15">
      <c r="A46" s="269" t="s">
        <v>232</v>
      </c>
      <c r="B46" s="114" t="s">
        <v>364</v>
      </c>
      <c r="C46" s="114" t="s">
        <v>430</v>
      </c>
    </row>
    <row r="47" spans="1:3" x14ac:dyDescent="0.15">
      <c r="A47" s="269" t="s">
        <v>431</v>
      </c>
      <c r="B47" s="114" t="s">
        <v>371</v>
      </c>
      <c r="C47" s="114" t="s">
        <v>192</v>
      </c>
    </row>
    <row r="48" spans="1:3" x14ac:dyDescent="0.15">
      <c r="A48" s="269" t="s">
        <v>432</v>
      </c>
      <c r="B48" s="114" t="s">
        <v>375</v>
      </c>
      <c r="C48" s="114" t="s">
        <v>193</v>
      </c>
    </row>
    <row r="49" spans="1:3" x14ac:dyDescent="0.15">
      <c r="A49" s="269" t="s">
        <v>433</v>
      </c>
      <c r="B49" s="114" t="s">
        <v>296</v>
      </c>
      <c r="C49" s="114" t="s">
        <v>434</v>
      </c>
    </row>
    <row r="50" spans="1:3" x14ac:dyDescent="0.15">
      <c r="A50" s="269" t="s">
        <v>35</v>
      </c>
      <c r="B50" s="114" t="s">
        <v>364</v>
      </c>
      <c r="C50" s="114" t="s">
        <v>435</v>
      </c>
    </row>
    <row r="51" spans="1:3" x14ac:dyDescent="0.15">
      <c r="A51" s="269" t="s">
        <v>36</v>
      </c>
      <c r="B51" s="114" t="s">
        <v>436</v>
      </c>
      <c r="C51" s="114" t="s">
        <v>437</v>
      </c>
    </row>
    <row r="52" spans="1:3" x14ac:dyDescent="0.15">
      <c r="A52" s="269" t="s">
        <v>438</v>
      </c>
      <c r="B52" s="114" t="s">
        <v>375</v>
      </c>
      <c r="C52" s="114" t="s">
        <v>194</v>
      </c>
    </row>
    <row r="53" spans="1:3" x14ac:dyDescent="0.15">
      <c r="A53" s="269" t="s">
        <v>39</v>
      </c>
      <c r="B53" s="114" t="s">
        <v>439</v>
      </c>
      <c r="C53" s="114" t="s">
        <v>195</v>
      </c>
    </row>
    <row r="54" spans="1:3" x14ac:dyDescent="0.15">
      <c r="A54" s="269" t="s">
        <v>440</v>
      </c>
      <c r="B54" s="114" t="s">
        <v>364</v>
      </c>
      <c r="C54" s="114" t="s">
        <v>441</v>
      </c>
    </row>
    <row r="55" spans="1:3" x14ac:dyDescent="0.15">
      <c r="A55" s="269" t="s">
        <v>442</v>
      </c>
      <c r="B55" s="114" t="s">
        <v>296</v>
      </c>
      <c r="C55" s="114" t="s">
        <v>443</v>
      </c>
    </row>
    <row r="56" spans="1:3" x14ac:dyDescent="0.15">
      <c r="A56" s="269" t="s">
        <v>444</v>
      </c>
      <c r="B56" s="114" t="s">
        <v>445</v>
      </c>
      <c r="C56" s="114" t="s">
        <v>446</v>
      </c>
    </row>
    <row r="57" spans="1:3" x14ac:dyDescent="0.15">
      <c r="A57" s="269" t="s">
        <v>447</v>
      </c>
      <c r="B57" s="114" t="s">
        <v>445</v>
      </c>
      <c r="C57" s="114" t="s">
        <v>448</v>
      </c>
    </row>
    <row r="58" spans="1:3" x14ac:dyDescent="0.15">
      <c r="A58" s="269" t="s">
        <v>449</v>
      </c>
      <c r="B58" s="114" t="s">
        <v>450</v>
      </c>
      <c r="C58" s="114" t="s">
        <v>451</v>
      </c>
    </row>
    <row r="59" spans="1:3" x14ac:dyDescent="0.15">
      <c r="A59" s="269" t="s">
        <v>452</v>
      </c>
      <c r="B59" s="114" t="s">
        <v>453</v>
      </c>
      <c r="C59" s="114" t="s">
        <v>197</v>
      </c>
    </row>
    <row r="60" spans="1:3" x14ac:dyDescent="0.15">
      <c r="A60" s="269" t="s">
        <v>454</v>
      </c>
      <c r="B60" s="114" t="s">
        <v>296</v>
      </c>
      <c r="C60" s="114" t="s">
        <v>455</v>
      </c>
    </row>
    <row r="61" spans="1:3" x14ac:dyDescent="0.15">
      <c r="A61" s="269" t="s">
        <v>456</v>
      </c>
      <c r="B61" s="114" t="s">
        <v>296</v>
      </c>
      <c r="C61" s="114" t="s">
        <v>457</v>
      </c>
    </row>
    <row r="64" spans="1:3" x14ac:dyDescent="0.15">
      <c r="A64" s="428" t="s">
        <v>458</v>
      </c>
    </row>
    <row r="65" spans="1:7" x14ac:dyDescent="0.15">
      <c r="A65" s="488" t="s">
        <v>459</v>
      </c>
    </row>
    <row r="66" spans="1:7" x14ac:dyDescent="0.15">
      <c r="A66" s="488" t="s">
        <v>460</v>
      </c>
    </row>
    <row r="67" spans="1:7" x14ac:dyDescent="0.15">
      <c r="A67" s="489" t="s">
        <v>461</v>
      </c>
    </row>
    <row r="70" spans="1:7" s="499" customFormat="1" x14ac:dyDescent="0.15">
      <c r="A70" s="498" t="s">
        <v>259</v>
      </c>
      <c r="B70" s="498" t="s">
        <v>286</v>
      </c>
      <c r="C70" s="498" t="s">
        <v>287</v>
      </c>
      <c r="D70" s="498" t="s">
        <v>288</v>
      </c>
      <c r="E70" s="498" t="s">
        <v>289</v>
      </c>
      <c r="F70" s="498" t="s">
        <v>290</v>
      </c>
      <c r="G70" s="498" t="s">
        <v>283</v>
      </c>
    </row>
    <row r="71" spans="1:7" x14ac:dyDescent="0.15">
      <c r="A71" s="310" t="s">
        <v>291</v>
      </c>
      <c r="B71" s="310">
        <v>62.96</v>
      </c>
      <c r="C71" s="490">
        <v>149603</v>
      </c>
      <c r="D71" s="310">
        <v>2.25</v>
      </c>
      <c r="E71" s="310" t="s">
        <v>292</v>
      </c>
      <c r="F71" s="310" t="s">
        <v>293</v>
      </c>
      <c r="G71" s="310" t="s">
        <v>294</v>
      </c>
    </row>
    <row r="72" spans="1:7" x14ac:dyDescent="0.15">
      <c r="A72" s="310" t="s">
        <v>295</v>
      </c>
      <c r="B72" s="310" t="s">
        <v>296</v>
      </c>
      <c r="C72" s="490">
        <v>147140</v>
      </c>
      <c r="D72" s="310">
        <v>2.58</v>
      </c>
      <c r="E72" s="310">
        <v>2.1</v>
      </c>
      <c r="F72" s="310" t="s">
        <v>297</v>
      </c>
      <c r="G72" s="310" t="s">
        <v>298</v>
      </c>
    </row>
    <row r="73" spans="1:7" x14ac:dyDescent="0.15">
      <c r="A73" s="310" t="s">
        <v>299</v>
      </c>
      <c r="B73" s="310">
        <v>75.239999999999995</v>
      </c>
      <c r="C73" s="490">
        <v>54620</v>
      </c>
      <c r="D73" s="310">
        <v>1.77</v>
      </c>
      <c r="E73" s="310">
        <v>1.84</v>
      </c>
      <c r="F73" s="310" t="s">
        <v>300</v>
      </c>
      <c r="G73" s="310" t="s">
        <v>301</v>
      </c>
    </row>
    <row r="74" spans="1:7" x14ac:dyDescent="0.15">
      <c r="A74" s="310" t="s">
        <v>302</v>
      </c>
      <c r="B74" s="310">
        <v>11.83</v>
      </c>
      <c r="C74" s="310" t="s">
        <v>296</v>
      </c>
      <c r="D74" s="310" t="s">
        <v>296</v>
      </c>
      <c r="E74" s="310" t="s">
        <v>296</v>
      </c>
      <c r="F74" s="310" t="s">
        <v>296</v>
      </c>
      <c r="G74" s="310" t="s">
        <v>296</v>
      </c>
    </row>
    <row r="75" spans="1:7" x14ac:dyDescent="0.15">
      <c r="A75" s="309"/>
      <c r="B75" s="309"/>
      <c r="C75" s="309"/>
      <c r="D75" s="309"/>
      <c r="E75" s="309"/>
      <c r="F75" s="309"/>
      <c r="G75" s="309"/>
    </row>
    <row r="76" spans="1:7" x14ac:dyDescent="0.15">
      <c r="A76" s="309"/>
      <c r="B76" s="309"/>
      <c r="C76" s="309"/>
      <c r="D76" s="309"/>
      <c r="E76" s="309"/>
      <c r="F76" s="309"/>
      <c r="G76" s="309"/>
    </row>
    <row r="77" spans="1:7" x14ac:dyDescent="0.15">
      <c r="A77" s="309"/>
      <c r="B77" s="309"/>
      <c r="C77" s="309"/>
      <c r="D77" s="309"/>
      <c r="E77" s="309"/>
      <c r="F77" s="309"/>
      <c r="G77" s="309"/>
    </row>
    <row r="78" spans="1:7" s="499" customFormat="1" x14ac:dyDescent="0.15">
      <c r="A78" s="498" t="s">
        <v>259</v>
      </c>
      <c r="B78" s="498" t="s">
        <v>303</v>
      </c>
      <c r="C78" s="498" t="s">
        <v>304</v>
      </c>
      <c r="D78" s="498" t="s">
        <v>305</v>
      </c>
      <c r="E78" s="498" t="s">
        <v>306</v>
      </c>
      <c r="F78" s="498" t="s">
        <v>307</v>
      </c>
      <c r="G78" s="500"/>
    </row>
    <row r="79" spans="1:7" x14ac:dyDescent="0.15">
      <c r="A79" s="310" t="s">
        <v>291</v>
      </c>
      <c r="B79" s="310" t="s">
        <v>308</v>
      </c>
      <c r="C79" s="328" t="s">
        <v>462</v>
      </c>
      <c r="D79" s="328" t="s">
        <v>463</v>
      </c>
      <c r="E79" s="328" t="s">
        <v>464</v>
      </c>
      <c r="F79" s="328" t="s">
        <v>465</v>
      </c>
      <c r="G79" s="309"/>
    </row>
    <row r="80" spans="1:7" x14ac:dyDescent="0.15">
      <c r="A80" s="310" t="s">
        <v>313</v>
      </c>
      <c r="B80" s="310" t="s">
        <v>314</v>
      </c>
      <c r="C80" s="328" t="s">
        <v>466</v>
      </c>
      <c r="D80" s="328" t="s">
        <v>467</v>
      </c>
      <c r="E80" s="328" t="s">
        <v>468</v>
      </c>
      <c r="F80" s="328" t="s">
        <v>469</v>
      </c>
      <c r="G80" s="309"/>
    </row>
    <row r="81" spans="1:7" x14ac:dyDescent="0.15">
      <c r="A81" s="310" t="s">
        <v>299</v>
      </c>
      <c r="B81" s="310" t="s">
        <v>308</v>
      </c>
      <c r="C81" s="328" t="s">
        <v>470</v>
      </c>
      <c r="D81" s="328" t="s">
        <v>471</v>
      </c>
      <c r="E81" s="328" t="s">
        <v>472</v>
      </c>
      <c r="F81" s="328" t="s">
        <v>473</v>
      </c>
      <c r="G81" s="309"/>
    </row>
    <row r="82" spans="1:7" x14ac:dyDescent="0.15">
      <c r="A82" s="310" t="s">
        <v>323</v>
      </c>
      <c r="B82" s="310" t="s">
        <v>308</v>
      </c>
      <c r="C82" s="328" t="s">
        <v>474</v>
      </c>
      <c r="D82" s="328" t="s">
        <v>475</v>
      </c>
      <c r="E82" s="328" t="s">
        <v>476</v>
      </c>
      <c r="F82" s="328" t="s">
        <v>477</v>
      </c>
      <c r="G82" s="309"/>
    </row>
    <row r="83" spans="1:7" x14ac:dyDescent="0.15">
      <c r="A83" s="309"/>
      <c r="B83" s="309"/>
      <c r="C83" s="309"/>
      <c r="D83" s="309"/>
      <c r="E83" s="309"/>
      <c r="F83" s="309"/>
      <c r="G83" s="309"/>
    </row>
    <row r="84" spans="1:7" x14ac:dyDescent="0.15">
      <c r="A84" s="309"/>
      <c r="B84" s="309"/>
      <c r="C84" s="309"/>
      <c r="D84" s="309"/>
      <c r="E84" s="309"/>
      <c r="F84" s="309"/>
      <c r="G84" s="309"/>
    </row>
    <row r="85" spans="1:7" x14ac:dyDescent="0.15">
      <c r="A85" s="309"/>
      <c r="B85" s="309"/>
      <c r="C85" s="309"/>
      <c r="D85" s="309"/>
      <c r="E85" s="309"/>
      <c r="F85" s="309"/>
      <c r="G85" s="309"/>
    </row>
    <row r="86" spans="1:7" x14ac:dyDescent="0.15">
      <c r="A86" s="309"/>
      <c r="B86" s="309"/>
      <c r="C86" s="309"/>
      <c r="D86" s="309"/>
      <c r="E86" s="309"/>
      <c r="F86" s="309"/>
      <c r="G86" s="309"/>
    </row>
    <row r="87" spans="1:7" x14ac:dyDescent="0.15">
      <c r="A87" s="309"/>
      <c r="B87" s="309"/>
      <c r="C87" s="309"/>
      <c r="D87" s="309"/>
      <c r="E87" s="309"/>
      <c r="F87" s="309"/>
      <c r="G87" s="309"/>
    </row>
    <row r="88" spans="1:7" s="428" customFormat="1" x14ac:dyDescent="0.15">
      <c r="A88" s="495" t="s">
        <v>478</v>
      </c>
      <c r="B88" s="496"/>
      <c r="C88" s="496"/>
      <c r="D88" s="496"/>
      <c r="E88" s="496"/>
      <c r="F88" s="497" t="s">
        <v>328</v>
      </c>
      <c r="G88" s="495"/>
    </row>
    <row r="89" spans="1:7" x14ac:dyDescent="0.15">
      <c r="A89" s="309" t="s">
        <v>329</v>
      </c>
      <c r="B89" s="309"/>
      <c r="C89" s="309"/>
      <c r="D89" s="309" t="s">
        <v>330</v>
      </c>
      <c r="E89" s="309"/>
      <c r="F89" s="309" t="s">
        <v>331</v>
      </c>
      <c r="G89" s="309"/>
    </row>
    <row r="90" spans="1:7" x14ac:dyDescent="0.15">
      <c r="A90" s="309" t="s">
        <v>332</v>
      </c>
      <c r="B90" s="309"/>
      <c r="C90" s="309"/>
      <c r="D90" s="309" t="s">
        <v>333</v>
      </c>
      <c r="E90" s="309"/>
      <c r="F90" s="309"/>
      <c r="G90" s="309"/>
    </row>
    <row r="91" spans="1:7" x14ac:dyDescent="0.15">
      <c r="A91" s="310"/>
      <c r="B91" s="309"/>
      <c r="C91" s="309"/>
      <c r="D91" s="309"/>
      <c r="E91" s="309"/>
      <c r="F91" s="309"/>
      <c r="G91" s="309"/>
    </row>
    <row r="92" spans="1:7" x14ac:dyDescent="0.15">
      <c r="A92" s="309"/>
      <c r="B92" s="309"/>
      <c r="C92" s="309"/>
      <c r="D92" s="309" t="s">
        <v>334</v>
      </c>
      <c r="E92" s="309"/>
      <c r="F92" s="309"/>
      <c r="G92" s="309"/>
    </row>
    <row r="93" spans="1:7" s="502" customFormat="1" x14ac:dyDescent="0.15">
      <c r="A93" s="501" t="s">
        <v>335</v>
      </c>
      <c r="B93" s="501" t="s">
        <v>336</v>
      </c>
      <c r="C93" s="501" t="s">
        <v>337</v>
      </c>
      <c r="D93" s="501">
        <v>2024</v>
      </c>
      <c r="E93" s="501">
        <v>2025</v>
      </c>
      <c r="F93" s="501"/>
      <c r="G93" s="501"/>
    </row>
    <row r="94" spans="1:7" x14ac:dyDescent="0.15">
      <c r="A94" s="309" t="s">
        <v>338</v>
      </c>
      <c r="B94" s="491">
        <v>0.57289999999999996</v>
      </c>
      <c r="C94" s="491">
        <v>0.42709999999999998</v>
      </c>
      <c r="D94" s="309">
        <v>0.49</v>
      </c>
      <c r="E94" s="309">
        <v>0.1265</v>
      </c>
      <c r="F94" s="309"/>
      <c r="G94" s="309"/>
    </row>
    <row r="95" spans="1:7" x14ac:dyDescent="0.15">
      <c r="A95" s="309" t="s">
        <v>269</v>
      </c>
      <c r="B95" s="491">
        <v>0.56310000000000004</v>
      </c>
      <c r="C95" s="491">
        <v>0.43690000000000001</v>
      </c>
      <c r="D95" s="309">
        <v>0.09</v>
      </c>
      <c r="E95" s="309">
        <v>7.0000000000000007E-2</v>
      </c>
      <c r="F95" s="309"/>
      <c r="G95" s="309"/>
    </row>
    <row r="96" spans="1:7" x14ac:dyDescent="0.15">
      <c r="A96" s="492" t="s">
        <v>339</v>
      </c>
      <c r="B96" s="493">
        <v>0.71879999999999999</v>
      </c>
      <c r="C96" s="493">
        <v>0.28120000000000001</v>
      </c>
      <c r="D96" s="309">
        <v>0.61</v>
      </c>
      <c r="E96" s="309">
        <v>0.64</v>
      </c>
      <c r="F96" s="309"/>
      <c r="G96" s="309"/>
    </row>
    <row r="97" spans="1:7" x14ac:dyDescent="0.15">
      <c r="A97" s="309" t="s">
        <v>271</v>
      </c>
      <c r="B97" s="491">
        <v>0.50319999999999998</v>
      </c>
      <c r="C97" s="491">
        <v>0.49680000000000002</v>
      </c>
      <c r="D97" s="309">
        <v>0.74</v>
      </c>
      <c r="E97" s="309">
        <v>1.1499999999999999</v>
      </c>
      <c r="F97" s="309"/>
      <c r="G97" s="309"/>
    </row>
    <row r="98" spans="1:7" x14ac:dyDescent="0.15">
      <c r="A98" s="309" t="s">
        <v>273</v>
      </c>
      <c r="B98" s="494">
        <v>0.56000000000000005</v>
      </c>
      <c r="C98" s="494">
        <v>0.44</v>
      </c>
      <c r="D98" s="309">
        <v>3.6</v>
      </c>
      <c r="E98" s="309">
        <v>2.67</v>
      </c>
      <c r="F98" s="309"/>
      <c r="G98" s="309"/>
    </row>
    <row r="99" spans="1:7" x14ac:dyDescent="0.15">
      <c r="A99" s="309" t="s">
        <v>275</v>
      </c>
      <c r="B99" s="494">
        <v>0.57999999999999996</v>
      </c>
      <c r="C99" s="494">
        <v>0.42</v>
      </c>
      <c r="D99" s="309">
        <v>0.6</v>
      </c>
      <c r="E99" s="309">
        <v>0.62</v>
      </c>
      <c r="F99" s="309"/>
      <c r="G99" s="309"/>
    </row>
  </sheetData>
  <hyperlinks>
    <hyperlink ref="A65" r:id="rId1" xr:uid="{1ED4A90C-435C-4F0B-8B86-BBD7B902CC78}"/>
    <hyperlink ref="A66" r:id="rId2" xr:uid="{0357AA56-76D8-47B8-9085-098580BF6994}"/>
    <hyperlink ref="A67" r:id="rId3" xr:uid="{00000000-0004-0000-0700-000000000000}"/>
    <hyperlink ref="C79" r:id="rId4" xr:uid="{4C491FD7-EA47-42E3-87E3-B480546D4D50}"/>
    <hyperlink ref="D79" r:id="rId5" xr:uid="{572FBCF2-AC0B-47E9-AD79-F5EE72292937}"/>
    <hyperlink ref="E79" r:id="rId6" xr:uid="{7A050735-F505-4381-ABBC-805DA3F3DA2D}"/>
    <hyperlink ref="F79" r:id="rId7" xr:uid="{CB61995D-DD6C-4748-BA29-C0A6C7DDDDFC}"/>
    <hyperlink ref="C80" r:id="rId8" xr:uid="{570AD126-CEA4-4727-86AF-762D9154E593}"/>
    <hyperlink ref="D80" r:id="rId9" xr:uid="{BC78DFE3-0BD8-49A5-92E5-D6094C612C60}"/>
    <hyperlink ref="E80" r:id="rId10" xr:uid="{DA19A1AA-F428-4083-8427-0DE54C331D05}"/>
    <hyperlink ref="F80" r:id="rId11" xr:uid="{FE17EC20-3669-4895-9A15-90E92D8A9CAB}"/>
    <hyperlink ref="C81" r:id="rId12" xr:uid="{0B9F8418-2A61-4611-84B7-237739F1EF2A}"/>
    <hyperlink ref="D81" r:id="rId13" xr:uid="{F399349B-81EF-41F6-8106-CC2DF29D07F3}"/>
    <hyperlink ref="E81" r:id="rId14" xr:uid="{4921275D-993B-4A3D-AEF5-5BB9070BC63F}"/>
    <hyperlink ref="F81" r:id="rId15" xr:uid="{DA9D2C4A-EC5E-40F7-A0C7-46F231228528}"/>
    <hyperlink ref="C82" r:id="rId16" xr:uid="{8BE4038B-F8B5-4008-B988-76C3C360CCFF}"/>
    <hyperlink ref="D82" r:id="rId17" xr:uid="{522355BF-F810-48B3-BECE-373AE2BF593D}"/>
    <hyperlink ref="E82" r:id="rId18" xr:uid="{31F62EAD-2D3E-4253-9ABE-280474B8E62E}"/>
    <hyperlink ref="F82" r:id="rId19" xr:uid="{922B0AE1-BE30-461D-9C1B-937D677C6E59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Balance Sheet</vt:lpstr>
      <vt:lpstr>Income Statement</vt:lpstr>
      <vt:lpstr>Cash Flows</vt:lpstr>
      <vt:lpstr>Proforma</vt:lpstr>
      <vt:lpstr>Balanced Proforma</vt:lpstr>
      <vt:lpstr>Sheet1</vt:lpstr>
      <vt:lpstr>Working Capital</vt:lpstr>
      <vt:lpstr>Capital Expenditure</vt:lpstr>
      <vt:lpstr>Free Cash Flow</vt:lpstr>
      <vt:lpstr>Capital Structure</vt:lpstr>
      <vt:lpstr>Cost of Capital</vt:lpstr>
      <vt:lpstr>Value Investing</vt:lpstr>
      <vt:lpstr>Appendix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Katuwal, Shaira</cp:lastModifiedBy>
  <cp:revision/>
  <dcterms:created xsi:type="dcterms:W3CDTF">2025-08-11T19:21:38Z</dcterms:created>
  <dcterms:modified xsi:type="dcterms:W3CDTF">2026-05-30T22:25:20Z</dcterms:modified>
  <cp:category/>
  <cp:contentStatus/>
</cp:coreProperties>
</file>