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diana-my.sharepoint.com/personal/skatuwal_iu_edu/Documents/IU Kelley/Project portfolio/"/>
    </mc:Choice>
  </mc:AlternateContent>
  <xr:revisionPtr revIDLastSave="331" documentId="8_{BFB394E5-F6DE-7445-A956-C1ED4B00A4A0}" xr6:coauthVersionLast="47" xr6:coauthVersionMax="47" xr10:uidLastSave="{F599E517-5DCA-374B-BDFE-BC09289D5B90}"/>
  <bookViews>
    <workbookView xWindow="0" yWindow="660" windowWidth="29400" windowHeight="18460" xr2:uid="{1D3E8FD7-E0C1-44EF-8415-BAC47612C5DE}"/>
  </bookViews>
  <sheets>
    <sheet name="Overview" sheetId="6" r:id="rId1"/>
    <sheet name="Assumptions &amp; Cash Flow" sheetId="1" r:id="rId2"/>
    <sheet name="Rent Roll" sheetId="3" r:id="rId3"/>
    <sheet name="Sources &amp; Uses" sheetId="2" r:id="rId4"/>
    <sheet name="Debt Sizing" sheetId="4" r:id="rId5"/>
    <sheet name="Debt Amortization Schedule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9" i="1" l="1"/>
  <c r="U11" i="1" s="1"/>
  <c r="J9" i="4"/>
  <c r="J11" i="4" s="1"/>
  <c r="D13" i="4"/>
  <c r="D12" i="4"/>
  <c r="M20" i="1"/>
  <c r="N20" i="1" s="1"/>
  <c r="O20" i="1" s="1"/>
  <c r="P20" i="1" s="1"/>
  <c r="Q20" i="1" s="1"/>
  <c r="R20" i="1" s="1"/>
  <c r="S20" i="1" s="1"/>
  <c r="T20" i="1" s="1"/>
  <c r="U20" i="1" s="1"/>
  <c r="K19" i="1"/>
  <c r="L19" i="1" s="1"/>
  <c r="M19" i="1" s="1"/>
  <c r="N19" i="1" s="1"/>
  <c r="O19" i="1" s="1"/>
  <c r="P19" i="1" s="1"/>
  <c r="Q19" i="1" s="1"/>
  <c r="R19" i="1" s="1"/>
  <c r="S19" i="1" s="1"/>
  <c r="T19" i="1" s="1"/>
  <c r="U19" i="1" s="1"/>
  <c r="K23" i="1"/>
  <c r="L23" i="1" s="1"/>
  <c r="M23" i="1" s="1"/>
  <c r="N23" i="1" s="1"/>
  <c r="O23" i="1" s="1"/>
  <c r="P23" i="1" s="1"/>
  <c r="Q23" i="1" s="1"/>
  <c r="R23" i="1" s="1"/>
  <c r="S23" i="1" s="1"/>
  <c r="T23" i="1" s="1"/>
  <c r="U23" i="1" s="1"/>
  <c r="L20" i="1"/>
  <c r="K24" i="1"/>
  <c r="L24" i="1" s="1"/>
  <c r="M24" i="1" s="1"/>
  <c r="N24" i="1" s="1"/>
  <c r="O24" i="1" s="1"/>
  <c r="P24" i="1" s="1"/>
  <c r="Q24" i="1" s="1"/>
  <c r="R24" i="1" s="1"/>
  <c r="S24" i="1" s="1"/>
  <c r="T24" i="1" s="1"/>
  <c r="U24" i="1" s="1"/>
  <c r="K21" i="1"/>
  <c r="L21" i="1" s="1"/>
  <c r="M21" i="1" s="1"/>
  <c r="N21" i="1" s="1"/>
  <c r="O21" i="1" s="1"/>
  <c r="P21" i="1" s="1"/>
  <c r="Q21" i="1" s="1"/>
  <c r="R21" i="1" s="1"/>
  <c r="S21" i="1" s="1"/>
  <c r="T21" i="1" s="1"/>
  <c r="U21" i="1" s="1"/>
  <c r="K20" i="1"/>
  <c r="K18" i="1"/>
  <c r="L18" i="1" s="1"/>
  <c r="M18" i="1" s="1"/>
  <c r="N18" i="1" s="1"/>
  <c r="O18" i="1" s="1"/>
  <c r="P18" i="1" s="1"/>
  <c r="Q18" i="1" s="1"/>
  <c r="R18" i="1" s="1"/>
  <c r="S18" i="1" s="1"/>
  <c r="T18" i="1" s="1"/>
  <c r="U18" i="1" s="1"/>
  <c r="K17" i="1"/>
  <c r="L17" i="1" s="1"/>
  <c r="M17" i="1" s="1"/>
  <c r="N17" i="1" s="1"/>
  <c r="O17" i="1" s="1"/>
  <c r="P17" i="1" s="1"/>
  <c r="Q17" i="1" s="1"/>
  <c r="R17" i="1" s="1"/>
  <c r="S17" i="1" s="1"/>
  <c r="T17" i="1" s="1"/>
  <c r="U17" i="1" s="1"/>
  <c r="K16" i="1"/>
  <c r="K12" i="1"/>
  <c r="L12" i="1" s="1"/>
  <c r="M12" i="1" s="1"/>
  <c r="N12" i="1" s="1"/>
  <c r="O12" i="1" s="1"/>
  <c r="P12" i="1" s="1"/>
  <c r="Q12" i="1" s="1"/>
  <c r="R12" i="1" s="1"/>
  <c r="S12" i="1" s="1"/>
  <c r="T12" i="1" s="1"/>
  <c r="U12" i="1" s="1"/>
  <c r="L10" i="1"/>
  <c r="M10" i="1"/>
  <c r="N10" i="1"/>
  <c r="O10" i="1"/>
  <c r="P10" i="1"/>
  <c r="Q10" i="1"/>
  <c r="R10" i="1"/>
  <c r="S10" i="1"/>
  <c r="T10" i="1"/>
  <c r="U10" i="1"/>
  <c r="K10" i="1"/>
  <c r="J24" i="3"/>
  <c r="J23" i="3"/>
  <c r="L21" i="3"/>
  <c r="M21" i="3"/>
  <c r="N21" i="3"/>
  <c r="O21" i="3"/>
  <c r="P21" i="3"/>
  <c r="Q21" i="3"/>
  <c r="R21" i="3"/>
  <c r="S21" i="3"/>
  <c r="T21" i="3"/>
  <c r="U21" i="3"/>
  <c r="K21" i="3"/>
  <c r="K17" i="3"/>
  <c r="L17" i="3"/>
  <c r="M17" i="3"/>
  <c r="N17" i="3"/>
  <c r="O17" i="3"/>
  <c r="P17" i="3"/>
  <c r="Q17" i="3"/>
  <c r="R17" i="3"/>
  <c r="S17" i="3"/>
  <c r="T17" i="3"/>
  <c r="U17" i="3"/>
  <c r="J17" i="3"/>
  <c r="U15" i="3"/>
  <c r="L15" i="3"/>
  <c r="M15" i="3" s="1"/>
  <c r="N15" i="3" s="1"/>
  <c r="O15" i="3" s="1"/>
  <c r="P15" i="3" s="1"/>
  <c r="Q15" i="3" s="1"/>
  <c r="R15" i="3" s="1"/>
  <c r="S15" i="3" s="1"/>
  <c r="T15" i="3" s="1"/>
  <c r="K15" i="3"/>
  <c r="J15" i="3"/>
  <c r="J14" i="3"/>
  <c r="K14" i="3" s="1"/>
  <c r="G16" i="1"/>
  <c r="L16" i="1" l="1"/>
  <c r="U13" i="1"/>
  <c r="M16" i="1" l="1"/>
  <c r="U22" i="1"/>
  <c r="N16" i="1" l="1"/>
  <c r="G36" i="3"/>
  <c r="E36" i="3"/>
  <c r="D36" i="3"/>
  <c r="C36" i="3"/>
  <c r="F36" i="3"/>
  <c r="F8" i="3"/>
  <c r="O16" i="1" l="1"/>
  <c r="B6" i="5"/>
  <c r="B5" i="5"/>
  <c r="B3" i="5"/>
  <c r="A313" i="5"/>
  <c r="A314" i="5" s="1"/>
  <c r="A315" i="5" s="1"/>
  <c r="A316" i="5" s="1"/>
  <c r="A317" i="5" s="1"/>
  <c r="A318" i="5" s="1"/>
  <c r="A319" i="5" s="1"/>
  <c r="A320" i="5" s="1"/>
  <c r="A321" i="5" s="1"/>
  <c r="A322" i="5" s="1"/>
  <c r="A323" i="5" s="1"/>
  <c r="A324" i="5" s="1"/>
  <c r="A325" i="5" s="1"/>
  <c r="A326" i="5" s="1"/>
  <c r="A327" i="5" s="1"/>
  <c r="A328" i="5" s="1"/>
  <c r="A329" i="5" s="1"/>
  <c r="A330" i="5" s="1"/>
  <c r="A331" i="5" s="1"/>
  <c r="A332" i="5" s="1"/>
  <c r="A333" i="5" s="1"/>
  <c r="A334" i="5" s="1"/>
  <c r="A335" i="5" s="1"/>
  <c r="A336" i="5" s="1"/>
  <c r="A337" i="5" s="1"/>
  <c r="A338" i="5" s="1"/>
  <c r="A339" i="5" s="1"/>
  <c r="A340" i="5" s="1"/>
  <c r="A341" i="5" s="1"/>
  <c r="A342" i="5" s="1"/>
  <c r="A343" i="5" s="1"/>
  <c r="A344" i="5" s="1"/>
  <c r="A345" i="5" s="1"/>
  <c r="A346" i="5" s="1"/>
  <c r="A347" i="5" s="1"/>
  <c r="A348" i="5" s="1"/>
  <c r="A349" i="5" s="1"/>
  <c r="A350" i="5" s="1"/>
  <c r="A351" i="5" s="1"/>
  <c r="A352" i="5" s="1"/>
  <c r="A353" i="5" s="1"/>
  <c r="A354" i="5" s="1"/>
  <c r="A355" i="5" s="1"/>
  <c r="A356" i="5" s="1"/>
  <c r="A357" i="5" s="1"/>
  <c r="A358" i="5" s="1"/>
  <c r="A359" i="5" s="1"/>
  <c r="A360" i="5" s="1"/>
  <c r="A361" i="5" s="1"/>
  <c r="A362" i="5" s="1"/>
  <c r="A363" i="5" s="1"/>
  <c r="A364" i="5" s="1"/>
  <c r="A365" i="5" s="1"/>
  <c r="A366" i="5" s="1"/>
  <c r="A367" i="5" s="1"/>
  <c r="A368" i="5" s="1"/>
  <c r="A369" i="5" s="1"/>
  <c r="A370" i="5" s="1"/>
  <c r="A371" i="5" s="1"/>
  <c r="A372" i="5" s="1"/>
  <c r="P16" i="1" l="1"/>
  <c r="K9" i="1"/>
  <c r="B4" i="5"/>
  <c r="C4" i="5" s="1"/>
  <c r="D16" i="2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K11" i="1" l="1"/>
  <c r="K13" i="1"/>
  <c r="Q16" i="1"/>
  <c r="J16" i="2"/>
  <c r="D15" i="2"/>
  <c r="J15" i="2" s="1"/>
  <c r="J43" i="1" s="1"/>
  <c r="J47" i="1" s="1"/>
  <c r="K22" i="1" l="1"/>
  <c r="K25" i="1" s="1"/>
  <c r="K27" i="1" s="1"/>
  <c r="R16" i="1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L6" i="3"/>
  <c r="M6" i="3" s="1"/>
  <c r="N6" i="3" s="1"/>
  <c r="O6" i="3" s="1"/>
  <c r="P6" i="3" s="1"/>
  <c r="Q6" i="3" s="1"/>
  <c r="R6" i="3" s="1"/>
  <c r="S6" i="3" s="1"/>
  <c r="T6" i="3" s="1"/>
  <c r="U6" i="3" s="1"/>
  <c r="G13" i="1"/>
  <c r="J7" i="1"/>
  <c r="K6" i="1"/>
  <c r="D9" i="4" l="1"/>
  <c r="K35" i="1"/>
  <c r="K44" i="1" s="1"/>
  <c r="G19" i="1"/>
  <c r="L6" i="1"/>
  <c r="M6" i="1" s="1"/>
  <c r="K30" i="1"/>
  <c r="K33" i="1" s="1"/>
  <c r="K45" i="1"/>
  <c r="S16" i="1"/>
  <c r="K7" i="1"/>
  <c r="L7" i="1" s="1"/>
  <c r="M7" i="1" s="1"/>
  <c r="N7" i="1" s="1"/>
  <c r="O7" i="1" s="1"/>
  <c r="P7" i="1" s="1"/>
  <c r="Q7" i="1" s="1"/>
  <c r="R7" i="1" s="1"/>
  <c r="S7" i="1" s="1"/>
  <c r="T7" i="1" s="1"/>
  <c r="U7" i="1" s="1"/>
  <c r="J7" i="3"/>
  <c r="L14" i="3"/>
  <c r="C6" i="2"/>
  <c r="D19" i="2" s="1"/>
  <c r="M45" i="1" l="1"/>
  <c r="M30" i="1"/>
  <c r="M33" i="1" s="1"/>
  <c r="T16" i="1"/>
  <c r="G9" i="4"/>
  <c r="G11" i="4" s="1"/>
  <c r="D11" i="4"/>
  <c r="D14" i="4" s="1"/>
  <c r="L45" i="1"/>
  <c r="L30" i="1"/>
  <c r="L33" i="1" s="1"/>
  <c r="K7" i="3"/>
  <c r="L7" i="3" s="1"/>
  <c r="M7" i="3" s="1"/>
  <c r="N7" i="3" s="1"/>
  <c r="O7" i="3" s="1"/>
  <c r="P7" i="3" s="1"/>
  <c r="Q7" i="3" s="1"/>
  <c r="R7" i="3" s="1"/>
  <c r="S7" i="3" s="1"/>
  <c r="T7" i="3" s="1"/>
  <c r="U7" i="3" s="1"/>
  <c r="M14" i="3"/>
  <c r="H11" i="2"/>
  <c r="G19" i="2"/>
  <c r="J19" i="2" s="1"/>
  <c r="K19" i="2" s="1"/>
  <c r="K16" i="2"/>
  <c r="E15" i="2"/>
  <c r="H17" i="2"/>
  <c r="H16" i="2"/>
  <c r="H15" i="2"/>
  <c r="E16" i="2"/>
  <c r="K15" i="2"/>
  <c r="D18" i="2"/>
  <c r="N6" i="1"/>
  <c r="D16" i="4" l="1"/>
  <c r="N45" i="1"/>
  <c r="N30" i="1"/>
  <c r="N33" i="1" s="1"/>
  <c r="U16" i="1"/>
  <c r="U25" i="1" s="1"/>
  <c r="U27" i="1" s="1"/>
  <c r="L9" i="1"/>
  <c r="N14" i="3"/>
  <c r="O6" i="1"/>
  <c r="L13" i="1" l="1"/>
  <c r="L11" i="1"/>
  <c r="O30" i="1"/>
  <c r="O33" i="1" s="1"/>
  <c r="O45" i="1"/>
  <c r="G48" i="1"/>
  <c r="B2" i="5"/>
  <c r="F12" i="5" s="1"/>
  <c r="B13" i="5" s="1"/>
  <c r="C13" i="5" s="1"/>
  <c r="M9" i="1"/>
  <c r="O14" i="3"/>
  <c r="P6" i="1"/>
  <c r="L22" i="1" l="1"/>
  <c r="L25" i="1" s="1"/>
  <c r="L27" i="1" s="1"/>
  <c r="G53" i="1"/>
  <c r="B8" i="5" s="1"/>
  <c r="G18" i="1"/>
  <c r="P30" i="1"/>
  <c r="P33" i="1" s="1"/>
  <c r="P45" i="1"/>
  <c r="M11" i="1"/>
  <c r="M13" i="1" s="1"/>
  <c r="N9" i="1"/>
  <c r="P14" i="3"/>
  <c r="Q6" i="1"/>
  <c r="M22" i="1" l="1"/>
  <c r="M25" i="1" s="1"/>
  <c r="M27" i="1" s="1"/>
  <c r="L35" i="1"/>
  <c r="L44" i="1" s="1"/>
  <c r="Q30" i="1"/>
  <c r="Q33" i="1" s="1"/>
  <c r="Q45" i="1"/>
  <c r="O38" i="1"/>
  <c r="P38" i="1"/>
  <c r="Q38" i="1"/>
  <c r="R38" i="1"/>
  <c r="B7" i="5"/>
  <c r="T38" i="1"/>
  <c r="K38" i="1"/>
  <c r="L38" i="1"/>
  <c r="L40" i="1" s="1"/>
  <c r="L56" i="1" s="1"/>
  <c r="L60" i="1" s="1"/>
  <c r="N38" i="1"/>
  <c r="S38" i="1"/>
  <c r="M38" i="1"/>
  <c r="N11" i="1"/>
  <c r="N13" i="1" s="1"/>
  <c r="O9" i="1"/>
  <c r="Q14" i="3"/>
  <c r="R6" i="1"/>
  <c r="N22" i="1" l="1"/>
  <c r="N25" i="1" s="1"/>
  <c r="N27" i="1"/>
  <c r="N35" i="1" s="1"/>
  <c r="N44" i="1" s="1"/>
  <c r="M35" i="1"/>
  <c r="M44" i="1" s="1"/>
  <c r="M63" i="1"/>
  <c r="N40" i="1"/>
  <c r="N56" i="1" s="1"/>
  <c r="N60" i="1" s="1"/>
  <c r="M40" i="1"/>
  <c r="M56" i="1" s="1"/>
  <c r="M60" i="1" s="1"/>
  <c r="E103" i="5"/>
  <c r="E203" i="5"/>
  <c r="E303" i="5"/>
  <c r="E235" i="5"/>
  <c r="E54" i="5"/>
  <c r="E154" i="5"/>
  <c r="E254" i="5"/>
  <c r="E354" i="5"/>
  <c r="E105" i="5"/>
  <c r="E225" i="5"/>
  <c r="E36" i="5"/>
  <c r="E136" i="5"/>
  <c r="E236" i="5"/>
  <c r="E336" i="5"/>
  <c r="E208" i="5"/>
  <c r="E59" i="5"/>
  <c r="E37" i="5"/>
  <c r="E137" i="5"/>
  <c r="E237" i="5"/>
  <c r="E337" i="5"/>
  <c r="E78" i="5"/>
  <c r="E238" i="5"/>
  <c r="E69" i="5"/>
  <c r="E50" i="5"/>
  <c r="E150" i="5"/>
  <c r="E250" i="5"/>
  <c r="E350" i="5"/>
  <c r="E91" i="5"/>
  <c r="E191" i="5"/>
  <c r="E291" i="5"/>
  <c r="E202" i="5"/>
  <c r="E122" i="5"/>
  <c r="E342" i="5"/>
  <c r="E172" i="5"/>
  <c r="E279" i="5"/>
  <c r="E182" i="5"/>
  <c r="E301" i="5"/>
  <c r="E212" i="5"/>
  <c r="E249" i="5"/>
  <c r="E242" i="5"/>
  <c r="E72" i="5"/>
  <c r="E23" i="5"/>
  <c r="E223" i="5"/>
  <c r="E323" i="5"/>
  <c r="E74" i="5"/>
  <c r="E274" i="5"/>
  <c r="E125" i="5"/>
  <c r="E56" i="5"/>
  <c r="E256" i="5"/>
  <c r="E248" i="5"/>
  <c r="E57" i="5"/>
  <c r="E257" i="5"/>
  <c r="E98" i="5"/>
  <c r="E109" i="5"/>
  <c r="E170" i="5"/>
  <c r="E370" i="5"/>
  <c r="E311" i="5"/>
  <c r="E32" i="5"/>
  <c r="E339" i="5"/>
  <c r="E33" i="5"/>
  <c r="E233" i="5"/>
  <c r="E333" i="5"/>
  <c r="E295" i="5"/>
  <c r="E84" i="5"/>
  <c r="E184" i="5"/>
  <c r="E284" i="5"/>
  <c r="E25" i="5"/>
  <c r="E135" i="5"/>
  <c r="E285" i="5"/>
  <c r="E166" i="5"/>
  <c r="E266" i="5"/>
  <c r="E366" i="5"/>
  <c r="E119" i="5"/>
  <c r="E67" i="5"/>
  <c r="E267" i="5"/>
  <c r="E108" i="5"/>
  <c r="E129" i="5"/>
  <c r="E180" i="5"/>
  <c r="E21" i="5"/>
  <c r="E221" i="5"/>
  <c r="E352" i="5"/>
  <c r="E312" i="5"/>
  <c r="E113" i="5"/>
  <c r="E213" i="5"/>
  <c r="E313" i="5"/>
  <c r="E255" i="5"/>
  <c r="E64" i="5"/>
  <c r="E164" i="5"/>
  <c r="E264" i="5"/>
  <c r="E364" i="5"/>
  <c r="E115" i="5"/>
  <c r="E245" i="5"/>
  <c r="E46" i="5"/>
  <c r="E146" i="5"/>
  <c r="E246" i="5"/>
  <c r="E346" i="5"/>
  <c r="E228" i="5"/>
  <c r="E79" i="5"/>
  <c r="E47" i="5"/>
  <c r="E147" i="5"/>
  <c r="E247" i="5"/>
  <c r="E347" i="5"/>
  <c r="E88" i="5"/>
  <c r="E258" i="5"/>
  <c r="E89" i="5"/>
  <c r="E60" i="5"/>
  <c r="E160" i="5"/>
  <c r="E260" i="5"/>
  <c r="E360" i="5"/>
  <c r="E101" i="5"/>
  <c r="E201" i="5"/>
  <c r="E252" i="5"/>
  <c r="E192" i="5"/>
  <c r="E123" i="5"/>
  <c r="E275" i="5"/>
  <c r="E174" i="5"/>
  <c r="E16" i="5"/>
  <c r="E265" i="5"/>
  <c r="E156" i="5"/>
  <c r="E356" i="5"/>
  <c r="E99" i="5"/>
  <c r="E157" i="5"/>
  <c r="E357" i="5"/>
  <c r="E278" i="5"/>
  <c r="E70" i="5"/>
  <c r="E270" i="5"/>
  <c r="E111" i="5"/>
  <c r="E211" i="5"/>
  <c r="E302" i="5"/>
  <c r="E262" i="5"/>
  <c r="E92" i="5"/>
  <c r="E133" i="5"/>
  <c r="E66" i="5"/>
  <c r="E268" i="5"/>
  <c r="E167" i="5"/>
  <c r="E367" i="5"/>
  <c r="E298" i="5"/>
  <c r="E80" i="5"/>
  <c r="E280" i="5"/>
  <c r="E121" i="5"/>
  <c r="E321" i="5"/>
  <c r="E63" i="5"/>
  <c r="E163" i="5"/>
  <c r="E263" i="5"/>
  <c r="E363" i="5"/>
  <c r="E355" i="5"/>
  <c r="E114" i="5"/>
  <c r="E214" i="5"/>
  <c r="E314" i="5"/>
  <c r="E65" i="5"/>
  <c r="E165" i="5"/>
  <c r="E345" i="5"/>
  <c r="E96" i="5"/>
  <c r="E196" i="5"/>
  <c r="E296" i="5"/>
  <c r="E118" i="5"/>
  <c r="E328" i="5"/>
  <c r="E179" i="5"/>
  <c r="E97" i="5"/>
  <c r="E197" i="5"/>
  <c r="E297" i="5"/>
  <c r="E38" i="5"/>
  <c r="E158" i="5"/>
  <c r="E358" i="5"/>
  <c r="E189" i="5"/>
  <c r="E110" i="5"/>
  <c r="E210" i="5"/>
  <c r="E310" i="5"/>
  <c r="E51" i="5"/>
  <c r="E151" i="5"/>
  <c r="E251" i="5"/>
  <c r="E351" i="5"/>
  <c r="E259" i="5"/>
  <c r="E329" i="5"/>
  <c r="E319" i="5"/>
  <c r="E272" i="5"/>
  <c r="E289" i="5"/>
  <c r="E73" i="5"/>
  <c r="E173" i="5"/>
  <c r="E273" i="5"/>
  <c r="E45" i="5"/>
  <c r="E24" i="5"/>
  <c r="E124" i="5"/>
  <c r="E224" i="5"/>
  <c r="E324" i="5"/>
  <c r="E75" i="5"/>
  <c r="E185" i="5"/>
  <c r="E365" i="5"/>
  <c r="E106" i="5"/>
  <c r="E206" i="5"/>
  <c r="E306" i="5"/>
  <c r="E148" i="5"/>
  <c r="E348" i="5"/>
  <c r="E199" i="5"/>
  <c r="E107" i="5"/>
  <c r="E207" i="5"/>
  <c r="E307" i="5"/>
  <c r="E48" i="5"/>
  <c r="E178" i="5"/>
  <c r="E19" i="5"/>
  <c r="E20" i="5"/>
  <c r="E120" i="5"/>
  <c r="E220" i="5"/>
  <c r="E320" i="5"/>
  <c r="E61" i="5"/>
  <c r="E161" i="5"/>
  <c r="E261" i="5"/>
  <c r="E361" i="5"/>
  <c r="E309" i="5"/>
  <c r="E232" i="5"/>
  <c r="E369" i="5"/>
  <c r="E322" i="5"/>
  <c r="E82" i="5"/>
  <c r="E83" i="5"/>
  <c r="E183" i="5"/>
  <c r="E283" i="5"/>
  <c r="E175" i="5"/>
  <c r="E34" i="5"/>
  <c r="E134" i="5"/>
  <c r="E234" i="5"/>
  <c r="E334" i="5"/>
  <c r="E85" i="5"/>
  <c r="E195" i="5"/>
  <c r="E15" i="5"/>
  <c r="E116" i="5"/>
  <c r="E216" i="5"/>
  <c r="E343" i="5"/>
  <c r="E204" i="5"/>
  <c r="E205" i="5"/>
  <c r="E276" i="5"/>
  <c r="E368" i="5"/>
  <c r="E177" i="5"/>
  <c r="E58" i="5"/>
  <c r="E149" i="5"/>
  <c r="E230" i="5"/>
  <c r="E131" i="5"/>
  <c r="E371" i="5"/>
  <c r="E132" i="5"/>
  <c r="E292" i="5"/>
  <c r="E43" i="5"/>
  <c r="E353" i="5"/>
  <c r="E244" i="5"/>
  <c r="E305" i="5"/>
  <c r="E286" i="5"/>
  <c r="E29" i="5"/>
  <c r="E187" i="5"/>
  <c r="E68" i="5"/>
  <c r="E169" i="5"/>
  <c r="E240" i="5"/>
  <c r="E141" i="5"/>
  <c r="E102" i="5"/>
  <c r="E219" i="5"/>
  <c r="E299" i="5"/>
  <c r="E53" i="5"/>
  <c r="E215" i="5"/>
  <c r="E294" i="5"/>
  <c r="E325" i="5"/>
  <c r="E316" i="5"/>
  <c r="E139" i="5"/>
  <c r="E217" i="5"/>
  <c r="E128" i="5"/>
  <c r="E30" i="5"/>
  <c r="E290" i="5"/>
  <c r="E171" i="5"/>
  <c r="E112" i="5"/>
  <c r="E269" i="5"/>
  <c r="E52" i="5"/>
  <c r="E93" i="5"/>
  <c r="E315" i="5"/>
  <c r="E304" i="5"/>
  <c r="E26" i="5"/>
  <c r="E326" i="5"/>
  <c r="E159" i="5"/>
  <c r="E227" i="5"/>
  <c r="E138" i="5"/>
  <c r="E40" i="5"/>
  <c r="E300" i="5"/>
  <c r="E181" i="5"/>
  <c r="E209" i="5"/>
  <c r="E162" i="5"/>
  <c r="E349" i="5"/>
  <c r="E143" i="5"/>
  <c r="E335" i="5"/>
  <c r="E344" i="5"/>
  <c r="E76" i="5"/>
  <c r="E14" i="5"/>
  <c r="E17" i="5"/>
  <c r="E277" i="5"/>
  <c r="E198" i="5"/>
  <c r="E90" i="5"/>
  <c r="E330" i="5"/>
  <c r="E231" i="5"/>
  <c r="E359" i="5"/>
  <c r="E332" i="5"/>
  <c r="E62" i="5"/>
  <c r="E153" i="5"/>
  <c r="E44" i="5"/>
  <c r="E35" i="5"/>
  <c r="E86" i="5"/>
  <c r="E28" i="5"/>
  <c r="E27" i="5"/>
  <c r="E287" i="5"/>
  <c r="E218" i="5"/>
  <c r="E100" i="5"/>
  <c r="E340" i="5"/>
  <c r="E241" i="5"/>
  <c r="E22" i="5"/>
  <c r="E42" i="5"/>
  <c r="E193" i="5"/>
  <c r="E94" i="5"/>
  <c r="E55" i="5"/>
  <c r="E126" i="5"/>
  <c r="E168" i="5"/>
  <c r="E77" i="5"/>
  <c r="E317" i="5"/>
  <c r="E318" i="5"/>
  <c r="E130" i="5"/>
  <c r="E31" i="5"/>
  <c r="E271" i="5"/>
  <c r="E362" i="5"/>
  <c r="E142" i="5"/>
  <c r="E243" i="5"/>
  <c r="E104" i="5"/>
  <c r="E95" i="5"/>
  <c r="E176" i="5"/>
  <c r="E188" i="5"/>
  <c r="E87" i="5"/>
  <c r="E327" i="5"/>
  <c r="E338" i="5"/>
  <c r="E140" i="5"/>
  <c r="E41" i="5"/>
  <c r="E281" i="5"/>
  <c r="E152" i="5"/>
  <c r="E222" i="5"/>
  <c r="E253" i="5"/>
  <c r="E144" i="5"/>
  <c r="E145" i="5"/>
  <c r="E186" i="5"/>
  <c r="E288" i="5"/>
  <c r="E117" i="5"/>
  <c r="E13" i="5"/>
  <c r="D13" i="5" s="1"/>
  <c r="F13" i="5" s="1"/>
  <c r="B14" i="5" s="1"/>
  <c r="C14" i="5" s="1"/>
  <c r="E39" i="5"/>
  <c r="E190" i="5"/>
  <c r="E71" i="5"/>
  <c r="E331" i="5"/>
  <c r="E282" i="5"/>
  <c r="E372" i="5"/>
  <c r="E293" i="5"/>
  <c r="E194" i="5"/>
  <c r="E155" i="5"/>
  <c r="E226" i="5"/>
  <c r="E308" i="5"/>
  <c r="E127" i="5"/>
  <c r="E18" i="5"/>
  <c r="E49" i="5"/>
  <c r="E200" i="5"/>
  <c r="E81" i="5"/>
  <c r="E341" i="5"/>
  <c r="E239" i="5"/>
  <c r="E229" i="5"/>
  <c r="R30" i="1"/>
  <c r="R33" i="1" s="1"/>
  <c r="R45" i="1"/>
  <c r="K40" i="1"/>
  <c r="K56" i="1" s="1"/>
  <c r="K60" i="1" s="1"/>
  <c r="K63" i="1"/>
  <c r="L63" i="1"/>
  <c r="O11" i="1"/>
  <c r="O13" i="1" s="1"/>
  <c r="N63" i="1"/>
  <c r="P9" i="1"/>
  <c r="R14" i="3"/>
  <c r="S6" i="1"/>
  <c r="O22" i="1" l="1"/>
  <c r="O25" i="1" s="1"/>
  <c r="O27" i="1"/>
  <c r="O35" i="1" s="1"/>
  <c r="S45" i="1"/>
  <c r="S30" i="1"/>
  <c r="S33" i="1" s="1"/>
  <c r="P13" i="1"/>
  <c r="P11" i="1"/>
  <c r="D14" i="5"/>
  <c r="F14" i="5" s="1"/>
  <c r="B15" i="5" s="1"/>
  <c r="S14" i="3"/>
  <c r="Q9" i="1"/>
  <c r="T6" i="1"/>
  <c r="C15" i="5" l="1"/>
  <c r="D15" i="5" s="1"/>
  <c r="F15" i="5" s="1"/>
  <c r="B16" i="5" s="1"/>
  <c r="C16" i="5" s="1"/>
  <c r="D16" i="5" s="1"/>
  <c r="F16" i="5" s="1"/>
  <c r="B17" i="5" s="1"/>
  <c r="O44" i="1"/>
  <c r="O40" i="1"/>
  <c r="O56" i="1" s="1"/>
  <c r="O60" i="1" s="1"/>
  <c r="P22" i="1"/>
  <c r="P25" i="1" s="1"/>
  <c r="P27" i="1"/>
  <c r="P35" i="1" s="1"/>
  <c r="T30" i="1"/>
  <c r="T33" i="1" s="1"/>
  <c r="Q11" i="1"/>
  <c r="Q13" i="1"/>
  <c r="O63" i="1"/>
  <c r="T14" i="3"/>
  <c r="P63" i="1"/>
  <c r="R9" i="1"/>
  <c r="M62" i="1"/>
  <c r="O62" i="1"/>
  <c r="N62" i="1"/>
  <c r="K62" i="1"/>
  <c r="L62" i="1"/>
  <c r="D11" i="2"/>
  <c r="E11" i="2" s="1"/>
  <c r="U6" i="1"/>
  <c r="C17" i="5" l="1"/>
  <c r="D17" i="5" s="1"/>
  <c r="F17" i="5"/>
  <c r="B18" i="5" s="1"/>
  <c r="C18" i="5" s="1"/>
  <c r="D18" i="5" s="1"/>
  <c r="F18" i="5" s="1"/>
  <c r="B19" i="5" s="1"/>
  <c r="C19" i="5" s="1"/>
  <c r="D19" i="5" s="1"/>
  <c r="F19" i="5" s="1"/>
  <c r="B20" i="5" s="1"/>
  <c r="C20" i="5" s="1"/>
  <c r="D20" i="5" s="1"/>
  <c r="F20" i="5" s="1"/>
  <c r="B21" i="5" s="1"/>
  <c r="C21" i="5" s="1"/>
  <c r="D21" i="5" s="1"/>
  <c r="F21" i="5" s="1"/>
  <c r="B22" i="5" s="1"/>
  <c r="C22" i="5" s="1"/>
  <c r="D22" i="5" s="1"/>
  <c r="F22" i="5" s="1"/>
  <c r="B23" i="5" s="1"/>
  <c r="C23" i="5" s="1"/>
  <c r="D23" i="5" s="1"/>
  <c r="F23" i="5" s="1"/>
  <c r="B24" i="5" s="1"/>
  <c r="Q22" i="1"/>
  <c r="Q25" i="1" s="1"/>
  <c r="Q27" i="1"/>
  <c r="Q35" i="1" s="1"/>
  <c r="R11" i="1"/>
  <c r="R13" i="1" s="1"/>
  <c r="P44" i="1"/>
  <c r="P40" i="1"/>
  <c r="P56" i="1" s="1"/>
  <c r="P60" i="1" s="1"/>
  <c r="P62" i="1"/>
  <c r="U14" i="3"/>
  <c r="S9" i="1"/>
  <c r="J11" i="2"/>
  <c r="D17" i="2" s="1"/>
  <c r="R22" i="1" l="1"/>
  <c r="R25" i="1" s="1"/>
  <c r="R27" i="1"/>
  <c r="S13" i="1"/>
  <c r="S11" i="1"/>
  <c r="Q62" i="1"/>
  <c r="Q63" i="1"/>
  <c r="Q44" i="1"/>
  <c r="Q40" i="1"/>
  <c r="Q56" i="1" s="1"/>
  <c r="Q60" i="1" s="1"/>
  <c r="C24" i="5"/>
  <c r="D24" i="5" s="1"/>
  <c r="F24" i="5" s="1"/>
  <c r="B25" i="5" s="1"/>
  <c r="T9" i="1"/>
  <c r="K11" i="2"/>
  <c r="R62" i="1"/>
  <c r="C25" i="5" l="1"/>
  <c r="D25" i="5" s="1"/>
  <c r="F25" i="5"/>
  <c r="B26" i="5" s="1"/>
  <c r="T11" i="1"/>
  <c r="T13" i="1"/>
  <c r="S22" i="1"/>
  <c r="S25" i="1" s="1"/>
  <c r="S27" i="1"/>
  <c r="S35" i="1" s="1"/>
  <c r="R35" i="1"/>
  <c r="R63" i="1"/>
  <c r="J17" i="2"/>
  <c r="D20" i="2"/>
  <c r="E17" i="2"/>
  <c r="E20" i="2" s="1"/>
  <c r="S44" i="1" l="1"/>
  <c r="S40" i="1"/>
  <c r="S56" i="1" s="1"/>
  <c r="S60" i="1" s="1"/>
  <c r="R44" i="1"/>
  <c r="R40" i="1"/>
  <c r="R56" i="1" s="1"/>
  <c r="R60" i="1" s="1"/>
  <c r="S62" i="1"/>
  <c r="T22" i="1"/>
  <c r="T25" i="1" s="1"/>
  <c r="T27" i="1" s="1"/>
  <c r="C26" i="5"/>
  <c r="D26" i="5" s="1"/>
  <c r="F26" i="5" s="1"/>
  <c r="B27" i="5" s="1"/>
  <c r="C27" i="5" s="1"/>
  <c r="D27" i="5" s="1"/>
  <c r="F27" i="5" s="1"/>
  <c r="B28" i="5" s="1"/>
  <c r="C28" i="5" s="1"/>
  <c r="D28" i="5" s="1"/>
  <c r="F28" i="5" s="1"/>
  <c r="B29" i="5" s="1"/>
  <c r="C29" i="5" s="1"/>
  <c r="D29" i="5" s="1"/>
  <c r="F29" i="5" s="1"/>
  <c r="B30" i="5" s="1"/>
  <c r="C30" i="5" s="1"/>
  <c r="D30" i="5" s="1"/>
  <c r="F30" i="5" s="1"/>
  <c r="B31" i="5" s="1"/>
  <c r="C31" i="5" s="1"/>
  <c r="D31" i="5" s="1"/>
  <c r="F31" i="5" s="1"/>
  <c r="B32" i="5" s="1"/>
  <c r="C32" i="5" s="1"/>
  <c r="D32" i="5" s="1"/>
  <c r="F32" i="5" s="1"/>
  <c r="B33" i="5" s="1"/>
  <c r="C33" i="5" s="1"/>
  <c r="D33" i="5" s="1"/>
  <c r="F33" i="5" s="1"/>
  <c r="B34" i="5" s="1"/>
  <c r="S63" i="1"/>
  <c r="F17" i="2"/>
  <c r="F16" i="2"/>
  <c r="F19" i="2"/>
  <c r="F15" i="2"/>
  <c r="F20" i="2"/>
  <c r="F18" i="2"/>
  <c r="D12" i="2"/>
  <c r="J55" i="1" s="1"/>
  <c r="J60" i="1" s="1"/>
  <c r="K17" i="2"/>
  <c r="C34" i="5" l="1"/>
  <c r="D34" i="5" s="1"/>
  <c r="F34" i="5" s="1"/>
  <c r="B35" i="5" s="1"/>
  <c r="T35" i="1"/>
  <c r="G57" i="1"/>
  <c r="G58" i="1" s="1"/>
  <c r="T62" i="1"/>
  <c r="T63" i="1"/>
  <c r="E12" i="2"/>
  <c r="E13" i="2" s="1"/>
  <c r="D13" i="2"/>
  <c r="C35" i="5" l="1"/>
  <c r="D35" i="5" s="1"/>
  <c r="F35" i="5" s="1"/>
  <c r="B36" i="5" s="1"/>
  <c r="C36" i="5" s="1"/>
  <c r="D36" i="5" s="1"/>
  <c r="F36" i="5" s="1"/>
  <c r="B37" i="5" s="1"/>
  <c r="C37" i="5" s="1"/>
  <c r="D37" i="5" s="1"/>
  <c r="F37" i="5" s="1"/>
  <c r="B38" i="5" s="1"/>
  <c r="C38" i="5" s="1"/>
  <c r="D38" i="5" s="1"/>
  <c r="F38" i="5" s="1"/>
  <c r="B39" i="5" s="1"/>
  <c r="C39" i="5" s="1"/>
  <c r="D39" i="5" s="1"/>
  <c r="F39" i="5" s="1"/>
  <c r="B40" i="5" s="1"/>
  <c r="T44" i="1"/>
  <c r="T40" i="1"/>
  <c r="T56" i="1" s="1"/>
  <c r="T57" i="1"/>
  <c r="T58" i="1" s="1"/>
  <c r="K46" i="1"/>
  <c r="K47" i="1" s="1"/>
  <c r="L46" i="1"/>
  <c r="L47" i="1" s="1"/>
  <c r="M46" i="1"/>
  <c r="M47" i="1" s="1"/>
  <c r="N46" i="1"/>
  <c r="N47" i="1" s="1"/>
  <c r="O46" i="1"/>
  <c r="O47" i="1" s="1"/>
  <c r="P46" i="1"/>
  <c r="P47" i="1" s="1"/>
  <c r="Q46" i="1"/>
  <c r="Q47" i="1" s="1"/>
  <c r="R46" i="1"/>
  <c r="R47" i="1" s="1"/>
  <c r="S46" i="1"/>
  <c r="S47" i="1" s="1"/>
  <c r="T45" i="1"/>
  <c r="T46" i="1" s="1"/>
  <c r="T47" i="1" s="1"/>
  <c r="S61" i="1"/>
  <c r="F12" i="2"/>
  <c r="F13" i="2"/>
  <c r="F11" i="2"/>
  <c r="O61" i="1"/>
  <c r="Q61" i="1"/>
  <c r="M61" i="1"/>
  <c r="N61" i="1"/>
  <c r="L61" i="1"/>
  <c r="K61" i="1"/>
  <c r="P61" i="1"/>
  <c r="R61" i="1"/>
  <c r="C40" i="5" l="1"/>
  <c r="D40" i="5" s="1"/>
  <c r="F40" i="5"/>
  <c r="B41" i="5" s="1"/>
  <c r="J52" i="1"/>
  <c r="J51" i="1"/>
  <c r="J50" i="1"/>
  <c r="K48" i="1"/>
  <c r="L48" i="1"/>
  <c r="R48" i="1"/>
  <c r="C41" i="5" l="1"/>
  <c r="D41" i="5" s="1"/>
  <c r="F41" i="5" s="1"/>
  <c r="B42" i="5" s="1"/>
  <c r="C42" i="5" s="1"/>
  <c r="D42" i="5" s="1"/>
  <c r="F42" i="5" s="1"/>
  <c r="B43" i="5" s="1"/>
  <c r="C43" i="5" s="1"/>
  <c r="D43" i="5" s="1"/>
  <c r="F43" i="5" s="1"/>
  <c r="B44" i="5" s="1"/>
  <c r="O48" i="1"/>
  <c r="Q48" i="1"/>
  <c r="P48" i="1"/>
  <c r="S48" i="1"/>
  <c r="M48" i="1"/>
  <c r="N48" i="1"/>
  <c r="C44" i="5" l="1"/>
  <c r="D44" i="5" s="1"/>
  <c r="F44" i="5" s="1"/>
  <c r="B45" i="5" s="1"/>
  <c r="C45" i="5" s="1"/>
  <c r="D45" i="5" s="1"/>
  <c r="F45" i="5" s="1"/>
  <c r="B46" i="5" s="1"/>
  <c r="T48" i="1"/>
  <c r="C46" i="5" l="1"/>
  <c r="D46" i="5" s="1"/>
  <c r="F46" i="5"/>
  <c r="B47" i="5" s="1"/>
  <c r="C47" i="5" s="1"/>
  <c r="D47" i="5" s="1"/>
  <c r="F47" i="5" s="1"/>
  <c r="B48" i="5" s="1"/>
  <c r="C48" i="5" s="1"/>
  <c r="D48" i="5" s="1"/>
  <c r="F48" i="5" s="1"/>
  <c r="B49" i="5" s="1"/>
  <c r="C49" i="5" s="1"/>
  <c r="D49" i="5" s="1"/>
  <c r="F49" i="5" s="1"/>
  <c r="B50" i="5" s="1"/>
  <c r="C50" i="5" s="1"/>
  <c r="D50" i="5" s="1"/>
  <c r="F50" i="5" s="1"/>
  <c r="B51" i="5" s="1"/>
  <c r="C51" i="5" s="1"/>
  <c r="D51" i="5" s="1"/>
  <c r="F51" i="5" s="1"/>
  <c r="B52" i="5" s="1"/>
  <c r="H18" i="2"/>
  <c r="G18" i="2" s="1"/>
  <c r="J18" i="2" s="1"/>
  <c r="J20" i="2" s="1"/>
  <c r="C52" i="5" l="1"/>
  <c r="D52" i="5" s="1"/>
  <c r="F52" i="5"/>
  <c r="B53" i="5" s="1"/>
  <c r="H20" i="2"/>
  <c r="L15" i="2"/>
  <c r="L17" i="2"/>
  <c r="L16" i="2"/>
  <c r="L19" i="2"/>
  <c r="L18" i="2"/>
  <c r="G20" i="2"/>
  <c r="K18" i="2"/>
  <c r="K20" i="2" s="1"/>
  <c r="C53" i="5" l="1"/>
  <c r="D53" i="5" s="1"/>
  <c r="F53" i="5" s="1"/>
  <c r="B54" i="5" s="1"/>
  <c r="G12" i="2"/>
  <c r="I15" i="2"/>
  <c r="I16" i="2"/>
  <c r="I19" i="2"/>
  <c r="I17" i="2"/>
  <c r="I20" i="2"/>
  <c r="I18" i="2"/>
  <c r="L20" i="2"/>
  <c r="C54" i="5" l="1"/>
  <c r="D54" i="5" s="1"/>
  <c r="F54" i="5"/>
  <c r="B55" i="5" s="1"/>
  <c r="J12" i="2"/>
  <c r="G13" i="2"/>
  <c r="H12" i="2"/>
  <c r="H13" i="2" s="1"/>
  <c r="C55" i="5" l="1"/>
  <c r="D55" i="5" s="1"/>
  <c r="F55" i="5" s="1"/>
  <c r="B56" i="5" s="1"/>
  <c r="I11" i="2"/>
  <c r="I13" i="2"/>
  <c r="K12" i="2"/>
  <c r="K13" i="2" s="1"/>
  <c r="J13" i="2"/>
  <c r="L11" i="2" s="1"/>
  <c r="I12" i="2"/>
  <c r="C56" i="5" l="1"/>
  <c r="D56" i="5" s="1"/>
  <c r="F56" i="5"/>
  <c r="B57" i="5" s="1"/>
  <c r="C57" i="5" s="1"/>
  <c r="D57" i="5" s="1"/>
  <c r="F57" i="5" s="1"/>
  <c r="B58" i="5" s="1"/>
  <c r="C58" i="5" s="1"/>
  <c r="D58" i="5" s="1"/>
  <c r="F58" i="5" s="1"/>
  <c r="B59" i="5" s="1"/>
  <c r="C59" i="5" s="1"/>
  <c r="D59" i="5" s="1"/>
  <c r="F59" i="5" s="1"/>
  <c r="B60" i="5" s="1"/>
  <c r="C60" i="5" s="1"/>
  <c r="D60" i="5" s="1"/>
  <c r="F60" i="5" s="1"/>
  <c r="B61" i="5" s="1"/>
  <c r="C61" i="5" s="1"/>
  <c r="D61" i="5" s="1"/>
  <c r="F61" i="5" s="1"/>
  <c r="B62" i="5" s="1"/>
  <c r="C62" i="5" s="1"/>
  <c r="D62" i="5" s="1"/>
  <c r="F62" i="5" s="1"/>
  <c r="B63" i="5" s="1"/>
  <c r="C63" i="5" s="1"/>
  <c r="D63" i="5" s="1"/>
  <c r="F63" i="5" s="1"/>
  <c r="B64" i="5" s="1"/>
  <c r="L12" i="2"/>
  <c r="L13" i="2"/>
  <c r="C64" i="5" l="1"/>
  <c r="D64" i="5" s="1"/>
  <c r="F64" i="5"/>
  <c r="B65" i="5" s="1"/>
  <c r="C65" i="5" s="1"/>
  <c r="D65" i="5" s="1"/>
  <c r="F65" i="5" s="1"/>
  <c r="B66" i="5" s="1"/>
  <c r="C66" i="5"/>
  <c r="D66" i="5" s="1"/>
  <c r="F66" i="5"/>
  <c r="B67" i="5" s="1"/>
  <c r="C67" i="5" s="1"/>
  <c r="D67" i="5" s="1"/>
  <c r="F67" i="5" s="1"/>
  <c r="B68" i="5" s="1"/>
  <c r="C68" i="5" s="1"/>
  <c r="D68" i="5" s="1"/>
  <c r="F68" i="5" s="1"/>
  <c r="B69" i="5" s="1"/>
  <c r="C69" i="5" s="1"/>
  <c r="D69" i="5" s="1"/>
  <c r="F69" i="5" s="1"/>
  <c r="B70" i="5" s="1"/>
  <c r="C70" i="5" l="1"/>
  <c r="D70" i="5" s="1"/>
  <c r="F70" i="5"/>
  <c r="B71" i="5" s="1"/>
  <c r="C71" i="5" s="1"/>
  <c r="D71" i="5" s="1"/>
  <c r="F71" i="5" s="1"/>
  <c r="B72" i="5" s="1"/>
  <c r="C72" i="5" s="1"/>
  <c r="D72" i="5" s="1"/>
  <c r="F72" i="5" s="1"/>
  <c r="B73" i="5" s="1"/>
  <c r="C73" i="5" s="1"/>
  <c r="D73" i="5" s="1"/>
  <c r="F73" i="5" s="1"/>
  <c r="B74" i="5" s="1"/>
  <c r="C74" i="5" l="1"/>
  <c r="D74" i="5" s="1"/>
  <c r="F74" i="5"/>
  <c r="B75" i="5" s="1"/>
  <c r="C75" i="5" l="1"/>
  <c r="D75" i="5" s="1"/>
  <c r="F75" i="5"/>
  <c r="B76" i="5" s="1"/>
  <c r="C76" i="5" l="1"/>
  <c r="D76" i="5" s="1"/>
  <c r="F76" i="5" s="1"/>
  <c r="B77" i="5" s="1"/>
  <c r="C77" i="5" s="1"/>
  <c r="D77" i="5" s="1"/>
  <c r="F77" i="5" s="1"/>
  <c r="B78" i="5" s="1"/>
  <c r="C78" i="5" s="1"/>
  <c r="D78" i="5" s="1"/>
  <c r="F78" i="5" s="1"/>
  <c r="B79" i="5" s="1"/>
  <c r="C79" i="5" s="1"/>
  <c r="D79" i="5" s="1"/>
  <c r="F79" i="5" s="1"/>
  <c r="B80" i="5" s="1"/>
  <c r="C80" i="5" s="1"/>
  <c r="D80" i="5" s="1"/>
  <c r="F80" i="5" s="1"/>
  <c r="B81" i="5" s="1"/>
  <c r="C81" i="5" l="1"/>
  <c r="D81" i="5" s="1"/>
  <c r="F81" i="5"/>
  <c r="B82" i="5" s="1"/>
  <c r="C82" i="5" l="1"/>
  <c r="D82" i="5" s="1"/>
  <c r="F82" i="5"/>
  <c r="B83" i="5" s="1"/>
  <c r="C83" i="5" l="1"/>
  <c r="D83" i="5" s="1"/>
  <c r="F83" i="5"/>
  <c r="B84" i="5" s="1"/>
  <c r="C84" i="5" l="1"/>
  <c r="D84" i="5" s="1"/>
  <c r="F84" i="5" s="1"/>
  <c r="B85" i="5" s="1"/>
  <c r="C85" i="5" l="1"/>
  <c r="D85" i="5" s="1"/>
  <c r="F85" i="5"/>
  <c r="B86" i="5" s="1"/>
  <c r="C86" i="5" l="1"/>
  <c r="D86" i="5" s="1"/>
  <c r="F86" i="5"/>
  <c r="B87" i="5" s="1"/>
  <c r="C87" i="5" s="1"/>
  <c r="D87" i="5" s="1"/>
  <c r="F87" i="5" s="1"/>
  <c r="B88" i="5" s="1"/>
  <c r="C88" i="5" s="1"/>
  <c r="D88" i="5" s="1"/>
  <c r="F88" i="5" s="1"/>
  <c r="B89" i="5" s="1"/>
  <c r="C89" i="5" l="1"/>
  <c r="D89" i="5" s="1"/>
  <c r="F89" i="5" s="1"/>
  <c r="B90" i="5" s="1"/>
  <c r="C90" i="5" s="1"/>
  <c r="D90" i="5" s="1"/>
  <c r="F90" i="5" s="1"/>
  <c r="B91" i="5" s="1"/>
  <c r="C91" i="5" s="1"/>
  <c r="D91" i="5" s="1"/>
  <c r="F91" i="5" s="1"/>
  <c r="B92" i="5" s="1"/>
  <c r="C92" i="5" s="1"/>
  <c r="D92" i="5" s="1"/>
  <c r="F92" i="5" s="1"/>
  <c r="B93" i="5" s="1"/>
  <c r="C93" i="5" s="1"/>
  <c r="D93" i="5" s="1"/>
  <c r="F93" i="5" s="1"/>
  <c r="B94" i="5" s="1"/>
  <c r="C94" i="5" l="1"/>
  <c r="D94" i="5" s="1"/>
  <c r="F94" i="5"/>
  <c r="B95" i="5" s="1"/>
  <c r="C95" i="5" l="1"/>
  <c r="D95" i="5" s="1"/>
  <c r="F95" i="5"/>
  <c r="B96" i="5" s="1"/>
  <c r="C96" i="5" l="1"/>
  <c r="D96" i="5" s="1"/>
  <c r="F96" i="5" s="1"/>
  <c r="B97" i="5" s="1"/>
  <c r="C97" i="5" l="1"/>
  <c r="D97" i="5" s="1"/>
  <c r="F97" i="5" s="1"/>
  <c r="B98" i="5" s="1"/>
  <c r="C98" i="5" s="1"/>
  <c r="D98" i="5" s="1"/>
  <c r="F98" i="5" s="1"/>
  <c r="B99" i="5" s="1"/>
  <c r="C99" i="5" s="1"/>
  <c r="D99" i="5" s="1"/>
  <c r="F99" i="5" s="1"/>
  <c r="B100" i="5" s="1"/>
  <c r="C100" i="5" s="1"/>
  <c r="D100" i="5" s="1"/>
  <c r="F100" i="5" s="1"/>
  <c r="B101" i="5" s="1"/>
  <c r="C101" i="5" s="1"/>
  <c r="D101" i="5" s="1"/>
  <c r="F101" i="5" s="1"/>
  <c r="B102" i="5" s="1"/>
  <c r="C102" i="5" s="1"/>
  <c r="D102" i="5" s="1"/>
  <c r="F102" i="5" s="1"/>
  <c r="B103" i="5" s="1"/>
  <c r="C103" i="5" s="1"/>
  <c r="D103" i="5" s="1"/>
  <c r="F103" i="5" s="1"/>
  <c r="B104" i="5" s="1"/>
  <c r="C104" i="5" l="1"/>
  <c r="D104" i="5" s="1"/>
  <c r="F104" i="5"/>
  <c r="B105" i="5" s="1"/>
  <c r="C105" i="5" l="1"/>
  <c r="D105" i="5" s="1"/>
  <c r="F105" i="5"/>
  <c r="B106" i="5" s="1"/>
  <c r="C106" i="5" l="1"/>
  <c r="D106" i="5" s="1"/>
  <c r="F106" i="5"/>
  <c r="B107" i="5" s="1"/>
  <c r="C107" i="5" s="1"/>
  <c r="D107" i="5" s="1"/>
  <c r="F107" i="5" s="1"/>
  <c r="B108" i="5" s="1"/>
  <c r="C108" i="5" s="1"/>
  <c r="D108" i="5" s="1"/>
  <c r="F108" i="5" s="1"/>
  <c r="B109" i="5" s="1"/>
  <c r="C109" i="5" s="1"/>
  <c r="D109" i="5" s="1"/>
  <c r="F109" i="5" s="1"/>
  <c r="B110" i="5" s="1"/>
  <c r="C110" i="5" s="1"/>
  <c r="D110" i="5" s="1"/>
  <c r="F110" i="5" s="1"/>
  <c r="B111" i="5" s="1"/>
  <c r="C111" i="5" l="1"/>
  <c r="D111" i="5" s="1"/>
  <c r="F111" i="5"/>
  <c r="B112" i="5" s="1"/>
  <c r="C112" i="5" l="1"/>
  <c r="D112" i="5" s="1"/>
  <c r="F112" i="5" s="1"/>
  <c r="B113" i="5" s="1"/>
  <c r="C113" i="5" s="1"/>
  <c r="D113" i="5" s="1"/>
  <c r="F113" i="5" s="1"/>
  <c r="B114" i="5" s="1"/>
  <c r="C114" i="5" l="1"/>
  <c r="D114" i="5" s="1"/>
  <c r="F114" i="5"/>
  <c r="B115" i="5" s="1"/>
  <c r="C115" i="5" s="1"/>
  <c r="D115" i="5" s="1"/>
  <c r="F115" i="5" s="1"/>
  <c r="B116" i="5" s="1"/>
  <c r="C116" i="5" l="1"/>
  <c r="D116" i="5" s="1"/>
  <c r="F116" i="5"/>
  <c r="B117" i="5" s="1"/>
  <c r="C117" i="5" s="1"/>
  <c r="D117" i="5" s="1"/>
  <c r="F117" i="5" s="1"/>
  <c r="B118" i="5" s="1"/>
  <c r="C118" i="5" s="1"/>
  <c r="D118" i="5" s="1"/>
  <c r="F118" i="5" s="1"/>
  <c r="B119" i="5" s="1"/>
  <c r="C119" i="5" s="1"/>
  <c r="D119" i="5" s="1"/>
  <c r="F119" i="5" s="1"/>
  <c r="B120" i="5" s="1"/>
  <c r="C120" i="5" s="1"/>
  <c r="D120" i="5" s="1"/>
  <c r="F120" i="5" s="1"/>
  <c r="B121" i="5" s="1"/>
  <c r="C121" i="5" s="1"/>
  <c r="D121" i="5" s="1"/>
  <c r="F121" i="5" s="1"/>
  <c r="B122" i="5" s="1"/>
  <c r="C122" i="5" s="1"/>
  <c r="D122" i="5" s="1"/>
  <c r="F122" i="5" s="1"/>
  <c r="B123" i="5" s="1"/>
  <c r="C123" i="5" s="1"/>
  <c r="D123" i="5" s="1"/>
  <c r="F123" i="5" s="1"/>
  <c r="B124" i="5" s="1"/>
  <c r="C124" i="5" l="1"/>
  <c r="D124" i="5" s="1"/>
  <c r="F124" i="5"/>
  <c r="B125" i="5" s="1"/>
  <c r="C125" i="5" l="1"/>
  <c r="D125" i="5" s="1"/>
  <c r="F125" i="5"/>
  <c r="B126" i="5" s="1"/>
  <c r="C126" i="5" l="1"/>
  <c r="D126" i="5" s="1"/>
  <c r="F126" i="5"/>
  <c r="B127" i="5" s="1"/>
  <c r="C127" i="5" s="1"/>
  <c r="D127" i="5" s="1"/>
  <c r="F127" i="5" s="1"/>
  <c r="B128" i="5" s="1"/>
  <c r="C128" i="5" s="1"/>
  <c r="D128" i="5" s="1"/>
  <c r="F128" i="5" s="1"/>
  <c r="B129" i="5" s="1"/>
  <c r="C129" i="5" s="1"/>
  <c r="D129" i="5" s="1"/>
  <c r="F129" i="5" s="1"/>
  <c r="B130" i="5" s="1"/>
  <c r="C130" i="5" s="1"/>
  <c r="D130" i="5" s="1"/>
  <c r="F130" i="5" s="1"/>
  <c r="B131" i="5" s="1"/>
  <c r="C131" i="5" s="1"/>
  <c r="D131" i="5" s="1"/>
  <c r="F131" i="5" s="1"/>
  <c r="B132" i="5" s="1"/>
  <c r="C132" i="5" s="1"/>
  <c r="D132" i="5" s="1"/>
  <c r="F132" i="5" s="1"/>
  <c r="B133" i="5" l="1"/>
  <c r="C133" i="5" s="1"/>
  <c r="D133" i="5" s="1"/>
  <c r="F133" i="5" s="1"/>
  <c r="B134" i="5" s="1"/>
  <c r="T59" i="1"/>
  <c r="T60" i="1" s="1"/>
  <c r="J67" i="1" l="1"/>
  <c r="J66" i="1"/>
  <c r="J65" i="1"/>
  <c r="T61" i="1"/>
  <c r="C134" i="5"/>
  <c r="D134" i="5" s="1"/>
  <c r="F134" i="5"/>
  <c r="B135" i="5" s="1"/>
  <c r="C135" i="5" l="1"/>
  <c r="D135" i="5" s="1"/>
  <c r="F135" i="5"/>
  <c r="B136" i="5" s="1"/>
  <c r="C136" i="5" l="1"/>
  <c r="D136" i="5" s="1"/>
  <c r="F136" i="5"/>
  <c r="B137" i="5" s="1"/>
  <c r="C137" i="5" s="1"/>
  <c r="D137" i="5" s="1"/>
  <c r="F137" i="5" s="1"/>
  <c r="B138" i="5" s="1"/>
  <c r="C138" i="5" s="1"/>
  <c r="D138" i="5" s="1"/>
  <c r="F138" i="5" s="1"/>
  <c r="B139" i="5" s="1"/>
  <c r="C139" i="5" s="1"/>
  <c r="D139" i="5" s="1"/>
  <c r="F139" i="5" s="1"/>
  <c r="B140" i="5" s="1"/>
  <c r="C140" i="5" l="1"/>
  <c r="D140" i="5" s="1"/>
  <c r="F140" i="5"/>
  <c r="B141" i="5" s="1"/>
  <c r="C141" i="5" l="1"/>
  <c r="D141" i="5" s="1"/>
  <c r="F141" i="5"/>
  <c r="B142" i="5" s="1"/>
  <c r="C142" i="5" s="1"/>
  <c r="D142" i="5" s="1"/>
  <c r="F142" i="5" s="1"/>
  <c r="B143" i="5" s="1"/>
  <c r="C143" i="5" s="1"/>
  <c r="D143" i="5" s="1"/>
  <c r="F143" i="5" s="1"/>
  <c r="B144" i="5" s="1"/>
  <c r="C144" i="5" l="1"/>
  <c r="D144" i="5" s="1"/>
  <c r="F144" i="5"/>
  <c r="B145" i="5" s="1"/>
  <c r="C145" i="5" l="1"/>
  <c r="D145" i="5" s="1"/>
  <c r="F145" i="5"/>
  <c r="B146" i="5" s="1"/>
  <c r="C146" i="5" l="1"/>
  <c r="D146" i="5" s="1"/>
  <c r="F146" i="5"/>
  <c r="B147" i="5" s="1"/>
  <c r="C147" i="5" s="1"/>
  <c r="D147" i="5" s="1"/>
  <c r="F147" i="5" s="1"/>
  <c r="B148" i="5" s="1"/>
  <c r="C148" i="5" s="1"/>
  <c r="D148" i="5" s="1"/>
  <c r="F148" i="5" s="1"/>
  <c r="B149" i="5" s="1"/>
  <c r="C149" i="5" s="1"/>
  <c r="D149" i="5" s="1"/>
  <c r="F149" i="5" s="1"/>
  <c r="B150" i="5" s="1"/>
  <c r="C150" i="5" s="1"/>
  <c r="D150" i="5" s="1"/>
  <c r="F150" i="5" s="1"/>
  <c r="B151" i="5" s="1"/>
  <c r="C151" i="5" s="1"/>
  <c r="D151" i="5" s="1"/>
  <c r="F151" i="5" s="1"/>
  <c r="B152" i="5" s="1"/>
  <c r="C152" i="5" s="1"/>
  <c r="D152" i="5" s="1"/>
  <c r="F152" i="5" s="1"/>
  <c r="B153" i="5" s="1"/>
  <c r="C153" i="5" l="1"/>
  <c r="D153" i="5" s="1"/>
  <c r="F153" i="5"/>
  <c r="B154" i="5" s="1"/>
  <c r="C154" i="5" l="1"/>
  <c r="D154" i="5" s="1"/>
  <c r="F154" i="5"/>
  <c r="B155" i="5" s="1"/>
  <c r="C155" i="5" l="1"/>
  <c r="D155" i="5" s="1"/>
  <c r="F155" i="5"/>
  <c r="B156" i="5" s="1"/>
  <c r="C156" i="5" l="1"/>
  <c r="D156" i="5" s="1"/>
  <c r="F156" i="5"/>
  <c r="B157" i="5" s="1"/>
  <c r="C157" i="5" s="1"/>
  <c r="D157" i="5" s="1"/>
  <c r="F157" i="5" s="1"/>
  <c r="B158" i="5" s="1"/>
  <c r="C158" i="5" s="1"/>
  <c r="D158" i="5" s="1"/>
  <c r="F158" i="5" s="1"/>
  <c r="B159" i="5" s="1"/>
  <c r="C159" i="5" s="1"/>
  <c r="D159" i="5" s="1"/>
  <c r="F159" i="5" s="1"/>
  <c r="B160" i="5" s="1"/>
  <c r="C160" i="5" s="1"/>
  <c r="D160" i="5" s="1"/>
  <c r="F160" i="5" s="1"/>
  <c r="B161" i="5" s="1"/>
  <c r="C161" i="5" s="1"/>
  <c r="D161" i="5" s="1"/>
  <c r="F161" i="5" s="1"/>
  <c r="B162" i="5" s="1"/>
  <c r="C162" i="5" s="1"/>
  <c r="D162" i="5" s="1"/>
  <c r="F162" i="5" s="1"/>
  <c r="B163" i="5" s="1"/>
  <c r="C163" i="5" s="1"/>
  <c r="D163" i="5" s="1"/>
  <c r="F163" i="5" s="1"/>
  <c r="B164" i="5" s="1"/>
  <c r="C164" i="5" l="1"/>
  <c r="D164" i="5" s="1"/>
  <c r="F164" i="5"/>
  <c r="B165" i="5" s="1"/>
  <c r="C165" i="5" l="1"/>
  <c r="D165" i="5" s="1"/>
  <c r="F165" i="5" s="1"/>
  <c r="B166" i="5" s="1"/>
  <c r="C166" i="5" l="1"/>
  <c r="D166" i="5" s="1"/>
  <c r="F166" i="5"/>
  <c r="B167" i="5" s="1"/>
  <c r="C167" i="5" s="1"/>
  <c r="D167" i="5" s="1"/>
  <c r="F167" i="5" s="1"/>
  <c r="B168" i="5" s="1"/>
  <c r="C168" i="5" s="1"/>
  <c r="D168" i="5" s="1"/>
  <c r="F168" i="5" s="1"/>
  <c r="B169" i="5" s="1"/>
  <c r="C169" i="5" s="1"/>
  <c r="D169" i="5" s="1"/>
  <c r="F169" i="5" s="1"/>
  <c r="B170" i="5" s="1"/>
  <c r="C170" i="5" l="1"/>
  <c r="D170" i="5" s="1"/>
  <c r="F170" i="5"/>
  <c r="B171" i="5" s="1"/>
  <c r="C171" i="5" s="1"/>
  <c r="D171" i="5" s="1"/>
  <c r="F171" i="5" s="1"/>
  <c r="B172" i="5" s="1"/>
  <c r="C172" i="5" s="1"/>
  <c r="D172" i="5" s="1"/>
  <c r="F172" i="5" s="1"/>
  <c r="B173" i="5" s="1"/>
  <c r="C173" i="5" s="1"/>
  <c r="D173" i="5" s="1"/>
  <c r="F173" i="5" s="1"/>
  <c r="B174" i="5" s="1"/>
  <c r="C174" i="5" l="1"/>
  <c r="D174" i="5" s="1"/>
  <c r="F174" i="5"/>
  <c r="B175" i="5" s="1"/>
  <c r="C175" i="5" l="1"/>
  <c r="D175" i="5" s="1"/>
  <c r="F175" i="5"/>
  <c r="B176" i="5" s="1"/>
  <c r="C176" i="5" l="1"/>
  <c r="D176" i="5" s="1"/>
  <c r="F176" i="5"/>
  <c r="B177" i="5" s="1"/>
  <c r="C177" i="5" s="1"/>
  <c r="D177" i="5" s="1"/>
  <c r="F177" i="5" s="1"/>
  <c r="B178" i="5" s="1"/>
  <c r="C178" i="5" s="1"/>
  <c r="D178" i="5" s="1"/>
  <c r="F178" i="5" s="1"/>
  <c r="B179" i="5" s="1"/>
  <c r="C179" i="5" s="1"/>
  <c r="D179" i="5" s="1"/>
  <c r="F179" i="5" s="1"/>
  <c r="B180" i="5" s="1"/>
  <c r="C180" i="5" s="1"/>
  <c r="D180" i="5" s="1"/>
  <c r="F180" i="5" s="1"/>
  <c r="B181" i="5" s="1"/>
  <c r="C181" i="5" s="1"/>
  <c r="D181" i="5" s="1"/>
  <c r="F181" i="5" s="1"/>
  <c r="B182" i="5" s="1"/>
  <c r="C182" i="5" s="1"/>
  <c r="D182" i="5" s="1"/>
  <c r="F182" i="5" s="1"/>
  <c r="B183" i="5" s="1"/>
  <c r="C183" i="5" l="1"/>
  <c r="D183" i="5" s="1"/>
  <c r="F183" i="5" s="1"/>
  <c r="B184" i="5" s="1"/>
  <c r="C184" i="5" l="1"/>
  <c r="D184" i="5" s="1"/>
  <c r="F184" i="5"/>
  <c r="B185" i="5" s="1"/>
  <c r="C185" i="5" l="1"/>
  <c r="D185" i="5" s="1"/>
  <c r="F185" i="5"/>
  <c r="B186" i="5" s="1"/>
  <c r="C186" i="5" s="1"/>
  <c r="D186" i="5" s="1"/>
  <c r="F186" i="5" s="1"/>
  <c r="B187" i="5" s="1"/>
  <c r="C187" i="5" s="1"/>
  <c r="D187" i="5" s="1"/>
  <c r="F187" i="5" s="1"/>
  <c r="B188" i="5" s="1"/>
  <c r="C188" i="5" s="1"/>
  <c r="D188" i="5" s="1"/>
  <c r="F188" i="5" s="1"/>
  <c r="B189" i="5" s="1"/>
  <c r="C189" i="5" s="1"/>
  <c r="D189" i="5" s="1"/>
  <c r="F189" i="5" s="1"/>
  <c r="B190" i="5" s="1"/>
  <c r="C190" i="5" s="1"/>
  <c r="D190" i="5" s="1"/>
  <c r="F190" i="5" s="1"/>
  <c r="B191" i="5" s="1"/>
  <c r="C191" i="5" s="1"/>
  <c r="D191" i="5" s="1"/>
  <c r="F191" i="5" s="1"/>
  <c r="B192" i="5" s="1"/>
  <c r="C192" i="5" s="1"/>
  <c r="D192" i="5" s="1"/>
  <c r="F192" i="5" s="1"/>
  <c r="B193" i="5" s="1"/>
  <c r="C193" i="5" s="1"/>
  <c r="D193" i="5" s="1"/>
  <c r="F193" i="5" s="1"/>
  <c r="B194" i="5" s="1"/>
  <c r="C194" i="5" l="1"/>
  <c r="D194" i="5" s="1"/>
  <c r="F194" i="5"/>
  <c r="B195" i="5" s="1"/>
  <c r="C195" i="5" l="1"/>
  <c r="D195" i="5" s="1"/>
  <c r="F195" i="5"/>
  <c r="B196" i="5" s="1"/>
  <c r="C196" i="5" l="1"/>
  <c r="D196" i="5" s="1"/>
  <c r="F196" i="5"/>
  <c r="B197" i="5" s="1"/>
  <c r="C197" i="5" s="1"/>
  <c r="D197" i="5" s="1"/>
  <c r="F197" i="5" s="1"/>
  <c r="B198" i="5" s="1"/>
  <c r="C198" i="5" s="1"/>
  <c r="D198" i="5" s="1"/>
  <c r="F198" i="5" s="1"/>
  <c r="B199" i="5" s="1"/>
  <c r="C199" i="5" s="1"/>
  <c r="D199" i="5" s="1"/>
  <c r="F199" i="5" s="1"/>
  <c r="B200" i="5" s="1"/>
  <c r="C200" i="5" s="1"/>
  <c r="D200" i="5" s="1"/>
  <c r="F200" i="5" s="1"/>
  <c r="B201" i="5" s="1"/>
  <c r="C201" i="5" s="1"/>
  <c r="D201" i="5" s="1"/>
  <c r="F201" i="5" s="1"/>
  <c r="B202" i="5" s="1"/>
  <c r="C202" i="5" s="1"/>
  <c r="D202" i="5" s="1"/>
  <c r="F202" i="5" s="1"/>
  <c r="B203" i="5" s="1"/>
  <c r="C203" i="5" s="1"/>
  <c r="D203" i="5" s="1"/>
  <c r="F203" i="5" s="1"/>
  <c r="B204" i="5" s="1"/>
  <c r="C204" i="5" l="1"/>
  <c r="D204" i="5" s="1"/>
  <c r="F204" i="5"/>
  <c r="B205" i="5" s="1"/>
  <c r="C205" i="5" l="1"/>
  <c r="D205" i="5" s="1"/>
  <c r="F205" i="5"/>
  <c r="B206" i="5" s="1"/>
  <c r="C206" i="5" l="1"/>
  <c r="D206" i="5" s="1"/>
  <c r="F206" i="5"/>
  <c r="B207" i="5" s="1"/>
  <c r="C207" i="5" s="1"/>
  <c r="D207" i="5" s="1"/>
  <c r="F207" i="5" s="1"/>
  <c r="B208" i="5" s="1"/>
  <c r="C208" i="5" s="1"/>
  <c r="D208" i="5" s="1"/>
  <c r="F208" i="5" s="1"/>
  <c r="B209" i="5" s="1"/>
  <c r="C209" i="5" s="1"/>
  <c r="D209" i="5" s="1"/>
  <c r="F209" i="5" s="1"/>
  <c r="B210" i="5" s="1"/>
  <c r="C210" i="5" l="1"/>
  <c r="D210" i="5" s="1"/>
  <c r="F210" i="5"/>
  <c r="B211" i="5" s="1"/>
  <c r="C211" i="5" l="1"/>
  <c r="D211" i="5" s="1"/>
  <c r="F211" i="5"/>
  <c r="B212" i="5" s="1"/>
  <c r="C212" i="5" l="1"/>
  <c r="D212" i="5" s="1"/>
  <c r="F212" i="5" s="1"/>
  <c r="B213" i="5" s="1"/>
  <c r="C213" i="5" s="1"/>
  <c r="D213" i="5" s="1"/>
  <c r="F213" i="5" s="1"/>
  <c r="B214" i="5" s="1"/>
  <c r="C214" i="5" l="1"/>
  <c r="D214" i="5" s="1"/>
  <c r="F214" i="5"/>
  <c r="B215" i="5" s="1"/>
  <c r="C215" i="5" l="1"/>
  <c r="D215" i="5" s="1"/>
  <c r="F215" i="5"/>
  <c r="B216" i="5" s="1"/>
  <c r="C216" i="5" l="1"/>
  <c r="D216" i="5" s="1"/>
  <c r="F216" i="5"/>
  <c r="B217" i="5" s="1"/>
  <c r="C217" i="5" s="1"/>
  <c r="D217" i="5" s="1"/>
  <c r="F217" i="5" s="1"/>
  <c r="B218" i="5" s="1"/>
  <c r="C218" i="5" s="1"/>
  <c r="D218" i="5" s="1"/>
  <c r="F218" i="5" s="1"/>
  <c r="B219" i="5" s="1"/>
  <c r="C219" i="5" s="1"/>
  <c r="D219" i="5" s="1"/>
  <c r="F219" i="5" s="1"/>
  <c r="B220" i="5" s="1"/>
  <c r="C220" i="5" s="1"/>
  <c r="D220" i="5" s="1"/>
  <c r="F220" i="5" s="1"/>
  <c r="B221" i="5" s="1"/>
  <c r="C221" i="5" s="1"/>
  <c r="D221" i="5" s="1"/>
  <c r="F221" i="5" s="1"/>
  <c r="B222" i="5" s="1"/>
  <c r="C222" i="5" s="1"/>
  <c r="D222" i="5" s="1"/>
  <c r="F222" i="5" s="1"/>
  <c r="B223" i="5" s="1"/>
  <c r="C223" i="5" s="1"/>
  <c r="D223" i="5" s="1"/>
  <c r="F223" i="5" s="1"/>
  <c r="B224" i="5" s="1"/>
  <c r="C224" i="5" l="1"/>
  <c r="D224" i="5" s="1"/>
  <c r="F224" i="5"/>
  <c r="B225" i="5" s="1"/>
  <c r="C225" i="5" l="1"/>
  <c r="D225" i="5" s="1"/>
  <c r="F225" i="5"/>
  <c r="B226" i="5" s="1"/>
  <c r="C226" i="5" l="1"/>
  <c r="D226" i="5" s="1"/>
  <c r="F226" i="5"/>
  <c r="B227" i="5" s="1"/>
  <c r="C227" i="5" s="1"/>
  <c r="D227" i="5" s="1"/>
  <c r="F227" i="5" s="1"/>
  <c r="B228" i="5" s="1"/>
  <c r="C228" i="5" s="1"/>
  <c r="D228" i="5" s="1"/>
  <c r="F228" i="5" s="1"/>
  <c r="B229" i="5" s="1"/>
  <c r="C229" i="5" s="1"/>
  <c r="D229" i="5" s="1"/>
  <c r="F229" i="5" s="1"/>
  <c r="B230" i="5" s="1"/>
  <c r="C230" i="5" s="1"/>
  <c r="D230" i="5" s="1"/>
  <c r="F230" i="5" s="1"/>
  <c r="B231" i="5" s="1"/>
  <c r="C231" i="5" s="1"/>
  <c r="D231" i="5" s="1"/>
  <c r="F231" i="5" s="1"/>
  <c r="B232" i="5" s="1"/>
  <c r="C232" i="5" s="1"/>
  <c r="D232" i="5" s="1"/>
  <c r="F232" i="5" s="1"/>
  <c r="B233" i="5" s="1"/>
  <c r="C233" i="5" s="1"/>
  <c r="D233" i="5" s="1"/>
  <c r="F233" i="5" s="1"/>
  <c r="B234" i="5" s="1"/>
  <c r="C234" i="5" l="1"/>
  <c r="D234" i="5" s="1"/>
  <c r="F234" i="5"/>
  <c r="B235" i="5" s="1"/>
  <c r="C235" i="5" l="1"/>
  <c r="D235" i="5" s="1"/>
  <c r="F235" i="5"/>
  <c r="B236" i="5" s="1"/>
  <c r="C236" i="5" l="1"/>
  <c r="D236" i="5" s="1"/>
  <c r="F236" i="5"/>
  <c r="B237" i="5" s="1"/>
  <c r="C237" i="5" s="1"/>
  <c r="D237" i="5" s="1"/>
  <c r="F237" i="5" s="1"/>
  <c r="B238" i="5" s="1"/>
  <c r="C238" i="5" s="1"/>
  <c r="D238" i="5" s="1"/>
  <c r="F238" i="5" s="1"/>
  <c r="B239" i="5" s="1"/>
  <c r="C239" i="5" s="1"/>
  <c r="D239" i="5" s="1"/>
  <c r="F239" i="5" s="1"/>
  <c r="B240" i="5" s="1"/>
  <c r="C240" i="5" l="1"/>
  <c r="D240" i="5" s="1"/>
  <c r="F240" i="5"/>
  <c r="B241" i="5" s="1"/>
  <c r="C241" i="5" l="1"/>
  <c r="D241" i="5" s="1"/>
  <c r="F241" i="5"/>
  <c r="B242" i="5" s="1"/>
  <c r="C242" i="5" s="1"/>
  <c r="D242" i="5" s="1"/>
  <c r="F242" i="5" s="1"/>
  <c r="B243" i="5" s="1"/>
  <c r="C243" i="5" s="1"/>
  <c r="D243" i="5" s="1"/>
  <c r="F243" i="5" s="1"/>
  <c r="B244" i="5" s="1"/>
  <c r="C244" i="5" l="1"/>
  <c r="D244" i="5" s="1"/>
  <c r="F244" i="5"/>
  <c r="B245" i="5" s="1"/>
  <c r="C245" i="5" l="1"/>
  <c r="D245" i="5" s="1"/>
  <c r="F245" i="5"/>
  <c r="B246" i="5" s="1"/>
  <c r="C246" i="5" l="1"/>
  <c r="D246" i="5" s="1"/>
  <c r="F246" i="5"/>
  <c r="B247" i="5" s="1"/>
  <c r="C247" i="5" s="1"/>
  <c r="D247" i="5" s="1"/>
  <c r="F247" i="5" s="1"/>
  <c r="B248" i="5" s="1"/>
  <c r="C248" i="5" s="1"/>
  <c r="D248" i="5" s="1"/>
  <c r="F248" i="5" s="1"/>
  <c r="B249" i="5" s="1"/>
  <c r="C249" i="5" s="1"/>
  <c r="D249" i="5" s="1"/>
  <c r="F249" i="5" s="1"/>
  <c r="B250" i="5" s="1"/>
  <c r="C250" i="5" s="1"/>
  <c r="D250" i="5" s="1"/>
  <c r="F250" i="5" s="1"/>
  <c r="B251" i="5" s="1"/>
  <c r="C251" i="5" s="1"/>
  <c r="D251" i="5" s="1"/>
  <c r="F251" i="5" s="1"/>
  <c r="B252" i="5" s="1"/>
  <c r="C252" i="5" l="1"/>
  <c r="D252" i="5" s="1"/>
  <c r="F252" i="5"/>
  <c r="B253" i="5" s="1"/>
  <c r="C253" i="5" s="1"/>
  <c r="D253" i="5" s="1"/>
  <c r="F253" i="5" s="1"/>
  <c r="B254" i="5" s="1"/>
  <c r="C254" i="5" l="1"/>
  <c r="D254" i="5" s="1"/>
  <c r="F254" i="5"/>
  <c r="B255" i="5" s="1"/>
  <c r="C255" i="5" l="1"/>
  <c r="D255" i="5" s="1"/>
  <c r="F255" i="5" s="1"/>
  <c r="B256" i="5" s="1"/>
  <c r="C256" i="5" l="1"/>
  <c r="D256" i="5" s="1"/>
  <c r="F256" i="5"/>
  <c r="B257" i="5" s="1"/>
  <c r="C257" i="5" s="1"/>
  <c r="D257" i="5" s="1"/>
  <c r="F257" i="5" s="1"/>
  <c r="B258" i="5" s="1"/>
  <c r="C258" i="5" s="1"/>
  <c r="D258" i="5" s="1"/>
  <c r="F258" i="5" s="1"/>
  <c r="B259" i="5" s="1"/>
  <c r="C259" i="5" s="1"/>
  <c r="D259" i="5" s="1"/>
  <c r="F259" i="5" s="1"/>
  <c r="B260" i="5" s="1"/>
  <c r="C260" i="5" s="1"/>
  <c r="D260" i="5" s="1"/>
  <c r="F260" i="5" s="1"/>
  <c r="B261" i="5" s="1"/>
  <c r="C261" i="5" s="1"/>
  <c r="D261" i="5" s="1"/>
  <c r="F261" i="5" s="1"/>
  <c r="B262" i="5" s="1"/>
  <c r="C262" i="5" s="1"/>
  <c r="D262" i="5" s="1"/>
  <c r="F262" i="5" s="1"/>
  <c r="B263" i="5" s="1"/>
  <c r="C263" i="5" s="1"/>
  <c r="D263" i="5" s="1"/>
  <c r="F263" i="5" s="1"/>
  <c r="B264" i="5" s="1"/>
  <c r="C264" i="5" l="1"/>
  <c r="D264" i="5" s="1"/>
  <c r="F264" i="5"/>
  <c r="B265" i="5" s="1"/>
  <c r="C265" i="5" l="1"/>
  <c r="D265" i="5" s="1"/>
  <c r="F265" i="5"/>
  <c r="B266" i="5" s="1"/>
  <c r="C266" i="5" l="1"/>
  <c r="D266" i="5" s="1"/>
  <c r="F266" i="5"/>
  <c r="B267" i="5" s="1"/>
  <c r="C267" i="5" s="1"/>
  <c r="D267" i="5" s="1"/>
  <c r="F267" i="5" s="1"/>
  <c r="B268" i="5" s="1"/>
  <c r="C268" i="5" s="1"/>
  <c r="D268" i="5" s="1"/>
  <c r="F268" i="5" s="1"/>
  <c r="B269" i="5" s="1"/>
  <c r="C269" i="5" s="1"/>
  <c r="D269" i="5" s="1"/>
  <c r="F269" i="5" s="1"/>
  <c r="B270" i="5" s="1"/>
  <c r="C270" i="5" s="1"/>
  <c r="D270" i="5" s="1"/>
  <c r="F270" i="5" s="1"/>
  <c r="B271" i="5" s="1"/>
  <c r="C271" i="5" s="1"/>
  <c r="D271" i="5" s="1"/>
  <c r="F271" i="5" s="1"/>
  <c r="B272" i="5" s="1"/>
  <c r="C272" i="5" s="1"/>
  <c r="D272" i="5" s="1"/>
  <c r="F272" i="5" s="1"/>
  <c r="B273" i="5" s="1"/>
  <c r="C273" i="5" s="1"/>
  <c r="D273" i="5" s="1"/>
  <c r="F273" i="5" s="1"/>
  <c r="B274" i="5" s="1"/>
  <c r="C274" i="5" s="1"/>
  <c r="D274" i="5" s="1"/>
  <c r="F274" i="5" s="1"/>
  <c r="B275" i="5" s="1"/>
  <c r="C275" i="5" s="1"/>
  <c r="D275" i="5" s="1"/>
  <c r="F275" i="5" s="1"/>
  <c r="B276" i="5" s="1"/>
  <c r="C276" i="5" s="1"/>
  <c r="D276" i="5" s="1"/>
  <c r="F276" i="5" s="1"/>
  <c r="B277" i="5" s="1"/>
  <c r="C277" i="5" s="1"/>
  <c r="D277" i="5" s="1"/>
  <c r="F277" i="5" s="1"/>
  <c r="B278" i="5" s="1"/>
  <c r="C278" i="5" s="1"/>
  <c r="D278" i="5" s="1"/>
  <c r="F278" i="5" s="1"/>
  <c r="B279" i="5" s="1"/>
  <c r="C279" i="5" s="1"/>
  <c r="D279" i="5" s="1"/>
  <c r="F279" i="5" s="1"/>
  <c r="B280" i="5" s="1"/>
  <c r="C280" i="5" l="1"/>
  <c r="D280" i="5" s="1"/>
  <c r="F280" i="5"/>
  <c r="B281" i="5" s="1"/>
  <c r="C281" i="5" l="1"/>
  <c r="D281" i="5" s="1"/>
  <c r="F281" i="5" s="1"/>
  <c r="B282" i="5" s="1"/>
  <c r="C282" i="5" l="1"/>
  <c r="D282" i="5" s="1"/>
  <c r="F282" i="5"/>
  <c r="B283" i="5" s="1"/>
  <c r="C283" i="5" s="1"/>
  <c r="D283" i="5" s="1"/>
  <c r="F283" i="5" s="1"/>
  <c r="B284" i="5" s="1"/>
  <c r="C284" i="5" s="1"/>
  <c r="D284" i="5" s="1"/>
  <c r="F284" i="5" s="1"/>
  <c r="B285" i="5" s="1"/>
  <c r="C285" i="5" s="1"/>
  <c r="D285" i="5" s="1"/>
  <c r="F285" i="5" s="1"/>
  <c r="B286" i="5" s="1"/>
  <c r="C286" i="5" s="1"/>
  <c r="D286" i="5" s="1"/>
  <c r="F286" i="5" s="1"/>
  <c r="B287" i="5" s="1"/>
  <c r="C287" i="5" s="1"/>
  <c r="D287" i="5" s="1"/>
  <c r="F287" i="5" s="1"/>
  <c r="B288" i="5" s="1"/>
  <c r="C288" i="5" s="1"/>
  <c r="D288" i="5" s="1"/>
  <c r="F288" i="5" s="1"/>
  <c r="B289" i="5" s="1"/>
  <c r="C289" i="5" s="1"/>
  <c r="D289" i="5" s="1"/>
  <c r="F289" i="5" s="1"/>
  <c r="B290" i="5" s="1"/>
  <c r="C290" i="5" s="1"/>
  <c r="D290" i="5" s="1"/>
  <c r="F290" i="5" s="1"/>
  <c r="B291" i="5" s="1"/>
  <c r="C291" i="5" s="1"/>
  <c r="D291" i="5" s="1"/>
  <c r="F291" i="5" s="1"/>
  <c r="B292" i="5" s="1"/>
  <c r="C292" i="5" s="1"/>
  <c r="D292" i="5" s="1"/>
  <c r="F292" i="5" s="1"/>
  <c r="B293" i="5" s="1"/>
  <c r="C293" i="5" s="1"/>
  <c r="D293" i="5" s="1"/>
  <c r="F293" i="5" s="1"/>
  <c r="B294" i="5" s="1"/>
  <c r="C294" i="5" s="1"/>
  <c r="D294" i="5" s="1"/>
  <c r="F294" i="5" s="1"/>
  <c r="B295" i="5" s="1"/>
  <c r="C295" i="5" s="1"/>
  <c r="D295" i="5" s="1"/>
  <c r="F295" i="5" s="1"/>
  <c r="B296" i="5" s="1"/>
  <c r="C296" i="5" s="1"/>
  <c r="D296" i="5" s="1"/>
  <c r="F296" i="5" s="1"/>
  <c r="B297" i="5" s="1"/>
  <c r="C297" i="5" s="1"/>
  <c r="D297" i="5" s="1"/>
  <c r="F297" i="5" s="1"/>
  <c r="B298" i="5" s="1"/>
  <c r="C298" i="5" s="1"/>
  <c r="D298" i="5" s="1"/>
  <c r="F298" i="5" s="1"/>
  <c r="B299" i="5" s="1"/>
  <c r="C299" i="5" s="1"/>
  <c r="D299" i="5" s="1"/>
  <c r="F299" i="5" s="1"/>
  <c r="B300" i="5" s="1"/>
  <c r="C300" i="5" s="1"/>
  <c r="D300" i="5" s="1"/>
  <c r="F300" i="5" s="1"/>
  <c r="B301" i="5" s="1"/>
  <c r="C301" i="5" s="1"/>
  <c r="D301" i="5" s="1"/>
  <c r="F301" i="5" s="1"/>
  <c r="B302" i="5" s="1"/>
  <c r="C302" i="5" s="1"/>
  <c r="D302" i="5" s="1"/>
  <c r="F302" i="5" s="1"/>
  <c r="B303" i="5" s="1"/>
  <c r="C303" i="5" s="1"/>
  <c r="D303" i="5" s="1"/>
  <c r="F303" i="5" s="1"/>
  <c r="B304" i="5" s="1"/>
  <c r="C304" i="5" s="1"/>
  <c r="D304" i="5" s="1"/>
  <c r="F304" i="5" s="1"/>
  <c r="B305" i="5" s="1"/>
  <c r="C305" i="5" s="1"/>
  <c r="D305" i="5" s="1"/>
  <c r="F305" i="5" s="1"/>
  <c r="B306" i="5" s="1"/>
  <c r="C306" i="5" s="1"/>
  <c r="D306" i="5" s="1"/>
  <c r="F306" i="5" s="1"/>
  <c r="B307" i="5" s="1"/>
  <c r="C307" i="5" s="1"/>
  <c r="D307" i="5" s="1"/>
  <c r="F307" i="5" s="1"/>
  <c r="B308" i="5" s="1"/>
  <c r="C308" i="5" s="1"/>
  <c r="D308" i="5" s="1"/>
  <c r="F308" i="5" s="1"/>
  <c r="B309" i="5" s="1"/>
  <c r="C309" i="5" s="1"/>
  <c r="D309" i="5" s="1"/>
  <c r="F309" i="5" s="1"/>
  <c r="B310" i="5" s="1"/>
  <c r="C310" i="5" l="1"/>
  <c r="D310" i="5" s="1"/>
  <c r="F310" i="5"/>
  <c r="B311" i="5" s="1"/>
  <c r="C311" i="5" l="1"/>
  <c r="D311" i="5" s="1"/>
  <c r="F311" i="5"/>
  <c r="B312" i="5" s="1"/>
  <c r="C312" i="5" l="1"/>
  <c r="D312" i="5" s="1"/>
  <c r="F312" i="5"/>
  <c r="B313" i="5" s="1"/>
  <c r="C313" i="5" s="1"/>
  <c r="D313" i="5" s="1"/>
  <c r="F313" i="5" s="1"/>
  <c r="B314" i="5" s="1"/>
  <c r="C314" i="5" s="1"/>
  <c r="D314" i="5" s="1"/>
  <c r="F314" i="5" s="1"/>
  <c r="B315" i="5" s="1"/>
  <c r="C315" i="5" s="1"/>
  <c r="D315" i="5" s="1"/>
  <c r="F315" i="5" s="1"/>
  <c r="B316" i="5" s="1"/>
  <c r="C316" i="5" s="1"/>
  <c r="D316" i="5" s="1"/>
  <c r="F316" i="5" s="1"/>
  <c r="B317" i="5" s="1"/>
  <c r="C317" i="5" s="1"/>
  <c r="D317" i="5" s="1"/>
  <c r="F317" i="5" s="1"/>
  <c r="B318" i="5" s="1"/>
  <c r="C318" i="5" s="1"/>
  <c r="D318" i="5" s="1"/>
  <c r="F318" i="5" s="1"/>
  <c r="B319" i="5" s="1"/>
  <c r="C319" i="5" s="1"/>
  <c r="D319" i="5" s="1"/>
  <c r="F319" i="5" s="1"/>
  <c r="B320" i="5" s="1"/>
  <c r="C320" i="5" s="1"/>
  <c r="D320" i="5" s="1"/>
  <c r="F320" i="5" s="1"/>
  <c r="B321" i="5" s="1"/>
  <c r="C321" i="5" s="1"/>
  <c r="D321" i="5" s="1"/>
  <c r="F321" i="5" s="1"/>
  <c r="B322" i="5" s="1"/>
  <c r="C322" i="5" s="1"/>
  <c r="D322" i="5" s="1"/>
  <c r="F322" i="5" s="1"/>
  <c r="B323" i="5" s="1"/>
  <c r="C323" i="5" s="1"/>
  <c r="D323" i="5" s="1"/>
  <c r="F323" i="5" s="1"/>
  <c r="B324" i="5" s="1"/>
  <c r="C324" i="5" l="1"/>
  <c r="D324" i="5" s="1"/>
  <c r="F324" i="5"/>
  <c r="B325" i="5" s="1"/>
  <c r="C325" i="5" s="1"/>
  <c r="D325" i="5" s="1"/>
  <c r="F325" i="5" s="1"/>
  <c r="B326" i="5" s="1"/>
  <c r="C326" i="5" s="1"/>
  <c r="D326" i="5" s="1"/>
  <c r="F326" i="5" s="1"/>
  <c r="B327" i="5" s="1"/>
  <c r="C327" i="5" s="1"/>
  <c r="D327" i="5" s="1"/>
  <c r="F327" i="5" s="1"/>
  <c r="B328" i="5" s="1"/>
  <c r="C328" i="5" s="1"/>
  <c r="D328" i="5" s="1"/>
  <c r="F328" i="5" s="1"/>
  <c r="B329" i="5" s="1"/>
  <c r="C329" i="5" s="1"/>
  <c r="D329" i="5" s="1"/>
  <c r="F329" i="5" s="1"/>
  <c r="B330" i="5" s="1"/>
  <c r="C330" i="5" s="1"/>
  <c r="D330" i="5" s="1"/>
  <c r="F330" i="5" s="1"/>
  <c r="B331" i="5" s="1"/>
  <c r="C331" i="5" s="1"/>
  <c r="D331" i="5" s="1"/>
  <c r="F331" i="5" s="1"/>
  <c r="B332" i="5" s="1"/>
  <c r="C332" i="5" l="1"/>
  <c r="D332" i="5" s="1"/>
  <c r="F332" i="5"/>
  <c r="B333" i="5" s="1"/>
  <c r="C333" i="5" l="1"/>
  <c r="D333" i="5" s="1"/>
  <c r="F333" i="5"/>
  <c r="B334" i="5" s="1"/>
  <c r="C334" i="5" l="1"/>
  <c r="D334" i="5" s="1"/>
  <c r="F334" i="5"/>
  <c r="B335" i="5" s="1"/>
  <c r="C335" i="5" s="1"/>
  <c r="D335" i="5" s="1"/>
  <c r="F335" i="5" s="1"/>
  <c r="B336" i="5" s="1"/>
  <c r="C336" i="5" l="1"/>
  <c r="D336" i="5" s="1"/>
  <c r="F336" i="5"/>
  <c r="B337" i="5" s="1"/>
  <c r="C337" i="5" s="1"/>
  <c r="D337" i="5" s="1"/>
  <c r="F337" i="5" s="1"/>
  <c r="B338" i="5" s="1"/>
  <c r="C338" i="5" s="1"/>
  <c r="D338" i="5" s="1"/>
  <c r="F338" i="5" s="1"/>
  <c r="B339" i="5" s="1"/>
  <c r="C339" i="5" s="1"/>
  <c r="D339" i="5" s="1"/>
  <c r="F339" i="5" s="1"/>
  <c r="B340" i="5" s="1"/>
  <c r="C340" i="5" s="1"/>
  <c r="D340" i="5" s="1"/>
  <c r="F340" i="5" s="1"/>
  <c r="B341" i="5" s="1"/>
  <c r="C341" i="5" s="1"/>
  <c r="D341" i="5" s="1"/>
  <c r="F341" i="5" s="1"/>
  <c r="B342" i="5" s="1"/>
  <c r="C342" i="5" s="1"/>
  <c r="D342" i="5" s="1"/>
  <c r="F342" i="5" s="1"/>
  <c r="B343" i="5" s="1"/>
  <c r="C343" i="5" s="1"/>
  <c r="D343" i="5" s="1"/>
  <c r="F343" i="5" s="1"/>
  <c r="B344" i="5" s="1"/>
  <c r="C344" i="5" s="1"/>
  <c r="D344" i="5" s="1"/>
  <c r="F344" i="5" s="1"/>
  <c r="B345" i="5" s="1"/>
  <c r="C345" i="5" s="1"/>
  <c r="D345" i="5" s="1"/>
  <c r="F345" i="5" s="1"/>
  <c r="B346" i="5" s="1"/>
  <c r="C346" i="5" l="1"/>
  <c r="D346" i="5" s="1"/>
  <c r="F346" i="5"/>
  <c r="B347" i="5" s="1"/>
  <c r="C347" i="5" s="1"/>
  <c r="D347" i="5" s="1"/>
  <c r="F347" i="5" s="1"/>
  <c r="B348" i="5" s="1"/>
  <c r="C348" i="5" s="1"/>
  <c r="D348" i="5" s="1"/>
  <c r="F348" i="5" s="1"/>
  <c r="B349" i="5" s="1"/>
  <c r="C349" i="5" s="1"/>
  <c r="D349" i="5" s="1"/>
  <c r="F349" i="5" s="1"/>
  <c r="B350" i="5" s="1"/>
  <c r="C350" i="5" s="1"/>
  <c r="D350" i="5" s="1"/>
  <c r="F350" i="5" s="1"/>
  <c r="B351" i="5" s="1"/>
  <c r="C351" i="5" s="1"/>
  <c r="D351" i="5" s="1"/>
  <c r="F351" i="5" s="1"/>
  <c r="B352" i="5" s="1"/>
  <c r="C352" i="5" s="1"/>
  <c r="D352" i="5" s="1"/>
  <c r="F352" i="5" s="1"/>
  <c r="B353" i="5" s="1"/>
  <c r="C353" i="5" l="1"/>
  <c r="D353" i="5" s="1"/>
  <c r="F353" i="5"/>
  <c r="B354" i="5" s="1"/>
  <c r="C354" i="5" l="1"/>
  <c r="D354" i="5" s="1"/>
  <c r="F354" i="5" s="1"/>
  <c r="B355" i="5" s="1"/>
  <c r="C355" i="5" s="1"/>
  <c r="D355" i="5" s="1"/>
  <c r="F355" i="5" s="1"/>
  <c r="B356" i="5" s="1"/>
  <c r="C356" i="5" s="1"/>
  <c r="D356" i="5" s="1"/>
  <c r="F356" i="5" s="1"/>
  <c r="B357" i="5" s="1"/>
  <c r="C357" i="5" s="1"/>
  <c r="D357" i="5" s="1"/>
  <c r="F357" i="5" s="1"/>
  <c r="B358" i="5" s="1"/>
  <c r="C358" i="5" s="1"/>
  <c r="D358" i="5" s="1"/>
  <c r="F358" i="5" s="1"/>
  <c r="B359" i="5" s="1"/>
  <c r="C359" i="5" s="1"/>
  <c r="D359" i="5" s="1"/>
  <c r="F359" i="5" s="1"/>
  <c r="B360" i="5" s="1"/>
  <c r="C360" i="5" s="1"/>
  <c r="D360" i="5" s="1"/>
  <c r="F360" i="5" s="1"/>
  <c r="B361" i="5" s="1"/>
  <c r="C361" i="5" s="1"/>
  <c r="D361" i="5" s="1"/>
  <c r="F361" i="5" s="1"/>
  <c r="B362" i="5" s="1"/>
  <c r="C362" i="5" s="1"/>
  <c r="D362" i="5" s="1"/>
  <c r="F362" i="5" s="1"/>
  <c r="B363" i="5" s="1"/>
  <c r="C363" i="5" s="1"/>
  <c r="D363" i="5" s="1"/>
  <c r="F363" i="5" s="1"/>
  <c r="B364" i="5" s="1"/>
  <c r="C364" i="5" l="1"/>
  <c r="D364" i="5" s="1"/>
  <c r="F364" i="5"/>
  <c r="B365" i="5" s="1"/>
  <c r="C365" i="5" s="1"/>
  <c r="D365" i="5" s="1"/>
  <c r="F365" i="5" s="1"/>
  <c r="B366" i="5" s="1"/>
  <c r="C366" i="5" l="1"/>
  <c r="D366" i="5" s="1"/>
  <c r="F366" i="5" s="1"/>
  <c r="B367" i="5" s="1"/>
  <c r="C367" i="5" s="1"/>
  <c r="D367" i="5" s="1"/>
  <c r="F367" i="5" s="1"/>
  <c r="B368" i="5" s="1"/>
  <c r="C368" i="5" s="1"/>
  <c r="D368" i="5" s="1"/>
  <c r="F368" i="5" s="1"/>
  <c r="B369" i="5" s="1"/>
  <c r="C369" i="5" s="1"/>
  <c r="D369" i="5" s="1"/>
  <c r="F369" i="5" s="1"/>
  <c r="B370" i="5" s="1"/>
  <c r="C370" i="5" s="1"/>
  <c r="D370" i="5" s="1"/>
  <c r="F370" i="5" s="1"/>
  <c r="B371" i="5" s="1"/>
  <c r="C371" i="5" s="1"/>
  <c r="D371" i="5" s="1"/>
  <c r="F371" i="5" s="1"/>
  <c r="B372" i="5" s="1"/>
  <c r="C372" i="5" s="1"/>
  <c r="D372" i="5" s="1"/>
  <c r="F37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Jake Pesci</author>
  </authors>
  <commentList>
    <comment ref="J7" authorId="0" shapeId="0" xr:uid="{46E3F904-27AE-2C4B-8837-197BC210EA49}">
      <text>
        <r>
          <rPr>
            <b/>
            <sz val="9"/>
            <color rgb="FF000000"/>
            <rFont val="Tahoma"/>
            <family val="2"/>
          </rPr>
          <t>Jake Pesci: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Hyper growth for value add</t>
        </r>
      </text>
    </comment>
    <comment ref="K7" authorId="0" shapeId="0" xr:uid="{748F3D32-15E8-4C7A-9AB9-9F90C0EE97A3}">
      <text>
        <r>
          <rPr>
            <b/>
            <sz val="9"/>
            <color rgb="FF000000"/>
            <rFont val="Tahoma"/>
            <family val="2"/>
          </rPr>
          <t>Jake Pesci: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Hyper growth for value add</t>
        </r>
      </text>
    </comment>
  </commentList>
</comments>
</file>

<file path=xl/sharedStrings.xml><?xml version="1.0" encoding="utf-8"?>
<sst xmlns="http://schemas.openxmlformats.org/spreadsheetml/2006/main" count="223" uniqueCount="181">
  <si>
    <t>Assumptions &amp; Cash Flow</t>
  </si>
  <si>
    <t>General Assumptions</t>
  </si>
  <si>
    <t>Project Name</t>
  </si>
  <si>
    <t>Project Destined</t>
  </si>
  <si>
    <t xml:space="preserve">Underwriter </t>
  </si>
  <si>
    <t>Revenues</t>
  </si>
  <si>
    <t># of Units</t>
  </si>
  <si>
    <t>Square Footage</t>
  </si>
  <si>
    <t>Vacancy Rate</t>
  </si>
  <si>
    <t xml:space="preserve"> </t>
  </si>
  <si>
    <t>Purchase Date</t>
  </si>
  <si>
    <t>Credit Loss</t>
  </si>
  <si>
    <t>Total Hold Period</t>
  </si>
  <si>
    <t>Other Income</t>
  </si>
  <si>
    <t>Sale Date</t>
  </si>
  <si>
    <t>Effective Gross Income</t>
  </si>
  <si>
    <t>Property Purchase Price</t>
  </si>
  <si>
    <t>Closing Costs &amp; Permits</t>
  </si>
  <si>
    <t>Operating Expenses</t>
  </si>
  <si>
    <t>Debt Origination Costs (% of Debt)</t>
  </si>
  <si>
    <t>Payroll</t>
  </si>
  <si>
    <t>Revenue Assumptions</t>
  </si>
  <si>
    <t>Contracts</t>
  </si>
  <si>
    <t>Repairs &amp; Maintenance</t>
  </si>
  <si>
    <t>Administrative/G&amp;A</t>
  </si>
  <si>
    <t xml:space="preserve">Other Income Growth </t>
  </si>
  <si>
    <t>Insurance</t>
  </si>
  <si>
    <t>Management Fee (% of EGI)</t>
  </si>
  <si>
    <t>Real Estate Taxes</t>
  </si>
  <si>
    <t>Reserves</t>
  </si>
  <si>
    <t>Total Operating Expenses</t>
  </si>
  <si>
    <t>Repairs &amp; Maintenance (per unit per year)</t>
  </si>
  <si>
    <t>Net Operating Income</t>
  </si>
  <si>
    <t>Capital Expenses</t>
  </si>
  <si>
    <t>Renovation Schedule</t>
  </si>
  <si>
    <t>Reserves (per unit per year)</t>
  </si>
  <si>
    <t>Expense Growth</t>
  </si>
  <si>
    <t>Total Capital Expenses</t>
  </si>
  <si>
    <t>Real Estate Tax Growth</t>
  </si>
  <si>
    <t>Net Cash Flow Before Debt</t>
  </si>
  <si>
    <t>Capital Expense Assumptions</t>
  </si>
  <si>
    <t>Debt Service</t>
  </si>
  <si>
    <t>Total Renovation Expense</t>
  </si>
  <si>
    <t>Total Debt Service</t>
  </si>
  <si>
    <t>Net Cash Flow After Debt</t>
  </si>
  <si>
    <t xml:space="preserve">Unlevered Analysis </t>
  </si>
  <si>
    <t>Purchase Price</t>
  </si>
  <si>
    <t>Permanent Debt Assumptions</t>
  </si>
  <si>
    <t>Unlevered Cashflow</t>
  </si>
  <si>
    <t>Loan Amount</t>
  </si>
  <si>
    <t>Sale Price</t>
  </si>
  <si>
    <t>Cost of Sale</t>
  </si>
  <si>
    <t>Amortization Term</t>
  </si>
  <si>
    <t>Total Unlevered Cash Flow</t>
  </si>
  <si>
    <t>Cash-on-Cash</t>
  </si>
  <si>
    <t>Interest Rate</t>
  </si>
  <si>
    <t>IRR</t>
  </si>
  <si>
    <t>Equity Multiple</t>
  </si>
  <si>
    <t>Profit</t>
  </si>
  <si>
    <t>Exit Assumptions</t>
  </si>
  <si>
    <t xml:space="preserve">Levered Analysis </t>
  </si>
  <si>
    <t>Exit Cap Rate</t>
  </si>
  <si>
    <t>Terminal NOI</t>
  </si>
  <si>
    <t>Levered Cashflow</t>
  </si>
  <si>
    <t>Terminal Value</t>
  </si>
  <si>
    <t xml:space="preserve">Debt Retirement </t>
  </si>
  <si>
    <t>Total Levered Cash Flow</t>
  </si>
  <si>
    <t xml:space="preserve">Debt Yield </t>
  </si>
  <si>
    <t>DSCR</t>
  </si>
  <si>
    <t>Sources &amp; Uses</t>
  </si>
  <si>
    <t>Property SF</t>
  </si>
  <si>
    <t>Sources</t>
  </si>
  <si>
    <t>Total</t>
  </si>
  <si>
    <t>PRSF</t>
  </si>
  <si>
    <t>Debt</t>
  </si>
  <si>
    <t xml:space="preserve">Equity </t>
  </si>
  <si>
    <t>Total Sources</t>
  </si>
  <si>
    <t>Uses</t>
  </si>
  <si>
    <t>Closing Costs</t>
  </si>
  <si>
    <t xml:space="preserve">Debt Origination </t>
  </si>
  <si>
    <t>Renovation Hard Costs</t>
  </si>
  <si>
    <t>Renovation Soft Costs</t>
  </si>
  <si>
    <t>Total Uses</t>
  </si>
  <si>
    <t>Property Rent Roll</t>
  </si>
  <si>
    <t>Year</t>
  </si>
  <si>
    <t>Unit</t>
  </si>
  <si>
    <t># of Bedrooms</t>
  </si>
  <si>
    <t>Unit SF</t>
  </si>
  <si>
    <t>Monthly Rent</t>
  </si>
  <si>
    <t>Date</t>
  </si>
  <si>
    <t>1A</t>
  </si>
  <si>
    <t>1B</t>
  </si>
  <si>
    <t>2A</t>
  </si>
  <si>
    <t>2B</t>
  </si>
  <si>
    <t>3A</t>
  </si>
  <si>
    <t>3B</t>
  </si>
  <si>
    <t>4A</t>
  </si>
  <si>
    <t>4B</t>
  </si>
  <si>
    <t>5A</t>
  </si>
  <si>
    <t>5B</t>
  </si>
  <si>
    <t>Debt Sizing</t>
  </si>
  <si>
    <t xml:space="preserve">DSCR </t>
  </si>
  <si>
    <t>Debt Yield</t>
  </si>
  <si>
    <t>LTV</t>
  </si>
  <si>
    <t>Loan Choice</t>
  </si>
  <si>
    <t>Day 1</t>
  </si>
  <si>
    <t>% Total</t>
  </si>
  <si>
    <t>Future Funding</t>
  </si>
  <si>
    <t>Total Stack</t>
  </si>
  <si>
    <t>Going in Cap Rate</t>
  </si>
  <si>
    <t>$ PSF</t>
  </si>
  <si>
    <t>Vacancy Allowance</t>
  </si>
  <si>
    <t>Façade Project</t>
  </si>
  <si>
    <t>Total Façade Expense</t>
  </si>
  <si>
    <t>Roof Replacement Project</t>
  </si>
  <si>
    <t>Total Roof Replacement Expense</t>
  </si>
  <si>
    <t>T-12 Annual Rent</t>
  </si>
  <si>
    <t>"T-12" Property Rent Roll</t>
  </si>
  <si>
    <t>Year 1 NOI</t>
  </si>
  <si>
    <t xml:space="preserve"> Expense Assumptions</t>
  </si>
  <si>
    <t>Payroll (Year 1)</t>
  </si>
  <si>
    <t>Utilities (Year 1)</t>
  </si>
  <si>
    <t>Contracts (Year 1)</t>
  </si>
  <si>
    <t>Administrative/G&amp;A (Year 1)</t>
  </si>
  <si>
    <t>Insurance (Year 1)</t>
  </si>
  <si>
    <t>Real Estate Taxes (Year 1)</t>
  </si>
  <si>
    <t>1 Bedroom Rent Growth Rate</t>
  </si>
  <si>
    <t>Annual 1 Bedroom Rent</t>
  </si>
  <si>
    <t>Annual 2 Bedroom Rent</t>
  </si>
  <si>
    <t>Utilities</t>
  </si>
  <si>
    <t>Year 1 Other Income (Per Unit Per Year)</t>
  </si>
  <si>
    <t># of years (Amortization Term)</t>
  </si>
  <si>
    <t>Gross Potential Rent</t>
  </si>
  <si>
    <t>Total Gross Potential Rent</t>
  </si>
  <si>
    <t>Loan Assumptions</t>
  </si>
  <si>
    <t>Loan Term yrs)</t>
  </si>
  <si>
    <t>Payments / Year</t>
  </si>
  <si>
    <t>Month</t>
  </si>
  <si>
    <t>Interest Payment</t>
  </si>
  <si>
    <t>Principal Payment</t>
  </si>
  <si>
    <t>Payments per year</t>
  </si>
  <si>
    <t>Debt Retirement Balance (see Debt Amortization Schedule)</t>
  </si>
  <si>
    <t>Total Loan Term</t>
  </si>
  <si>
    <t>Debt Origination Costs ($)</t>
  </si>
  <si>
    <t>Monthly Payment (Debt Service)</t>
  </si>
  <si>
    <t>Annual Payment (Debt Service)</t>
  </si>
  <si>
    <t>Annual Debt Service (see Debt Amortization Schedule)</t>
  </si>
  <si>
    <t>6A</t>
  </si>
  <si>
    <t>6B</t>
  </si>
  <si>
    <t>7A</t>
  </si>
  <si>
    <t>7B</t>
  </si>
  <si>
    <t>8A</t>
  </si>
  <si>
    <t>8B</t>
  </si>
  <si>
    <t>9A</t>
  </si>
  <si>
    <t>9B</t>
  </si>
  <si>
    <t>10A</t>
  </si>
  <si>
    <t>10B</t>
  </si>
  <si>
    <t>11A</t>
  </si>
  <si>
    <t>11B</t>
  </si>
  <si>
    <t>12A</t>
  </si>
  <si>
    <t>12B</t>
  </si>
  <si>
    <t>13A</t>
  </si>
  <si>
    <t>13B</t>
  </si>
  <si>
    <t>14A</t>
  </si>
  <si>
    <t>14B</t>
  </si>
  <si>
    <t>2 Bedroom Rent Growth Rate</t>
  </si>
  <si>
    <t>Total Rent Growth CAGR (5-Year )</t>
  </si>
  <si>
    <t>Note: CAGR Formula is: =(Ending Balance/Starting Balance)^(1/Number of Years) – 1</t>
  </si>
  <si>
    <t>Total Rent Growth CAGR (10-Year )</t>
  </si>
  <si>
    <t>Closing Costs &amp; Permits (as a % of Purchase Price)</t>
  </si>
  <si>
    <t>Equity Investment (1)</t>
  </si>
  <si>
    <t>(1) Note: this should be equal to the "equity" from the "Sources &amp; Uses" tab.</t>
  </si>
  <si>
    <t>Façade Project (only include if it is provided in OM)</t>
  </si>
  <si>
    <t>Roof Replacement (only include if it is provided in OM)</t>
  </si>
  <si>
    <t>Shaira Katuwal</t>
  </si>
  <si>
    <t>end of loan term</t>
  </si>
  <si>
    <t>months</t>
  </si>
  <si>
    <t>Starting Balance</t>
  </si>
  <si>
    <t>Total Payment</t>
  </si>
  <si>
    <t>Ending Balance</t>
  </si>
  <si>
    <t>Prepared and presented by: Shaira Katuwal, PE RealEstate Intern at Project Destined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</si>
</sst>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6" formatCode="&quot;$&quot;#,##0_);[Red]\(&quot;$&quot;#,##0\)"/>
    <numFmt numFmtId="164" formatCode="&quot;$&quot;#,##0;[Red]\-&quot;$&quot;#,##0"/>
    <numFmt numFmtId="165" formatCode="&quot;$&quot;#,##0.00;[Red]\-&quot;$&quot;#,##0.00"/>
    <numFmt numFmtId="166" formatCode="&quot;Year&quot;\ 0"/>
    <numFmt numFmtId="167" formatCode="0\ &quot;Units&quot;"/>
    <numFmt numFmtId="168" formatCode="#,##0.0_);[Red]\(#,##0.0\)"/>
    <numFmt numFmtId="169" formatCode="0\ &quot;Years&quot;"/>
    <numFmt numFmtId="170" formatCode="&quot;$&quot;#,##0"/>
    <numFmt numFmtId="171" formatCode="0.00&quot;x&quot;"/>
    <numFmt numFmtId="172" formatCode="&quot;$&quot;#,##0.00"/>
    <numFmt numFmtId="173" formatCode="0.00\x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rgb="FF008000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name val="Arial"/>
      <family val="2"/>
    </font>
    <font>
      <b/>
      <u/>
      <sz val="11"/>
      <name val="Calibri"/>
      <family val="2"/>
      <scheme val="minor"/>
    </font>
    <font>
      <b/>
      <sz val="11"/>
      <color rgb="FF008000"/>
      <name val="Calibri"/>
      <family val="2"/>
      <scheme val="minor"/>
    </font>
    <font>
      <sz val="11"/>
      <color rgb="FF0432FF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sz val="10"/>
      <color theme="1"/>
      <name val="Arial"/>
      <family val="2"/>
    </font>
    <font>
      <sz val="11"/>
      <color rgb="FF00B050"/>
      <name val="Calibri"/>
      <family val="2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9"/>
      <name val="Calibri"/>
      <family val="2"/>
      <scheme val="minor"/>
    </font>
    <font>
      <sz val="14"/>
      <color rgb="FF000000"/>
      <name val="Helvetica"/>
      <family val="2"/>
    </font>
    <font>
      <b/>
      <sz val="16"/>
      <color theme="4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12" fillId="0" borderId="0"/>
    <xf numFmtId="0" fontId="12" fillId="0" borderId="0"/>
    <xf numFmtId="0" fontId="17" fillId="0" borderId="0"/>
    <xf numFmtId="9" fontId="17" fillId="0" borderId="0" applyFont="0" applyFill="0" applyBorder="0" applyAlignment="0" applyProtection="0"/>
  </cellStyleXfs>
  <cellXfs count="180">
    <xf numFmtId="0" fontId="0" fillId="0" borderId="0" xfId="0"/>
    <xf numFmtId="38" fontId="5" fillId="0" borderId="0" xfId="0" applyNumberFormat="1" applyFont="1" applyAlignment="1">
      <alignment horizontal="centerContinuous" vertical="center"/>
    </xf>
    <xf numFmtId="38" fontId="0" fillId="0" borderId="0" xfId="0" applyNumberFormat="1"/>
    <xf numFmtId="38" fontId="0" fillId="0" borderId="0" xfId="0" applyNumberFormat="1" applyAlignment="1">
      <alignment horizontal="center"/>
    </xf>
    <xf numFmtId="38" fontId="0" fillId="2" borderId="0" xfId="0" applyNumberFormat="1" applyFill="1"/>
    <xf numFmtId="38" fontId="0" fillId="2" borderId="0" xfId="0" applyNumberFormat="1" applyFill="1" applyAlignment="1">
      <alignment horizontal="center"/>
    </xf>
    <xf numFmtId="38" fontId="0" fillId="0" borderId="0" xfId="0" applyNumberFormat="1" applyAlignment="1">
      <alignment horizontal="right"/>
    </xf>
    <xf numFmtId="38" fontId="3" fillId="0" borderId="0" xfId="0" applyNumberFormat="1" applyFont="1"/>
    <xf numFmtId="38" fontId="0" fillId="0" borderId="0" xfId="0" applyNumberFormat="1" applyAlignment="1">
      <alignment horizontal="left" indent="2"/>
    </xf>
    <xf numFmtId="38" fontId="7" fillId="0" borderId="0" xfId="0" applyNumberFormat="1" applyFont="1" applyAlignment="1">
      <alignment horizontal="center"/>
    </xf>
    <xf numFmtId="169" fontId="6" fillId="0" borderId="0" xfId="0" applyNumberFormat="1" applyFont="1" applyAlignment="1">
      <alignment horizontal="right"/>
    </xf>
    <xf numFmtId="38" fontId="0" fillId="0" borderId="1" xfId="0" applyNumberFormat="1" applyBorder="1" applyAlignment="1">
      <alignment horizontal="left" indent="2"/>
    </xf>
    <xf numFmtId="38" fontId="0" fillId="0" borderId="1" xfId="0" applyNumberFormat="1" applyBorder="1" applyAlignment="1">
      <alignment horizontal="center"/>
    </xf>
    <xf numFmtId="38" fontId="8" fillId="0" borderId="1" xfId="0" applyNumberFormat="1" applyFont="1" applyBorder="1" applyAlignment="1">
      <alignment horizontal="center"/>
    </xf>
    <xf numFmtId="38" fontId="3" fillId="0" borderId="0" xfId="0" applyNumberFormat="1" applyFont="1" applyAlignment="1">
      <alignment horizontal="center"/>
    </xf>
    <xf numFmtId="38" fontId="8" fillId="0" borderId="0" xfId="0" applyNumberFormat="1" applyFont="1" applyAlignment="1">
      <alignment horizontal="center"/>
    </xf>
    <xf numFmtId="38" fontId="0" fillId="0" borderId="0" xfId="0" applyNumberFormat="1" applyAlignment="1">
      <alignment horizontal="left" indent="1"/>
    </xf>
    <xf numFmtId="38" fontId="7" fillId="0" borderId="0" xfId="0" applyNumberFormat="1" applyFont="1"/>
    <xf numFmtId="38" fontId="0" fillId="0" borderId="1" xfId="0" applyNumberFormat="1" applyBorder="1" applyAlignment="1">
      <alignment horizontal="left" indent="1"/>
    </xf>
    <xf numFmtId="38" fontId="9" fillId="3" borderId="0" xfId="0" applyNumberFormat="1" applyFont="1" applyFill="1"/>
    <xf numFmtId="38" fontId="0" fillId="3" borderId="0" xfId="0" applyNumberFormat="1" applyFill="1" applyAlignment="1">
      <alignment horizontal="center"/>
    </xf>
    <xf numFmtId="10" fontId="9" fillId="3" borderId="0" xfId="1" applyNumberFormat="1" applyFont="1" applyFill="1" applyAlignment="1">
      <alignment horizontal="center"/>
    </xf>
    <xf numFmtId="38" fontId="3" fillId="4" borderId="2" xfId="0" applyNumberFormat="1" applyFont="1" applyFill="1" applyBorder="1"/>
    <xf numFmtId="10" fontId="3" fillId="4" borderId="3" xfId="1" applyNumberFormat="1" applyFont="1" applyFill="1" applyBorder="1" applyAlignment="1">
      <alignment horizontal="center"/>
    </xf>
    <xf numFmtId="38" fontId="3" fillId="4" borderId="4" xfId="0" applyNumberFormat="1" applyFont="1" applyFill="1" applyBorder="1"/>
    <xf numFmtId="171" fontId="3" fillId="4" borderId="5" xfId="0" applyNumberFormat="1" applyFont="1" applyFill="1" applyBorder="1" applyAlignment="1">
      <alignment horizontal="center"/>
    </xf>
    <xf numFmtId="38" fontId="3" fillId="4" borderId="6" xfId="0" applyNumberFormat="1" applyFont="1" applyFill="1" applyBorder="1"/>
    <xf numFmtId="38" fontId="3" fillId="4" borderId="7" xfId="0" applyNumberFormat="1" applyFont="1" applyFill="1" applyBorder="1" applyAlignment="1">
      <alignment horizontal="center"/>
    </xf>
    <xf numFmtId="10" fontId="6" fillId="0" borderId="0" xfId="1" applyNumberFormat="1" applyFont="1" applyFill="1" applyAlignment="1">
      <alignment horizontal="center"/>
    </xf>
    <xf numFmtId="38" fontId="6" fillId="0" borderId="0" xfId="0" applyNumberFormat="1" applyFont="1" applyAlignment="1">
      <alignment horizontal="center"/>
    </xf>
    <xf numFmtId="172" fontId="0" fillId="2" borderId="0" xfId="0" applyNumberFormat="1" applyFill="1" applyAlignment="1">
      <alignment horizontal="center"/>
    </xf>
    <xf numFmtId="172" fontId="0" fillId="0" borderId="0" xfId="0" applyNumberFormat="1" applyAlignment="1">
      <alignment horizontal="center"/>
    </xf>
    <xf numFmtId="0" fontId="11" fillId="6" borderId="11" xfId="0" applyFont="1" applyFill="1" applyBorder="1"/>
    <xf numFmtId="172" fontId="13" fillId="6" borderId="12" xfId="3" applyNumberFormat="1" applyFont="1" applyFill="1" applyBorder="1" applyAlignment="1">
      <alignment horizontal="center"/>
    </xf>
    <xf numFmtId="38" fontId="0" fillId="0" borderId="11" xfId="0" applyNumberFormat="1" applyBorder="1"/>
    <xf numFmtId="38" fontId="3" fillId="7" borderId="11" xfId="0" applyNumberFormat="1" applyFont="1" applyFill="1" applyBorder="1"/>
    <xf numFmtId="38" fontId="0" fillId="0" borderId="13" xfId="0" applyNumberFormat="1" applyBorder="1"/>
    <xf numFmtId="38" fontId="2" fillId="5" borderId="8" xfId="0" applyNumberFormat="1" applyFont="1" applyFill="1" applyBorder="1"/>
    <xf numFmtId="166" fontId="2" fillId="5" borderId="9" xfId="0" applyNumberFormat="1" applyFont="1" applyFill="1" applyBorder="1" applyAlignment="1">
      <alignment horizontal="center"/>
    </xf>
    <xf numFmtId="166" fontId="2" fillId="5" borderId="10" xfId="0" applyNumberFormat="1" applyFont="1" applyFill="1" applyBorder="1" applyAlignment="1">
      <alignment horizontal="center"/>
    </xf>
    <xf numFmtId="38" fontId="2" fillId="5" borderId="17" xfId="0" applyNumberFormat="1" applyFont="1" applyFill="1" applyBorder="1" applyAlignment="1">
      <alignment horizontal="center"/>
    </xf>
    <xf numFmtId="38" fontId="2" fillId="5" borderId="18" xfId="0" applyNumberFormat="1" applyFont="1" applyFill="1" applyBorder="1" applyAlignment="1">
      <alignment horizontal="center"/>
    </xf>
    <xf numFmtId="38" fontId="2" fillId="5" borderId="19" xfId="0" applyNumberFormat="1" applyFont="1" applyFill="1" applyBorder="1" applyAlignment="1">
      <alignment horizontal="center"/>
    </xf>
    <xf numFmtId="38" fontId="10" fillId="0" borderId="11" xfId="0" applyNumberFormat="1" applyFont="1" applyBorder="1"/>
    <xf numFmtId="14" fontId="14" fillId="0" borderId="0" xfId="0" applyNumberFormat="1" applyFont="1" applyAlignment="1">
      <alignment horizontal="center"/>
    </xf>
    <xf numFmtId="14" fontId="10" fillId="0" borderId="0" xfId="0" applyNumberFormat="1" applyFont="1" applyAlignment="1">
      <alignment horizontal="center"/>
    </xf>
    <xf numFmtId="14" fontId="10" fillId="0" borderId="12" xfId="0" applyNumberFormat="1" applyFont="1" applyBorder="1" applyAlignment="1">
      <alignment horizontal="center"/>
    </xf>
    <xf numFmtId="168" fontId="0" fillId="0" borderId="11" xfId="0" applyNumberFormat="1" applyBorder="1" applyAlignment="1">
      <alignment horizontal="center"/>
    </xf>
    <xf numFmtId="170" fontId="6" fillId="0" borderId="0" xfId="0" applyNumberFormat="1" applyFont="1" applyAlignment="1">
      <alignment horizontal="center"/>
    </xf>
    <xf numFmtId="170" fontId="8" fillId="0" borderId="12" xfId="0" applyNumberFormat="1" applyFont="1" applyBorder="1" applyAlignment="1">
      <alignment horizontal="center"/>
    </xf>
    <xf numFmtId="38" fontId="0" fillId="0" borderId="8" xfId="0" applyNumberFormat="1" applyBorder="1"/>
    <xf numFmtId="38" fontId="0" fillId="0" borderId="9" xfId="0" applyNumberFormat="1" applyBorder="1" applyAlignment="1">
      <alignment horizontal="center"/>
    </xf>
    <xf numFmtId="38" fontId="0" fillId="0" borderId="10" xfId="0" applyNumberFormat="1" applyBorder="1" applyAlignment="1">
      <alignment horizontal="center"/>
    </xf>
    <xf numFmtId="38" fontId="0" fillId="0" borderId="11" xfId="0" applyNumberFormat="1" applyBorder="1" applyAlignment="1">
      <alignment horizontal="center"/>
    </xf>
    <xf numFmtId="10" fontId="6" fillId="0" borderId="0" xfId="1" applyNumberFormat="1" applyFont="1" applyBorder="1" applyAlignment="1">
      <alignment horizontal="center"/>
    </xf>
    <xf numFmtId="10" fontId="6" fillId="0" borderId="12" xfId="1" applyNumberFormat="1" applyFont="1" applyBorder="1" applyAlignment="1">
      <alignment horizontal="center"/>
    </xf>
    <xf numFmtId="38" fontId="0" fillId="0" borderId="12" xfId="0" applyNumberFormat="1" applyBorder="1" applyAlignment="1">
      <alignment horizontal="center"/>
    </xf>
    <xf numFmtId="38" fontId="3" fillId="4" borderId="20" xfId="0" applyNumberFormat="1" applyFont="1" applyFill="1" applyBorder="1"/>
    <xf numFmtId="38" fontId="3" fillId="4" borderId="21" xfId="0" applyNumberFormat="1" applyFont="1" applyFill="1" applyBorder="1" applyAlignment="1">
      <alignment horizontal="center"/>
    </xf>
    <xf numFmtId="38" fontId="3" fillId="4" borderId="22" xfId="0" applyNumberFormat="1" applyFont="1" applyFill="1" applyBorder="1" applyAlignment="1">
      <alignment horizontal="center"/>
    </xf>
    <xf numFmtId="38" fontId="0" fillId="3" borderId="20" xfId="0" applyNumberFormat="1" applyFill="1" applyBorder="1"/>
    <xf numFmtId="10" fontId="6" fillId="3" borderId="21" xfId="1" applyNumberFormat="1" applyFont="1" applyFill="1" applyBorder="1" applyAlignment="1">
      <alignment horizontal="center"/>
    </xf>
    <xf numFmtId="10" fontId="6" fillId="3" borderId="22" xfId="1" applyNumberFormat="1" applyFont="1" applyFill="1" applyBorder="1" applyAlignment="1">
      <alignment horizontal="center"/>
    </xf>
    <xf numFmtId="38" fontId="3" fillId="4" borderId="20" xfId="0" applyNumberFormat="1" applyFont="1" applyFill="1" applyBorder="1" applyAlignment="1">
      <alignment horizontal="center"/>
    </xf>
    <xf numFmtId="38" fontId="0" fillId="2" borderId="0" xfId="0" applyNumberFormat="1" applyFill="1" applyAlignment="1">
      <alignment horizontal="right"/>
    </xf>
    <xf numFmtId="171" fontId="15" fillId="0" borderId="0" xfId="0" applyNumberFormat="1" applyFont="1"/>
    <xf numFmtId="10" fontId="15" fillId="0" borderId="0" xfId="0" applyNumberFormat="1" applyFont="1"/>
    <xf numFmtId="164" fontId="8" fillId="0" borderId="0" xfId="0" applyNumberFormat="1" applyFont="1"/>
    <xf numFmtId="164" fontId="0" fillId="0" borderId="0" xfId="0" applyNumberFormat="1"/>
    <xf numFmtId="165" fontId="0" fillId="0" borderId="0" xfId="0" applyNumberFormat="1"/>
    <xf numFmtId="171" fontId="16" fillId="0" borderId="0" xfId="0" applyNumberFormat="1" applyFont="1"/>
    <xf numFmtId="10" fontId="16" fillId="0" borderId="0" xfId="0" applyNumberFormat="1" applyFont="1"/>
    <xf numFmtId="0" fontId="3" fillId="4" borderId="20" xfId="0" applyFont="1" applyFill="1" applyBorder="1"/>
    <xf numFmtId="164" fontId="3" fillId="4" borderId="22" xfId="0" applyNumberFormat="1" applyFont="1" applyFill="1" applyBorder="1"/>
    <xf numFmtId="38" fontId="3" fillId="0" borderId="9" xfId="0" applyNumberFormat="1" applyFont="1" applyBorder="1" applyAlignment="1">
      <alignment horizontal="center"/>
    </xf>
    <xf numFmtId="38" fontId="3" fillId="0" borderId="0" xfId="0" applyNumberFormat="1" applyFont="1" applyAlignment="1">
      <alignment vertical="center"/>
    </xf>
    <xf numFmtId="38" fontId="5" fillId="0" borderId="0" xfId="0" applyNumberFormat="1" applyFont="1" applyAlignment="1">
      <alignment vertical="center"/>
    </xf>
    <xf numFmtId="38" fontId="2" fillId="5" borderId="14" xfId="0" applyNumberFormat="1" applyFont="1" applyFill="1" applyBorder="1"/>
    <xf numFmtId="38" fontId="2" fillId="5" borderId="15" xfId="0" applyNumberFormat="1" applyFont="1" applyFill="1" applyBorder="1"/>
    <xf numFmtId="38" fontId="2" fillId="5" borderId="16" xfId="0" applyNumberFormat="1" applyFont="1" applyFill="1" applyBorder="1"/>
    <xf numFmtId="38" fontId="2" fillId="5" borderId="11" xfId="0" applyNumberFormat="1" applyFont="1" applyFill="1" applyBorder="1"/>
    <xf numFmtId="172" fontId="6" fillId="0" borderId="0" xfId="1" applyNumberFormat="1" applyFont="1" applyFill="1" applyBorder="1" applyAlignment="1">
      <alignment horizontal="center"/>
    </xf>
    <xf numFmtId="10" fontId="3" fillId="7" borderId="21" xfId="1" applyNumberFormat="1" applyFont="1" applyFill="1" applyBorder="1" applyAlignment="1">
      <alignment horizontal="center"/>
    </xf>
    <xf numFmtId="38" fontId="2" fillId="5" borderId="12" xfId="0" applyNumberFormat="1" applyFont="1" applyFill="1" applyBorder="1" applyAlignment="1">
      <alignment horizontal="centerContinuous"/>
    </xf>
    <xf numFmtId="38" fontId="3" fillId="7" borderId="20" xfId="0" applyNumberFormat="1" applyFont="1" applyFill="1" applyBorder="1"/>
    <xf numFmtId="38" fontId="3" fillId="7" borderId="21" xfId="0" applyNumberFormat="1" applyFont="1" applyFill="1" applyBorder="1"/>
    <xf numFmtId="38" fontId="3" fillId="7" borderId="21" xfId="0" applyNumberFormat="1" applyFont="1" applyFill="1" applyBorder="1" applyAlignment="1">
      <alignment horizontal="center"/>
    </xf>
    <xf numFmtId="172" fontId="3" fillId="7" borderId="21" xfId="0" applyNumberFormat="1" applyFont="1" applyFill="1" applyBorder="1" applyAlignment="1">
      <alignment horizontal="center"/>
    </xf>
    <xf numFmtId="38" fontId="2" fillId="5" borderId="23" xfId="0" applyNumberFormat="1" applyFont="1" applyFill="1" applyBorder="1" applyAlignment="1">
      <alignment horizontal="centerContinuous"/>
    </xf>
    <xf numFmtId="38" fontId="2" fillId="5" borderId="24" xfId="0" applyNumberFormat="1" applyFont="1" applyFill="1" applyBorder="1" applyAlignment="1">
      <alignment horizontal="centerContinuous"/>
    </xf>
    <xf numFmtId="0" fontId="13" fillId="6" borderId="11" xfId="2" applyFont="1" applyFill="1" applyBorder="1" applyAlignment="1">
      <alignment horizontal="center"/>
    </xf>
    <xf numFmtId="38" fontId="6" fillId="0" borderId="11" xfId="0" applyNumberFormat="1" applyFont="1" applyBorder="1" applyAlignment="1">
      <alignment horizontal="center"/>
    </xf>
    <xf numFmtId="38" fontId="3" fillId="7" borderId="11" xfId="0" applyNumberFormat="1" applyFont="1" applyFill="1" applyBorder="1" applyAlignment="1">
      <alignment horizontal="center"/>
    </xf>
    <xf numFmtId="3" fontId="13" fillId="6" borderId="11" xfId="3" applyNumberFormat="1" applyFont="1" applyFill="1" applyBorder="1" applyAlignment="1">
      <alignment horizontal="center"/>
    </xf>
    <xf numFmtId="38" fontId="3" fillId="7" borderId="20" xfId="0" applyNumberFormat="1" applyFont="1" applyFill="1" applyBorder="1" applyAlignment="1">
      <alignment horizontal="center"/>
    </xf>
    <xf numFmtId="38" fontId="2" fillId="5" borderId="25" xfId="0" applyNumberFormat="1" applyFont="1" applyFill="1" applyBorder="1" applyAlignment="1">
      <alignment horizontal="centerContinuous"/>
    </xf>
    <xf numFmtId="10" fontId="0" fillId="0" borderId="12" xfId="0" applyNumberFormat="1" applyBorder="1"/>
    <xf numFmtId="10" fontId="0" fillId="7" borderId="12" xfId="0" applyNumberFormat="1" applyFill="1" applyBorder="1"/>
    <xf numFmtId="38" fontId="11" fillId="6" borderId="12" xfId="0" applyNumberFormat="1" applyFont="1" applyFill="1" applyBorder="1"/>
    <xf numFmtId="10" fontId="3" fillId="7" borderId="22" xfId="1" applyNumberFormat="1" applyFont="1" applyFill="1" applyBorder="1" applyAlignment="1">
      <alignment horizontal="center"/>
    </xf>
    <xf numFmtId="172" fontId="13" fillId="6" borderId="0" xfId="3" applyNumberFormat="1" applyFont="1" applyFill="1" applyAlignment="1">
      <alignment horizontal="center"/>
    </xf>
    <xf numFmtId="172" fontId="8" fillId="0" borderId="0" xfId="0" applyNumberFormat="1" applyFont="1" applyAlignment="1">
      <alignment horizontal="center"/>
    </xf>
    <xf numFmtId="172" fontId="3" fillId="7" borderId="0" xfId="0" applyNumberFormat="1" applyFont="1" applyFill="1" applyAlignment="1">
      <alignment horizontal="center"/>
    </xf>
    <xf numFmtId="38" fontId="2" fillId="5" borderId="0" xfId="0" applyNumberFormat="1" applyFont="1" applyFill="1"/>
    <xf numFmtId="38" fontId="2" fillId="5" borderId="0" xfId="0" applyNumberFormat="1" applyFont="1" applyFill="1" applyAlignment="1">
      <alignment horizontal="centerContinuous"/>
    </xf>
    <xf numFmtId="38" fontId="11" fillId="6" borderId="0" xfId="0" applyNumberFormat="1" applyFont="1" applyFill="1"/>
    <xf numFmtId="0" fontId="13" fillId="6" borderId="0" xfId="2" applyFont="1" applyFill="1" applyAlignment="1">
      <alignment horizontal="center"/>
    </xf>
    <xf numFmtId="10" fontId="0" fillId="0" borderId="0" xfId="0" applyNumberFormat="1"/>
    <xf numFmtId="38" fontId="0" fillId="7" borderId="0" xfId="0" applyNumberFormat="1" applyFill="1"/>
    <xf numFmtId="38" fontId="3" fillId="7" borderId="0" xfId="0" applyNumberFormat="1" applyFont="1" applyFill="1" applyAlignment="1">
      <alignment horizontal="center"/>
    </xf>
    <xf numFmtId="10" fontId="3" fillId="7" borderId="12" xfId="1" applyNumberFormat="1" applyFont="1" applyFill="1" applyBorder="1" applyAlignment="1">
      <alignment horizontal="center"/>
    </xf>
    <xf numFmtId="3" fontId="13" fillId="6" borderId="0" xfId="3" applyNumberFormat="1" applyFont="1" applyFill="1" applyAlignment="1">
      <alignment horizontal="center"/>
    </xf>
    <xf numFmtId="10" fontId="13" fillId="6" borderId="12" xfId="1" applyNumberFormat="1" applyFont="1" applyFill="1" applyBorder="1" applyAlignment="1">
      <alignment horizontal="center"/>
    </xf>
    <xf numFmtId="10" fontId="1" fillId="0" borderId="12" xfId="1" applyNumberFormat="1" applyFont="1" applyFill="1" applyBorder="1" applyAlignment="1">
      <alignment horizontal="center"/>
    </xf>
    <xf numFmtId="10" fontId="0" fillId="0" borderId="0" xfId="0" applyNumberFormat="1" applyAlignment="1">
      <alignment horizontal="center"/>
    </xf>
    <xf numFmtId="10" fontId="3" fillId="7" borderId="0" xfId="0" applyNumberFormat="1" applyFont="1" applyFill="1"/>
    <xf numFmtId="10" fontId="18" fillId="0" borderId="0" xfId="0" applyNumberFormat="1" applyFont="1"/>
    <xf numFmtId="38" fontId="0" fillId="0" borderId="0" xfId="0" applyNumberFormat="1" applyAlignment="1">
      <alignment horizontal="center" vertical="center"/>
    </xf>
    <xf numFmtId="165" fontId="8" fillId="0" borderId="0" xfId="0" applyNumberFormat="1" applyFont="1" applyAlignment="1">
      <alignment horizontal="center"/>
    </xf>
    <xf numFmtId="165" fontId="3" fillId="4" borderId="21" xfId="0" applyNumberFormat="1" applyFont="1" applyFill="1" applyBorder="1" applyAlignment="1">
      <alignment horizontal="center"/>
    </xf>
    <xf numFmtId="38" fontId="2" fillId="5" borderId="8" xfId="0" applyNumberFormat="1" applyFont="1" applyFill="1" applyBorder="1" applyAlignment="1">
      <alignment horizontal="centerContinuous"/>
    </xf>
    <xf numFmtId="38" fontId="2" fillId="5" borderId="9" xfId="0" applyNumberFormat="1" applyFont="1" applyFill="1" applyBorder="1" applyAlignment="1">
      <alignment horizontal="centerContinuous"/>
    </xf>
    <xf numFmtId="38" fontId="2" fillId="5" borderId="10" xfId="0" applyNumberFormat="1" applyFont="1" applyFill="1" applyBorder="1" applyAlignment="1">
      <alignment horizontal="centerContinuous"/>
    </xf>
    <xf numFmtId="166" fontId="7" fillId="0" borderId="0" xfId="0" applyNumberFormat="1" applyFont="1" applyAlignment="1">
      <alignment horizontal="center"/>
    </xf>
    <xf numFmtId="173" fontId="9" fillId="3" borderId="0" xfId="1" applyNumberFormat="1" applyFont="1" applyFill="1" applyAlignment="1">
      <alignment horizontal="center"/>
    </xf>
    <xf numFmtId="38" fontId="0" fillId="0" borderId="9" xfId="0" applyNumberFormat="1" applyBorder="1"/>
    <xf numFmtId="38" fontId="3" fillId="4" borderId="21" xfId="0" applyNumberFormat="1" applyFont="1" applyFill="1" applyBorder="1"/>
    <xf numFmtId="38" fontId="0" fillId="3" borderId="21" xfId="0" applyNumberFormat="1" applyFill="1" applyBorder="1"/>
    <xf numFmtId="0" fontId="21" fillId="0" borderId="1" xfId="0" applyFont="1" applyBorder="1"/>
    <xf numFmtId="0" fontId="22" fillId="0" borderId="1" xfId="0" applyFont="1" applyBorder="1"/>
    <xf numFmtId="0" fontId="22" fillId="0" borderId="0" xfId="0" applyFont="1"/>
    <xf numFmtId="6" fontId="22" fillId="0" borderId="0" xfId="0" applyNumberFormat="1" applyFont="1"/>
    <xf numFmtId="10" fontId="22" fillId="0" borderId="0" xfId="0" applyNumberFormat="1" applyFont="1"/>
    <xf numFmtId="6" fontId="22" fillId="0" borderId="1" xfId="0" applyNumberFormat="1" applyFont="1" applyBorder="1"/>
    <xf numFmtId="0" fontId="21" fillId="0" borderId="0" xfId="0" applyFont="1" applyAlignment="1">
      <alignment horizontal="center"/>
    </xf>
    <xf numFmtId="0" fontId="21" fillId="0" borderId="1" xfId="0" applyFont="1" applyBorder="1" applyAlignment="1">
      <alignment horizontal="center"/>
    </xf>
    <xf numFmtId="38" fontId="22" fillId="0" borderId="0" xfId="0" applyNumberFormat="1" applyFont="1"/>
    <xf numFmtId="38" fontId="0" fillId="0" borderId="0" xfId="0" applyNumberFormat="1" applyAlignment="1">
      <alignment vertical="center"/>
    </xf>
    <xf numFmtId="38" fontId="0" fillId="0" borderId="0" xfId="0" quotePrefix="1" applyNumberFormat="1" applyAlignment="1">
      <alignment horizontal="left"/>
    </xf>
    <xf numFmtId="38" fontId="23" fillId="0" borderId="0" xfId="0" applyNumberFormat="1" applyFont="1" applyAlignment="1">
      <alignment horizontal="center"/>
    </xf>
    <xf numFmtId="6" fontId="22" fillId="9" borderId="0" xfId="0" applyNumberFormat="1" applyFont="1" applyFill="1"/>
    <xf numFmtId="10" fontId="3" fillId="4" borderId="27" xfId="1" applyNumberFormat="1" applyFont="1" applyFill="1" applyBorder="1" applyAlignment="1">
      <alignment horizontal="center"/>
    </xf>
    <xf numFmtId="10" fontId="3" fillId="4" borderId="26" xfId="1" applyNumberFormat="1" applyFont="1" applyFill="1" applyBorder="1" applyAlignment="1">
      <alignment horizontal="center"/>
    </xf>
    <xf numFmtId="38" fontId="5" fillId="0" borderId="0" xfId="0" applyNumberFormat="1" applyFont="1" applyAlignment="1">
      <alignment horizontal="left" vertical="center"/>
    </xf>
    <xf numFmtId="38" fontId="2" fillId="10" borderId="0" xfId="0" applyNumberFormat="1" applyFont="1" applyFill="1"/>
    <xf numFmtId="166" fontId="2" fillId="10" borderId="0" xfId="0" applyNumberFormat="1" applyFont="1" applyFill="1" applyAlignment="1">
      <alignment horizontal="center"/>
    </xf>
    <xf numFmtId="14" fontId="2" fillId="10" borderId="0" xfId="0" applyNumberFormat="1" applyFont="1" applyFill="1" applyAlignment="1">
      <alignment horizontal="center"/>
    </xf>
    <xf numFmtId="0" fontId="4" fillId="0" borderId="0" xfId="0" applyFont="1"/>
    <xf numFmtId="0" fontId="2" fillId="10" borderId="1" xfId="0" applyFont="1" applyFill="1" applyBorder="1" applyAlignment="1">
      <alignment horizontal="center"/>
    </xf>
    <xf numFmtId="0" fontId="2" fillId="10" borderId="1" xfId="0" applyFont="1" applyFill="1" applyBorder="1"/>
    <xf numFmtId="0" fontId="2" fillId="10" borderId="1" xfId="0" applyFont="1" applyFill="1" applyBorder="1" applyAlignment="1">
      <alignment horizontal="right"/>
    </xf>
    <xf numFmtId="0" fontId="0" fillId="0" borderId="11" xfId="0" applyBorder="1"/>
    <xf numFmtId="164" fontId="7" fillId="8" borderId="12" xfId="0" applyNumberFormat="1" applyFont="1" applyFill="1" applyBorder="1"/>
    <xf numFmtId="171" fontId="15" fillId="0" borderId="12" xfId="0" applyNumberFormat="1" applyFont="1" applyBorder="1"/>
    <xf numFmtId="164" fontId="8" fillId="0" borderId="12" xfId="0" applyNumberFormat="1" applyFont="1" applyBorder="1"/>
    <xf numFmtId="10" fontId="18" fillId="0" borderId="12" xfId="0" applyNumberFormat="1" applyFont="1" applyBorder="1"/>
    <xf numFmtId="169" fontId="6" fillId="0" borderId="12" xfId="0" applyNumberFormat="1" applyFont="1" applyBorder="1" applyAlignment="1">
      <alignment horizontal="right"/>
    </xf>
    <xf numFmtId="0" fontId="0" fillId="0" borderId="13" xfId="0" applyBorder="1"/>
    <xf numFmtId="164" fontId="8" fillId="0" borderId="28" xfId="0" applyNumberFormat="1" applyFont="1" applyBorder="1"/>
    <xf numFmtId="10" fontId="15" fillId="0" borderId="12" xfId="0" applyNumberFormat="1" applyFont="1" applyBorder="1"/>
    <xf numFmtId="164" fontId="0" fillId="0" borderId="28" xfId="0" applyNumberFormat="1" applyBorder="1"/>
    <xf numFmtId="164" fontId="18" fillId="0" borderId="12" xfId="0" applyNumberFormat="1" applyFont="1" applyBorder="1"/>
    <xf numFmtId="38" fontId="6" fillId="0" borderId="0" xfId="0" applyNumberFormat="1" applyFont="1" applyAlignment="1">
      <alignment horizontal="right"/>
    </xf>
    <xf numFmtId="38" fontId="6" fillId="9" borderId="0" xfId="0" applyNumberFormat="1" applyFont="1" applyFill="1" applyAlignment="1">
      <alignment horizontal="right"/>
    </xf>
    <xf numFmtId="167" fontId="6" fillId="0" borderId="0" xfId="0" applyNumberFormat="1" applyFont="1" applyAlignment="1">
      <alignment horizontal="right"/>
    </xf>
    <xf numFmtId="14" fontId="6" fillId="0" borderId="0" xfId="0" applyNumberFormat="1" applyFont="1" applyAlignment="1">
      <alignment horizontal="right"/>
    </xf>
    <xf numFmtId="14" fontId="0" fillId="0" borderId="0" xfId="0" applyNumberFormat="1" applyAlignment="1">
      <alignment horizontal="right"/>
    </xf>
    <xf numFmtId="10" fontId="0" fillId="0" borderId="0" xfId="1" applyNumberFormat="1" applyFont="1" applyBorder="1"/>
    <xf numFmtId="10" fontId="6" fillId="0" borderId="0" xfId="1" applyNumberFormat="1" applyFont="1" applyFill="1" applyBorder="1" applyAlignment="1">
      <alignment horizontal="right"/>
    </xf>
    <xf numFmtId="166" fontId="6" fillId="0" borderId="0" xfId="0" applyNumberFormat="1" applyFont="1" applyAlignment="1">
      <alignment horizontal="right"/>
    </xf>
    <xf numFmtId="169" fontId="8" fillId="0" borderId="0" xfId="0" applyNumberFormat="1" applyFont="1" applyAlignment="1">
      <alignment horizontal="right"/>
    </xf>
    <xf numFmtId="38" fontId="6" fillId="0" borderId="0" xfId="0" applyNumberFormat="1" applyFont="1"/>
    <xf numFmtId="38" fontId="23" fillId="0" borderId="0" xfId="0" applyNumberFormat="1" applyFont="1"/>
    <xf numFmtId="38" fontId="0" fillId="11" borderId="0" xfId="0" applyNumberFormat="1" applyFill="1"/>
    <xf numFmtId="10" fontId="0" fillId="11" borderId="0" xfId="0" applyNumberFormat="1" applyFill="1"/>
    <xf numFmtId="38" fontId="5" fillId="0" borderId="0" xfId="0" applyNumberFormat="1" applyFont="1" applyAlignment="1">
      <alignment horizontal="left" vertical="center"/>
    </xf>
    <xf numFmtId="0" fontId="4" fillId="5" borderId="20" xfId="0" applyFont="1" applyFill="1" applyBorder="1" applyAlignment="1">
      <alignment horizontal="center"/>
    </xf>
    <xf numFmtId="0" fontId="4" fillId="5" borderId="22" xfId="0" applyFont="1" applyFill="1" applyBorder="1" applyAlignment="1">
      <alignment horizontal="center"/>
    </xf>
    <xf numFmtId="0" fontId="24" fillId="0" borderId="0" xfId="0" applyFont="1"/>
    <xf numFmtId="0" fontId="25" fillId="0" borderId="0" xfId="0" applyFont="1"/>
  </cellXfs>
  <cellStyles count="6">
    <cellStyle name="Normal" xfId="0" builtinId="0"/>
    <cellStyle name="Normal 10" xfId="2" xr:uid="{4C6852C2-8615-4693-A99A-74B64155A0C9}"/>
    <cellStyle name="Normal 2" xfId="3" xr:uid="{D7CCDA33-3F7A-48BF-B167-3DEAC5101579}"/>
    <cellStyle name="Normal 2 2" xfId="4" xr:uid="{26E046CA-56F3-497A-9889-AC1ADFEC2151}"/>
    <cellStyle name="Percent" xfId="1" builtinId="5"/>
    <cellStyle name="Percent 2" xfId="5" xr:uid="{85D76C5F-A8E3-4A83-A3C5-D763C0526EF5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546100</xdr:colOff>
      <xdr:row>3</xdr:row>
      <xdr:rowOff>38099</xdr:rowOff>
    </xdr:from>
    <xdr:to>
      <xdr:col>17</xdr:col>
      <xdr:colOff>673100</xdr:colOff>
      <xdr:row>43</xdr:row>
      <xdr:rowOff>188796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0B60A04-D892-E748-3317-AA2567D749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6100" y="685799"/>
          <a:ext cx="14160500" cy="780879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D90CA-B458-CA44-A531-197077ADF1F6}">
  <sheetPr>
    <tabColor theme="9" tint="0.79998168889431442"/>
  </sheetPr>
  <dimension ref="B3:C18"/>
  <sheetViews>
    <sheetView showGridLines="0" tabSelected="1" workbookViewId="0">
      <selection activeCell="T18" sqref="T18"/>
    </sheetView>
  </sheetViews>
  <sheetFormatPr baseColWidth="10" defaultRowHeight="15" x14ac:dyDescent="0.2"/>
  <sheetData>
    <row r="3" spans="2:2" ht="21" x14ac:dyDescent="0.25">
      <c r="B3" s="179" t="s">
        <v>180</v>
      </c>
    </row>
    <row r="18" spans="3:3" ht="18" x14ac:dyDescent="0.2">
      <c r="C18" s="178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E6A71-CEC8-4175-B748-4F53EF9062DE}">
  <sheetPr>
    <tabColor theme="9" tint="0.79998168889431442"/>
  </sheetPr>
  <dimension ref="B1:Y69"/>
  <sheetViews>
    <sheetView showGridLines="0" zoomScaleNormal="100" workbookViewId="0">
      <selection activeCell="P1" sqref="P1:P1048576"/>
    </sheetView>
  </sheetViews>
  <sheetFormatPr baseColWidth="10" defaultColWidth="12.6640625" defaultRowHeight="15" x14ac:dyDescent="0.2"/>
  <cols>
    <col min="1" max="1" width="0.5" style="2" customWidth="1"/>
    <col min="2" max="2" width="1.5" style="2" customWidth="1"/>
    <col min="3" max="3" width="2.1640625" style="2" customWidth="1"/>
    <col min="4" max="4" width="45" style="2" customWidth="1"/>
    <col min="5" max="5" width="0.1640625" style="2" hidden="1" customWidth="1"/>
    <col min="6" max="6" width="2.1640625" style="2" hidden="1" customWidth="1"/>
    <col min="7" max="7" width="13.6640625" style="2" bestFit="1" customWidth="1"/>
    <col min="8" max="8" width="4" style="173" customWidth="1"/>
    <col min="9" max="9" width="29.33203125" style="2" customWidth="1"/>
    <col min="10" max="10" width="23.33203125" style="3" bestFit="1" customWidth="1"/>
    <col min="11" max="13" width="12.6640625" style="3"/>
    <col min="14" max="14" width="14.5" style="3" bestFit="1" customWidth="1"/>
    <col min="15" max="19" width="12.6640625" style="3"/>
    <col min="20" max="20" width="17.33203125" style="3" bestFit="1" customWidth="1"/>
    <col min="21" max="21" width="12.6640625" style="3"/>
    <col min="22" max="16384" width="12.6640625" style="2"/>
  </cols>
  <sheetData>
    <row r="1" spans="2:25" ht="29" customHeight="1" x14ac:dyDescent="0.2">
      <c r="C1" s="1" t="s">
        <v>0</v>
      </c>
      <c r="D1" s="1"/>
      <c r="E1" s="1"/>
      <c r="F1" s="1"/>
      <c r="G1" s="143"/>
    </row>
    <row r="2" spans="2:25" s="4" customFormat="1" ht="3" customHeight="1" x14ac:dyDescent="0.2">
      <c r="H2" s="173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</row>
    <row r="3" spans="2:25" ht="3" customHeight="1" x14ac:dyDescent="0.2">
      <c r="G3" s="6"/>
    </row>
    <row r="4" spans="2:25" s="4" customFormat="1" ht="3" customHeight="1" x14ac:dyDescent="0.2">
      <c r="H4" s="173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5" x14ac:dyDescent="0.2">
      <c r="B5" s="7"/>
      <c r="G5" s="6"/>
    </row>
    <row r="6" spans="2:25" x14ac:dyDescent="0.2">
      <c r="C6" s="7" t="s">
        <v>1</v>
      </c>
      <c r="D6" s="7"/>
      <c r="I6" s="144"/>
      <c r="J6" s="145">
        <v>0</v>
      </c>
      <c r="K6" s="145">
        <f>+J6+1</f>
        <v>1</v>
      </c>
      <c r="L6" s="145">
        <f t="shared" ref="L6:U6" si="0">+K6+1</f>
        <v>2</v>
      </c>
      <c r="M6" s="145">
        <f t="shared" si="0"/>
        <v>3</v>
      </c>
      <c r="N6" s="145">
        <f t="shared" si="0"/>
        <v>4</v>
      </c>
      <c r="O6" s="145">
        <f t="shared" si="0"/>
        <v>5</v>
      </c>
      <c r="P6" s="145">
        <f t="shared" si="0"/>
        <v>6</v>
      </c>
      <c r="Q6" s="145">
        <f t="shared" si="0"/>
        <v>7</v>
      </c>
      <c r="R6" s="145">
        <f t="shared" si="0"/>
        <v>8</v>
      </c>
      <c r="S6" s="145">
        <f t="shared" si="0"/>
        <v>9</v>
      </c>
      <c r="T6" s="145">
        <f t="shared" si="0"/>
        <v>10</v>
      </c>
      <c r="U6" s="145">
        <f t="shared" si="0"/>
        <v>11</v>
      </c>
    </row>
    <row r="7" spans="2:25" x14ac:dyDescent="0.2">
      <c r="D7" s="2" t="s">
        <v>2</v>
      </c>
      <c r="G7" s="162" t="s">
        <v>3</v>
      </c>
      <c r="I7" s="144"/>
      <c r="J7" s="146">
        <f>+G11</f>
        <v>46022</v>
      </c>
      <c r="K7" s="146">
        <f>EDATE(J7,12)</f>
        <v>46387</v>
      </c>
      <c r="L7" s="146">
        <f t="shared" ref="L7:U7" si="1">EDATE(K7,12)</f>
        <v>46752</v>
      </c>
      <c r="M7" s="146">
        <f t="shared" si="1"/>
        <v>47118</v>
      </c>
      <c r="N7" s="146">
        <f t="shared" si="1"/>
        <v>47483</v>
      </c>
      <c r="O7" s="146">
        <f t="shared" si="1"/>
        <v>47848</v>
      </c>
      <c r="P7" s="146">
        <f t="shared" si="1"/>
        <v>48213</v>
      </c>
      <c r="Q7" s="146">
        <f t="shared" si="1"/>
        <v>48579</v>
      </c>
      <c r="R7" s="146">
        <f t="shared" si="1"/>
        <v>48944</v>
      </c>
      <c r="S7" s="146">
        <f t="shared" si="1"/>
        <v>49309</v>
      </c>
      <c r="T7" s="146">
        <f t="shared" si="1"/>
        <v>49674</v>
      </c>
      <c r="U7" s="146">
        <f t="shared" si="1"/>
        <v>50040</v>
      </c>
    </row>
    <row r="8" spans="2:25" x14ac:dyDescent="0.2">
      <c r="D8" s="2" t="s">
        <v>4</v>
      </c>
      <c r="G8" s="163" t="s">
        <v>174</v>
      </c>
      <c r="I8" s="7" t="s">
        <v>5</v>
      </c>
    </row>
    <row r="9" spans="2:25" x14ac:dyDescent="0.2">
      <c r="D9" s="2" t="s">
        <v>6</v>
      </c>
      <c r="G9" s="164">
        <v>28</v>
      </c>
      <c r="I9" s="8" t="s">
        <v>132</v>
      </c>
      <c r="K9" s="9">
        <f>'Rent Roll'!K17</f>
        <v>519367.5</v>
      </c>
      <c r="L9" s="9">
        <f>'Rent Roll'!L17</f>
        <v>554220.67500000005</v>
      </c>
      <c r="M9" s="9">
        <f>'Rent Roll'!M17</f>
        <v>594187.00987499999</v>
      </c>
      <c r="N9" s="9">
        <f>'Rent Roll'!N17</f>
        <v>634067.86971374997</v>
      </c>
      <c r="O9" s="9">
        <f>'Rent Roll'!O17</f>
        <v>673458.75538723124</v>
      </c>
      <c r="P9" s="9">
        <f>'Rent Roll'!P17</f>
        <v>698464.16819333332</v>
      </c>
      <c r="Q9" s="9">
        <f>'Rent Roll'!Q17</f>
        <v>724402.14470235072</v>
      </c>
      <c r="R9" s="9">
        <f>'Rent Roll'!R17</f>
        <v>751307.61961407401</v>
      </c>
      <c r="S9" s="9">
        <f>'Rent Roll'!S17</f>
        <v>779216.84214159311</v>
      </c>
      <c r="T9" s="9">
        <f>'Rent Roll'!T17</f>
        <v>808167.42569121637</v>
      </c>
      <c r="U9" s="9">
        <f>'Rent Roll'!U17</f>
        <v>838198.39942806331</v>
      </c>
    </row>
    <row r="10" spans="2:25" x14ac:dyDescent="0.2">
      <c r="D10" s="2" t="s">
        <v>7</v>
      </c>
      <c r="G10" s="162">
        <v>23865</v>
      </c>
      <c r="I10" s="8" t="s">
        <v>111</v>
      </c>
      <c r="K10" s="3">
        <f>'Rent Roll'!K21</f>
        <v>-77905.125</v>
      </c>
      <c r="L10" s="3">
        <f>'Rent Roll'!L21</f>
        <v>-110844.13500000001</v>
      </c>
      <c r="M10" s="3">
        <f>'Rent Roll'!M21</f>
        <v>-89128.05148124999</v>
      </c>
      <c r="N10" s="3">
        <f>'Rent Roll'!N21</f>
        <v>-63406.786971374997</v>
      </c>
      <c r="O10" s="3">
        <f>'Rent Roll'!O21</f>
        <v>-67345.875538723121</v>
      </c>
      <c r="P10" s="3">
        <f>'Rent Roll'!P21</f>
        <v>-34923.208409666666</v>
      </c>
      <c r="Q10" s="3">
        <f>'Rent Roll'!Q21</f>
        <v>-21732.06434107052</v>
      </c>
      <c r="R10" s="3">
        <f>'Rent Roll'!R21</f>
        <v>-22539.228588422218</v>
      </c>
      <c r="S10" s="3">
        <f>'Rent Roll'!S21</f>
        <v>-23376.505264247793</v>
      </c>
      <c r="T10" s="3">
        <f>'Rent Roll'!T21</f>
        <v>-24245.02277073649</v>
      </c>
      <c r="U10" s="3">
        <f>'Rent Roll'!U21</f>
        <v>-25145.9519828419</v>
      </c>
    </row>
    <row r="11" spans="2:25" x14ac:dyDescent="0.2">
      <c r="C11" s="2" t="s">
        <v>9</v>
      </c>
      <c r="D11" s="2" t="s">
        <v>10</v>
      </c>
      <c r="G11" s="165">
        <v>46022</v>
      </c>
      <c r="I11" s="8" t="s">
        <v>11</v>
      </c>
      <c r="K11" s="3">
        <f>-$G$22*K9</f>
        <v>-10387.35</v>
      </c>
      <c r="L11" s="3">
        <f t="shared" ref="L11:U11" si="2">-$G$22*L9</f>
        <v>-11084.413500000001</v>
      </c>
      <c r="M11" s="3">
        <f t="shared" si="2"/>
        <v>-11883.740197499999</v>
      </c>
      <c r="N11" s="3">
        <f t="shared" si="2"/>
        <v>-12681.357394274999</v>
      </c>
      <c r="O11" s="3">
        <f t="shared" si="2"/>
        <v>-13469.175107744624</v>
      </c>
      <c r="P11" s="3">
        <f t="shared" si="2"/>
        <v>-13969.283363866667</v>
      </c>
      <c r="Q11" s="3">
        <f t="shared" si="2"/>
        <v>-14488.042894047016</v>
      </c>
      <c r="R11" s="3">
        <f t="shared" si="2"/>
        <v>-15026.152392281481</v>
      </c>
      <c r="S11" s="3">
        <f t="shared" si="2"/>
        <v>-15584.336842831863</v>
      </c>
      <c r="T11" s="3">
        <f t="shared" si="2"/>
        <v>-16163.348513824329</v>
      </c>
      <c r="U11" s="3">
        <f t="shared" si="2"/>
        <v>-16763.967988561268</v>
      </c>
    </row>
    <row r="12" spans="2:25" x14ac:dyDescent="0.2">
      <c r="D12" s="2" t="s">
        <v>12</v>
      </c>
      <c r="G12" s="10">
        <v>10</v>
      </c>
      <c r="I12" s="11" t="s">
        <v>13</v>
      </c>
      <c r="J12" s="12"/>
      <c r="K12" s="13">
        <f>$G$23*$G$9</f>
        <v>70000</v>
      </c>
      <c r="L12" s="13">
        <f>K12*(1+$G$24)</f>
        <v>71400</v>
      </c>
      <c r="M12" s="13">
        <f t="shared" ref="M12:U12" si="3">L12*(1+$G$24)</f>
        <v>72828</v>
      </c>
      <c r="N12" s="13">
        <f t="shared" si="3"/>
        <v>74284.56</v>
      </c>
      <c r="O12" s="13">
        <f t="shared" si="3"/>
        <v>75770.251199999999</v>
      </c>
      <c r="P12" s="13">
        <f t="shared" si="3"/>
        <v>77285.656224000006</v>
      </c>
      <c r="Q12" s="13">
        <f t="shared" si="3"/>
        <v>78831.369348480002</v>
      </c>
      <c r="R12" s="13">
        <f t="shared" si="3"/>
        <v>80407.996735449604</v>
      </c>
      <c r="S12" s="13">
        <f t="shared" si="3"/>
        <v>82016.156670158598</v>
      </c>
      <c r="T12" s="13">
        <f t="shared" si="3"/>
        <v>83656.479803561771</v>
      </c>
      <c r="U12" s="13">
        <f t="shared" si="3"/>
        <v>85329.609399633002</v>
      </c>
    </row>
    <row r="13" spans="2:25" x14ac:dyDescent="0.2">
      <c r="D13" s="2" t="s">
        <v>14</v>
      </c>
      <c r="G13" s="166">
        <f>EDATE(G11,G12*12)-1</f>
        <v>49673</v>
      </c>
      <c r="I13" s="7" t="s">
        <v>15</v>
      </c>
      <c r="K13" s="14">
        <f>SUM(K9:K12)</f>
        <v>501075.02500000002</v>
      </c>
      <c r="L13" s="14">
        <f t="shared" ref="L13:U13" si="4">SUM(L9:L12)</f>
        <v>503692.12650000001</v>
      </c>
      <c r="M13" s="14">
        <f t="shared" si="4"/>
        <v>566003.21819625003</v>
      </c>
      <c r="N13" s="14">
        <f t="shared" si="4"/>
        <v>632264.28534809989</v>
      </c>
      <c r="O13" s="14">
        <f t="shared" si="4"/>
        <v>668413.95594076347</v>
      </c>
      <c r="P13" s="14">
        <f t="shared" si="4"/>
        <v>726857.33264380007</v>
      </c>
      <c r="Q13" s="14">
        <f t="shared" si="4"/>
        <v>767013.40681571327</v>
      </c>
      <c r="R13" s="14">
        <f t="shared" si="4"/>
        <v>794150.23536882002</v>
      </c>
      <c r="S13" s="14">
        <f t="shared" si="4"/>
        <v>822272.15670467215</v>
      </c>
      <c r="T13" s="14">
        <f t="shared" si="4"/>
        <v>851415.53421021742</v>
      </c>
      <c r="U13" s="14">
        <f t="shared" si="4"/>
        <v>881618.08885629312</v>
      </c>
    </row>
    <row r="14" spans="2:25" x14ac:dyDescent="0.2">
      <c r="D14" s="2" t="s">
        <v>16</v>
      </c>
      <c r="G14" s="162">
        <v>6500000</v>
      </c>
    </row>
    <row r="15" spans="2:25" x14ac:dyDescent="0.2">
      <c r="D15" s="2" t="s">
        <v>169</v>
      </c>
      <c r="G15" s="167">
        <v>1.4999999999999999E-2</v>
      </c>
      <c r="H15" s="174"/>
      <c r="I15" s="7" t="s">
        <v>18</v>
      </c>
    </row>
    <row r="16" spans="2:25" x14ac:dyDescent="0.2">
      <c r="D16" s="2" t="s">
        <v>17</v>
      </c>
      <c r="G16" s="162">
        <f>G15*G14</f>
        <v>97500</v>
      </c>
      <c r="I16" s="8" t="s">
        <v>20</v>
      </c>
      <c r="K16" s="3">
        <f>G27</f>
        <v>55000</v>
      </c>
      <c r="L16" s="3">
        <f>K16*(1+$G$36)</f>
        <v>56650</v>
      </c>
      <c r="M16" s="3">
        <f t="shared" ref="M16:T16" si="5">L16*(1+$G$36)</f>
        <v>58349.5</v>
      </c>
      <c r="N16" s="3">
        <f t="shared" si="5"/>
        <v>60099.985000000001</v>
      </c>
      <c r="O16" s="3">
        <f t="shared" si="5"/>
        <v>61902.984550000001</v>
      </c>
      <c r="P16" s="3">
        <f t="shared" si="5"/>
        <v>63760.074086500004</v>
      </c>
      <c r="Q16" s="3">
        <f t="shared" si="5"/>
        <v>65672.876309095009</v>
      </c>
      <c r="R16" s="3">
        <f t="shared" si="5"/>
        <v>67643.062598367862</v>
      </c>
      <c r="S16" s="3">
        <f t="shared" si="5"/>
        <v>69672.354476318898</v>
      </c>
      <c r="T16" s="3">
        <f t="shared" si="5"/>
        <v>71762.525110608462</v>
      </c>
      <c r="U16" s="3">
        <f>T16*(1+$G$36)</f>
        <v>73915.400863926712</v>
      </c>
      <c r="V16" s="3"/>
      <c r="W16" s="3"/>
      <c r="X16" s="3"/>
      <c r="Y16" s="3"/>
    </row>
    <row r="17" spans="3:25" x14ac:dyDescent="0.2">
      <c r="D17" s="2" t="s">
        <v>19</v>
      </c>
      <c r="G17" s="168">
        <v>1.2500000000000001E-2</v>
      </c>
      <c r="I17" s="8" t="s">
        <v>129</v>
      </c>
      <c r="K17" s="3">
        <f>G28</f>
        <v>34000</v>
      </c>
      <c r="L17" s="3">
        <f t="shared" ref="L17:U18" si="6">K17*(1+$G$36)</f>
        <v>35020</v>
      </c>
      <c r="M17" s="3">
        <f t="shared" si="6"/>
        <v>36070.6</v>
      </c>
      <c r="N17" s="3">
        <f t="shared" si="6"/>
        <v>37152.718000000001</v>
      </c>
      <c r="O17" s="3">
        <f t="shared" si="6"/>
        <v>38267.29954</v>
      </c>
      <c r="P17" s="3">
        <f t="shared" si="6"/>
        <v>39415.318526200004</v>
      </c>
      <c r="Q17" s="3">
        <f t="shared" si="6"/>
        <v>40597.778081986005</v>
      </c>
      <c r="R17" s="3">
        <f t="shared" si="6"/>
        <v>41815.711424445588</v>
      </c>
      <c r="S17" s="3">
        <f t="shared" si="6"/>
        <v>43070.182767178958</v>
      </c>
      <c r="T17" s="3">
        <f t="shared" si="6"/>
        <v>44362.288250194331</v>
      </c>
      <c r="U17" s="3">
        <f t="shared" si="6"/>
        <v>45693.156897700159</v>
      </c>
      <c r="V17" s="3"/>
      <c r="W17" s="3"/>
      <c r="X17" s="3"/>
      <c r="Y17" s="3"/>
    </row>
    <row r="18" spans="3:25" x14ac:dyDescent="0.2">
      <c r="D18" s="2" t="s">
        <v>143</v>
      </c>
      <c r="G18" s="2">
        <f>G17*G48</f>
        <v>38255.346781250002</v>
      </c>
      <c r="I18" s="8" t="s">
        <v>22</v>
      </c>
      <c r="K18" s="3">
        <f>G29</f>
        <v>15000</v>
      </c>
      <c r="L18" s="3">
        <f t="shared" si="6"/>
        <v>15450</v>
      </c>
      <c r="M18" s="3">
        <f t="shared" si="6"/>
        <v>15913.5</v>
      </c>
      <c r="N18" s="3">
        <f t="shared" si="6"/>
        <v>16390.904999999999</v>
      </c>
      <c r="O18" s="3">
        <f t="shared" si="6"/>
        <v>16882.632149999998</v>
      </c>
      <c r="P18" s="3">
        <f t="shared" si="6"/>
        <v>17389.1111145</v>
      </c>
      <c r="Q18" s="3">
        <f t="shared" si="6"/>
        <v>17910.784447934999</v>
      </c>
      <c r="R18" s="3">
        <f t="shared" si="6"/>
        <v>18448.10798137305</v>
      </c>
      <c r="S18" s="3">
        <f t="shared" si="6"/>
        <v>19001.551220814243</v>
      </c>
      <c r="T18" s="3">
        <f t="shared" si="6"/>
        <v>19571.597757438671</v>
      </c>
      <c r="U18" s="3">
        <f t="shared" si="6"/>
        <v>20158.745690161832</v>
      </c>
      <c r="V18" s="3"/>
      <c r="W18" s="3"/>
      <c r="X18" s="3"/>
      <c r="Y18" s="3"/>
    </row>
    <row r="19" spans="3:25" x14ac:dyDescent="0.2">
      <c r="D19" s="2" t="s">
        <v>109</v>
      </c>
      <c r="G19" s="107">
        <f>K27/G14</f>
        <v>4.7083503730769236E-2</v>
      </c>
      <c r="I19" s="8" t="s">
        <v>23</v>
      </c>
      <c r="K19" s="3">
        <f>G30*G9</f>
        <v>14000</v>
      </c>
      <c r="L19" s="3">
        <f>K19*(1+$G$36)</f>
        <v>14420</v>
      </c>
      <c r="M19" s="3">
        <f t="shared" ref="M19:U19" si="7">L19*(1+$G$36)</f>
        <v>14852.6</v>
      </c>
      <c r="N19" s="3">
        <f t="shared" si="7"/>
        <v>15298.178</v>
      </c>
      <c r="O19" s="3">
        <f t="shared" si="7"/>
        <v>15757.12334</v>
      </c>
      <c r="P19" s="3">
        <f t="shared" si="7"/>
        <v>16229.8370402</v>
      </c>
      <c r="Q19" s="3">
        <f t="shared" si="7"/>
        <v>16716.732151406002</v>
      </c>
      <c r="R19" s="3">
        <f t="shared" si="7"/>
        <v>17218.234115948184</v>
      </c>
      <c r="S19" s="3">
        <f t="shared" si="7"/>
        <v>17734.781139426628</v>
      </c>
      <c r="T19" s="3">
        <f t="shared" si="7"/>
        <v>18266.824573609429</v>
      </c>
      <c r="U19" s="3">
        <f t="shared" si="7"/>
        <v>18814.829310817713</v>
      </c>
      <c r="V19" s="3"/>
      <c r="W19" s="3"/>
      <c r="X19" s="3"/>
      <c r="Y19" s="3"/>
    </row>
    <row r="20" spans="3:25" x14ac:dyDescent="0.2">
      <c r="I20" s="8" t="s">
        <v>24</v>
      </c>
      <c r="K20" s="3">
        <f>G31</f>
        <v>10000</v>
      </c>
      <c r="L20" s="3">
        <f>K20*(1+$G$36)</f>
        <v>10300</v>
      </c>
      <c r="M20" s="3">
        <f t="shared" ref="M20:U20" si="8">L20*(1+$G$36)</f>
        <v>10609</v>
      </c>
      <c r="N20" s="3">
        <f t="shared" si="8"/>
        <v>10927.27</v>
      </c>
      <c r="O20" s="3">
        <f t="shared" si="8"/>
        <v>11255.088100000001</v>
      </c>
      <c r="P20" s="3">
        <f t="shared" si="8"/>
        <v>11592.740743</v>
      </c>
      <c r="Q20" s="3">
        <f t="shared" si="8"/>
        <v>11940.52296529</v>
      </c>
      <c r="R20" s="3">
        <f t="shared" si="8"/>
        <v>12298.7386542487</v>
      </c>
      <c r="S20" s="3">
        <f t="shared" si="8"/>
        <v>12667.700813876161</v>
      </c>
      <c r="T20" s="3">
        <f t="shared" si="8"/>
        <v>13047.731838292446</v>
      </c>
      <c r="U20" s="3">
        <f t="shared" si="8"/>
        <v>13439.163793441219</v>
      </c>
      <c r="V20" s="3"/>
      <c r="W20" s="3"/>
      <c r="X20" s="3"/>
      <c r="Y20" s="3"/>
    </row>
    <row r="21" spans="3:25" x14ac:dyDescent="0.2">
      <c r="C21" s="7" t="s">
        <v>21</v>
      </c>
      <c r="I21" s="8" t="s">
        <v>26</v>
      </c>
      <c r="K21" s="3">
        <f>G32</f>
        <v>20000</v>
      </c>
      <c r="L21" s="3">
        <f>K21*(1+$G$36)</f>
        <v>20600</v>
      </c>
      <c r="M21" s="3">
        <f t="shared" ref="M21:U21" si="9">L21*(1+$G$36)</f>
        <v>21218</v>
      </c>
      <c r="N21" s="3">
        <f t="shared" si="9"/>
        <v>21854.54</v>
      </c>
      <c r="O21" s="3">
        <f t="shared" si="9"/>
        <v>22510.176200000002</v>
      </c>
      <c r="P21" s="3">
        <f t="shared" si="9"/>
        <v>23185.481486000001</v>
      </c>
      <c r="Q21" s="3">
        <f t="shared" si="9"/>
        <v>23881.04593058</v>
      </c>
      <c r="R21" s="3">
        <f t="shared" si="9"/>
        <v>24597.4773084974</v>
      </c>
      <c r="S21" s="3">
        <f t="shared" si="9"/>
        <v>25335.401627752322</v>
      </c>
      <c r="T21" s="3">
        <f t="shared" si="9"/>
        <v>26095.463676584892</v>
      </c>
      <c r="U21" s="3">
        <f t="shared" si="9"/>
        <v>26878.327586882438</v>
      </c>
      <c r="V21" s="3"/>
      <c r="W21" s="3"/>
      <c r="X21" s="3"/>
      <c r="Y21" s="3"/>
    </row>
    <row r="22" spans="3:25" x14ac:dyDescent="0.2">
      <c r="D22" s="2" t="s">
        <v>11</v>
      </c>
      <c r="G22" s="168">
        <v>0.02</v>
      </c>
      <c r="I22" s="8" t="s">
        <v>27</v>
      </c>
      <c r="K22" s="3">
        <f>$G$33*K13</f>
        <v>15032.250749999999</v>
      </c>
      <c r="L22" s="3">
        <f>$G$33*L13</f>
        <v>15110.763794999999</v>
      </c>
      <c r="M22" s="3">
        <f t="shared" ref="M22:U22" si="10">$G$33*M13</f>
        <v>16980.0965458875</v>
      </c>
      <c r="N22" s="3">
        <f t="shared" si="10"/>
        <v>18967.928560442997</v>
      </c>
      <c r="O22" s="3">
        <f t="shared" si="10"/>
        <v>20052.418678222904</v>
      </c>
      <c r="P22" s="3">
        <f t="shared" si="10"/>
        <v>21805.719979314003</v>
      </c>
      <c r="Q22" s="3">
        <f t="shared" si="10"/>
        <v>23010.402204471397</v>
      </c>
      <c r="R22" s="3">
        <f t="shared" si="10"/>
        <v>23824.5070610646</v>
      </c>
      <c r="S22" s="3">
        <f t="shared" si="10"/>
        <v>24668.164701140162</v>
      </c>
      <c r="T22" s="3">
        <f t="shared" si="10"/>
        <v>25542.466026306523</v>
      </c>
      <c r="U22" s="3">
        <f t="shared" si="10"/>
        <v>26448.542665688794</v>
      </c>
      <c r="V22" s="3"/>
      <c r="W22" s="3"/>
      <c r="X22" s="3"/>
      <c r="Y22" s="3"/>
    </row>
    <row r="23" spans="3:25" x14ac:dyDescent="0.2">
      <c r="D23" s="2" t="s">
        <v>130</v>
      </c>
      <c r="G23" s="162">
        <v>2500</v>
      </c>
      <c r="I23" s="8" t="s">
        <v>28</v>
      </c>
      <c r="K23" s="3">
        <f>G34</f>
        <v>25000</v>
      </c>
      <c r="L23" s="3">
        <f>K23*(1+$G$37)</f>
        <v>25937.500000000004</v>
      </c>
      <c r="M23" s="3">
        <f t="shared" ref="M23:U23" si="11">L23*(1+$G$37)</f>
        <v>26910.156250000007</v>
      </c>
      <c r="N23" s="3">
        <f t="shared" si="11"/>
        <v>27919.287109375011</v>
      </c>
      <c r="O23" s="3">
        <f t="shared" si="11"/>
        <v>28966.260375976577</v>
      </c>
      <c r="P23" s="3">
        <f t="shared" si="11"/>
        <v>30052.495140075702</v>
      </c>
      <c r="Q23" s="3">
        <f t="shared" si="11"/>
        <v>31179.463707828545</v>
      </c>
      <c r="R23" s="3">
        <f t="shared" si="11"/>
        <v>32348.693596872119</v>
      </c>
      <c r="S23" s="3">
        <f t="shared" si="11"/>
        <v>33561.769606754824</v>
      </c>
      <c r="T23" s="3">
        <f t="shared" si="11"/>
        <v>34820.335967008134</v>
      </c>
      <c r="U23" s="3">
        <f t="shared" si="11"/>
        <v>36126.098565770939</v>
      </c>
      <c r="V23" s="3"/>
      <c r="W23" s="3"/>
      <c r="X23" s="3"/>
      <c r="Y23" s="3"/>
    </row>
    <row r="24" spans="3:25" x14ac:dyDescent="0.2">
      <c r="D24" s="2" t="s">
        <v>25</v>
      </c>
      <c r="G24" s="168">
        <v>0.02</v>
      </c>
      <c r="I24" s="11" t="s">
        <v>29</v>
      </c>
      <c r="J24" s="12"/>
      <c r="K24" s="3">
        <f>G35*G9</f>
        <v>7000</v>
      </c>
      <c r="L24" s="3">
        <f>K24*(1+$G$36)</f>
        <v>7210</v>
      </c>
      <c r="M24" s="3">
        <f t="shared" ref="M24:U24" si="12">L24*(1+$G$36)</f>
        <v>7426.3</v>
      </c>
      <c r="N24" s="3">
        <f t="shared" si="12"/>
        <v>7649.0889999999999</v>
      </c>
      <c r="O24" s="3">
        <f t="shared" si="12"/>
        <v>7878.56167</v>
      </c>
      <c r="P24" s="3">
        <f t="shared" si="12"/>
        <v>8114.9185201</v>
      </c>
      <c r="Q24" s="3">
        <f t="shared" si="12"/>
        <v>8358.3660757030011</v>
      </c>
      <c r="R24" s="3">
        <f t="shared" si="12"/>
        <v>8609.1170579740919</v>
      </c>
      <c r="S24" s="3">
        <f t="shared" si="12"/>
        <v>8867.3905697133141</v>
      </c>
      <c r="T24" s="3">
        <f t="shared" si="12"/>
        <v>9133.4122868047143</v>
      </c>
      <c r="U24" s="3">
        <f t="shared" si="12"/>
        <v>9407.4146554088566</v>
      </c>
      <c r="V24" s="3"/>
      <c r="W24" s="3"/>
      <c r="X24" s="3"/>
      <c r="Y24" s="3"/>
    </row>
    <row r="25" spans="3:25" x14ac:dyDescent="0.2">
      <c r="G25" s="168"/>
      <c r="I25" s="7" t="s">
        <v>30</v>
      </c>
      <c r="J25" s="14"/>
      <c r="K25" s="74">
        <f>SUM(K16:K24)</f>
        <v>195032.25075000001</v>
      </c>
      <c r="L25" s="74">
        <f t="shared" ref="L25:U25" si="13">SUM(L16:L24)</f>
        <v>200698.26379500001</v>
      </c>
      <c r="M25" s="74">
        <f t="shared" si="13"/>
        <v>208329.7527958875</v>
      </c>
      <c r="N25" s="74">
        <f t="shared" si="13"/>
        <v>216259.90066981802</v>
      </c>
      <c r="O25" s="74">
        <f t="shared" si="13"/>
        <v>223472.54460419944</v>
      </c>
      <c r="P25" s="74">
        <f t="shared" si="13"/>
        <v>231545.69663588973</v>
      </c>
      <c r="Q25" s="74">
        <f t="shared" si="13"/>
        <v>239267.97187429498</v>
      </c>
      <c r="R25" s="74">
        <f t="shared" si="13"/>
        <v>246803.64979879159</v>
      </c>
      <c r="S25" s="74">
        <f t="shared" si="13"/>
        <v>254579.29692297551</v>
      </c>
      <c r="T25" s="74">
        <f t="shared" si="13"/>
        <v>262602.64548684761</v>
      </c>
      <c r="U25" s="74">
        <f t="shared" si="13"/>
        <v>270881.68002979865</v>
      </c>
    </row>
    <row r="26" spans="3:25" x14ac:dyDescent="0.2">
      <c r="C26" s="7" t="s">
        <v>119</v>
      </c>
    </row>
    <row r="27" spans="3:25" x14ac:dyDescent="0.2">
      <c r="D27" s="2" t="s">
        <v>120</v>
      </c>
      <c r="G27" s="162">
        <v>55000</v>
      </c>
      <c r="I27" s="7" t="s">
        <v>32</v>
      </c>
      <c r="K27" s="14">
        <f>K13-K25</f>
        <v>306042.77425000002</v>
      </c>
      <c r="L27" s="14">
        <f t="shared" ref="L27:U27" si="14">L13-L25</f>
        <v>302993.86270499998</v>
      </c>
      <c r="M27" s="14">
        <f t="shared" si="14"/>
        <v>357673.4654003625</v>
      </c>
      <c r="N27" s="14">
        <f t="shared" si="14"/>
        <v>416004.38467828184</v>
      </c>
      <c r="O27" s="14">
        <f t="shared" si="14"/>
        <v>444941.41133656399</v>
      </c>
      <c r="P27" s="14">
        <f t="shared" si="14"/>
        <v>495311.63600791036</v>
      </c>
      <c r="Q27" s="14">
        <f t="shared" si="14"/>
        <v>527745.43494141824</v>
      </c>
      <c r="R27" s="14">
        <f t="shared" si="14"/>
        <v>547346.5855700284</v>
      </c>
      <c r="S27" s="14">
        <f t="shared" si="14"/>
        <v>567692.85978169669</v>
      </c>
      <c r="T27" s="14">
        <f t="shared" si="14"/>
        <v>588812.8887233698</v>
      </c>
      <c r="U27" s="14">
        <f t="shared" si="14"/>
        <v>610736.40882649447</v>
      </c>
    </row>
    <row r="28" spans="3:25" x14ac:dyDescent="0.2">
      <c r="D28" s="2" t="s">
        <v>121</v>
      </c>
      <c r="G28" s="162">
        <v>34000</v>
      </c>
    </row>
    <row r="29" spans="3:25" x14ac:dyDescent="0.2">
      <c r="D29" s="2" t="s">
        <v>122</v>
      </c>
      <c r="G29" s="162">
        <v>15000</v>
      </c>
      <c r="I29" s="7" t="s">
        <v>33</v>
      </c>
    </row>
    <row r="30" spans="3:25" x14ac:dyDescent="0.2">
      <c r="D30" s="2" t="s">
        <v>31</v>
      </c>
      <c r="G30" s="162">
        <v>500</v>
      </c>
      <c r="I30" s="8" t="s">
        <v>34</v>
      </c>
      <c r="K30" s="3">
        <f>IF(K$6&lt;=$G$40,$G$41/$G$40,0)</f>
        <v>111250</v>
      </c>
      <c r="L30" s="3">
        <f>IF(L$6&lt;=$G$40,$G$41/$G$40,0)</f>
        <v>111250</v>
      </c>
      <c r="M30" s="3">
        <f t="shared" ref="M30:T30" si="15">IF(M$6&lt;=$G$40,$G$41/$G$40,0)</f>
        <v>111250</v>
      </c>
      <c r="N30" s="3">
        <f t="shared" si="15"/>
        <v>111250</v>
      </c>
      <c r="O30" s="3">
        <f t="shared" si="15"/>
        <v>0</v>
      </c>
      <c r="P30" s="3">
        <f t="shared" si="15"/>
        <v>0</v>
      </c>
      <c r="Q30" s="3">
        <f t="shared" si="15"/>
        <v>0</v>
      </c>
      <c r="R30" s="3">
        <f t="shared" si="15"/>
        <v>0</v>
      </c>
      <c r="S30" s="3">
        <f t="shared" si="15"/>
        <v>0</v>
      </c>
      <c r="T30" s="3">
        <f t="shared" si="15"/>
        <v>0</v>
      </c>
    </row>
    <row r="31" spans="3:25" x14ac:dyDescent="0.2">
      <c r="D31" s="2" t="s">
        <v>123</v>
      </c>
      <c r="G31" s="162">
        <v>10000</v>
      </c>
      <c r="I31" s="8" t="s">
        <v>172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</row>
    <row r="32" spans="3:25" x14ac:dyDescent="0.2">
      <c r="D32" s="2" t="s">
        <v>124</v>
      </c>
      <c r="G32" s="162">
        <v>20000</v>
      </c>
      <c r="I32" s="11" t="s">
        <v>173</v>
      </c>
      <c r="J32" s="12"/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</row>
    <row r="33" spans="3:20" x14ac:dyDescent="0.2">
      <c r="D33" s="2" t="s">
        <v>27</v>
      </c>
      <c r="G33" s="168">
        <v>0.03</v>
      </c>
      <c r="I33" s="7" t="s">
        <v>37</v>
      </c>
      <c r="J33" s="14"/>
      <c r="K33" s="14">
        <f>SUM(K30:K32)</f>
        <v>111250</v>
      </c>
      <c r="L33" s="14">
        <f t="shared" ref="L33:T33" si="16">SUM(L30:L32)</f>
        <v>111250</v>
      </c>
      <c r="M33" s="14">
        <f t="shared" si="16"/>
        <v>111250</v>
      </c>
      <c r="N33" s="14">
        <f t="shared" si="16"/>
        <v>111250</v>
      </c>
      <c r="O33" s="14">
        <f t="shared" si="16"/>
        <v>0</v>
      </c>
      <c r="P33" s="14">
        <f t="shared" si="16"/>
        <v>0</v>
      </c>
      <c r="Q33" s="14">
        <f t="shared" si="16"/>
        <v>0</v>
      </c>
      <c r="R33" s="14">
        <f t="shared" si="16"/>
        <v>0</v>
      </c>
      <c r="S33" s="14">
        <f t="shared" si="16"/>
        <v>0</v>
      </c>
      <c r="T33" s="14">
        <f t="shared" si="16"/>
        <v>0</v>
      </c>
    </row>
    <row r="34" spans="3:20" x14ac:dyDescent="0.2">
      <c r="D34" s="2" t="s">
        <v>125</v>
      </c>
      <c r="G34" s="162">
        <v>25000</v>
      </c>
    </row>
    <row r="35" spans="3:20" x14ac:dyDescent="0.2">
      <c r="D35" s="2" t="s">
        <v>35</v>
      </c>
      <c r="G35" s="162">
        <v>250</v>
      </c>
      <c r="I35" s="7" t="s">
        <v>39</v>
      </c>
      <c r="K35" s="3">
        <f>K27-K33</f>
        <v>194792.77425000002</v>
      </c>
      <c r="L35" s="3">
        <f t="shared" ref="L35:T35" si="17">L27-L33</f>
        <v>191743.86270499998</v>
      </c>
      <c r="M35" s="3">
        <f t="shared" si="17"/>
        <v>246423.4654003625</v>
      </c>
      <c r="N35" s="3">
        <f t="shared" si="17"/>
        <v>304754.38467828184</v>
      </c>
      <c r="O35" s="3">
        <f t="shared" si="17"/>
        <v>444941.41133656399</v>
      </c>
      <c r="P35" s="3">
        <f t="shared" si="17"/>
        <v>495311.63600791036</v>
      </c>
      <c r="Q35" s="3">
        <f t="shared" si="17"/>
        <v>527745.43494141824</v>
      </c>
      <c r="R35" s="3">
        <f t="shared" si="17"/>
        <v>547346.5855700284</v>
      </c>
      <c r="S35" s="3">
        <f t="shared" si="17"/>
        <v>567692.85978169669</v>
      </c>
      <c r="T35" s="3">
        <f t="shared" si="17"/>
        <v>588812.8887233698</v>
      </c>
    </row>
    <row r="36" spans="3:20" x14ac:dyDescent="0.2">
      <c r="D36" s="2" t="s">
        <v>36</v>
      </c>
      <c r="G36" s="168">
        <v>0.03</v>
      </c>
    </row>
    <row r="37" spans="3:20" x14ac:dyDescent="0.2">
      <c r="D37" s="2" t="s">
        <v>38</v>
      </c>
      <c r="G37" s="168">
        <v>3.7499999999999999E-2</v>
      </c>
      <c r="I37" s="7" t="s">
        <v>41</v>
      </c>
      <c r="K37" s="137"/>
      <c r="L37" s="137"/>
      <c r="M37" s="137"/>
      <c r="N37" s="137"/>
      <c r="O37" s="137"/>
      <c r="P37" s="137"/>
      <c r="Q37" s="137"/>
      <c r="R37" s="137"/>
      <c r="S37" s="137"/>
      <c r="T37" s="137"/>
    </row>
    <row r="38" spans="3:20" x14ac:dyDescent="0.2">
      <c r="I38" s="8" t="s">
        <v>43</v>
      </c>
      <c r="K38" s="117">
        <f>'Debt Amortization Schedule'!$B$8</f>
        <v>204392.73576171484</v>
      </c>
      <c r="L38" s="117">
        <f>'Debt Amortization Schedule'!$B$8</f>
        <v>204392.73576171484</v>
      </c>
      <c r="M38" s="117">
        <f>'Debt Amortization Schedule'!$B$8</f>
        <v>204392.73576171484</v>
      </c>
      <c r="N38" s="117">
        <f>'Debt Amortization Schedule'!$B$8</f>
        <v>204392.73576171484</v>
      </c>
      <c r="O38" s="117">
        <f>'Debt Amortization Schedule'!$B$8</f>
        <v>204392.73576171484</v>
      </c>
      <c r="P38" s="117">
        <f>'Debt Amortization Schedule'!$B$8</f>
        <v>204392.73576171484</v>
      </c>
      <c r="Q38" s="117">
        <f>'Debt Amortization Schedule'!$B$8</f>
        <v>204392.73576171484</v>
      </c>
      <c r="R38" s="117">
        <f>'Debt Amortization Schedule'!$B$8</f>
        <v>204392.73576171484</v>
      </c>
      <c r="S38" s="117">
        <f>'Debt Amortization Schedule'!$B$8</f>
        <v>204392.73576171484</v>
      </c>
      <c r="T38" s="117">
        <f>'Debt Amortization Schedule'!$B$8</f>
        <v>204392.73576171484</v>
      </c>
    </row>
    <row r="39" spans="3:20" x14ac:dyDescent="0.2">
      <c r="C39" s="7" t="s">
        <v>40</v>
      </c>
    </row>
    <row r="40" spans="3:20" x14ac:dyDescent="0.2">
      <c r="C40" s="7"/>
      <c r="D40" s="2" t="s">
        <v>34</v>
      </c>
      <c r="G40" s="10">
        <v>4</v>
      </c>
      <c r="I40" s="7" t="s">
        <v>44</v>
      </c>
      <c r="K40" s="3">
        <f>K35-K38</f>
        <v>-9599.9615117148205</v>
      </c>
      <c r="L40" s="3">
        <f t="shared" ref="L40:T40" si="18">L35-L38</f>
        <v>-12648.87305671486</v>
      </c>
      <c r="M40" s="3">
        <f t="shared" si="18"/>
        <v>42030.729638647666</v>
      </c>
      <c r="N40" s="3">
        <f t="shared" si="18"/>
        <v>100361.64891656701</v>
      </c>
      <c r="O40" s="3">
        <f t="shared" si="18"/>
        <v>240548.67557484916</v>
      </c>
      <c r="P40" s="3">
        <f t="shared" si="18"/>
        <v>290918.9002461955</v>
      </c>
      <c r="Q40" s="3">
        <f t="shared" si="18"/>
        <v>323352.69917970337</v>
      </c>
      <c r="R40" s="3">
        <f t="shared" si="18"/>
        <v>342953.84980831353</v>
      </c>
      <c r="S40" s="3">
        <f t="shared" si="18"/>
        <v>363300.12401998183</v>
      </c>
      <c r="T40" s="3">
        <f t="shared" si="18"/>
        <v>384420.15296165494</v>
      </c>
    </row>
    <row r="41" spans="3:20" x14ac:dyDescent="0.2">
      <c r="C41" s="7"/>
      <c r="D41" s="2" t="s">
        <v>42</v>
      </c>
      <c r="G41" s="162">
        <v>445000</v>
      </c>
      <c r="K41" s="75"/>
      <c r="L41" s="75"/>
      <c r="M41" s="75"/>
      <c r="N41" s="75"/>
      <c r="O41" s="75"/>
      <c r="P41" s="75"/>
      <c r="Q41" s="75"/>
      <c r="R41" s="75"/>
      <c r="S41" s="75"/>
      <c r="T41" s="75"/>
    </row>
    <row r="42" spans="3:20" x14ac:dyDescent="0.2">
      <c r="C42" s="7"/>
      <c r="D42" s="8" t="s">
        <v>112</v>
      </c>
      <c r="E42" s="7"/>
      <c r="G42" s="169">
        <v>0</v>
      </c>
      <c r="I42" s="7" t="s">
        <v>45</v>
      </c>
    </row>
    <row r="43" spans="3:20" x14ac:dyDescent="0.2">
      <c r="C43" s="7"/>
      <c r="D43" s="2" t="s">
        <v>113</v>
      </c>
      <c r="G43" s="162">
        <v>0</v>
      </c>
      <c r="I43" s="16" t="s">
        <v>46</v>
      </c>
      <c r="J43" s="3">
        <f>-('Sources &amp; Uses'!J15+'Sources &amp; Uses'!J16)</f>
        <v>-6597500</v>
      </c>
    </row>
    <row r="44" spans="3:20" x14ac:dyDescent="0.2">
      <c r="D44" s="2" t="s">
        <v>114</v>
      </c>
      <c r="E44" s="7"/>
      <c r="G44" s="169">
        <v>0</v>
      </c>
      <c r="I44" s="16" t="s">
        <v>48</v>
      </c>
      <c r="K44" s="3">
        <f>K35</f>
        <v>194792.77425000002</v>
      </c>
      <c r="L44" s="3">
        <f>L35</f>
        <v>191743.86270499998</v>
      </c>
      <c r="M44" s="3">
        <f t="shared" ref="M44:T44" si="19">M35</f>
        <v>246423.4654003625</v>
      </c>
      <c r="N44" s="3">
        <f t="shared" si="19"/>
        <v>304754.38467828184</v>
      </c>
      <c r="O44" s="3">
        <f t="shared" si="19"/>
        <v>444941.41133656399</v>
      </c>
      <c r="P44" s="3">
        <f t="shared" si="19"/>
        <v>495311.63600791036</v>
      </c>
      <c r="Q44" s="3">
        <f t="shared" si="19"/>
        <v>527745.43494141824</v>
      </c>
      <c r="R44" s="3">
        <f t="shared" si="19"/>
        <v>547346.5855700284</v>
      </c>
      <c r="S44" s="3">
        <f t="shared" si="19"/>
        <v>567692.85978169669</v>
      </c>
      <c r="T44" s="3">
        <f t="shared" si="19"/>
        <v>588812.8887233698</v>
      </c>
    </row>
    <row r="45" spans="3:20" x14ac:dyDescent="0.2">
      <c r="D45" s="2" t="s">
        <v>115</v>
      </c>
      <c r="G45" s="162">
        <v>0</v>
      </c>
      <c r="I45" s="16" t="s">
        <v>50</v>
      </c>
      <c r="K45" s="3">
        <f t="shared" ref="K45:S45" si="20">IF(K$6=$G$12,$G$57,0)</f>
        <v>0</v>
      </c>
      <c r="L45" s="3">
        <f t="shared" si="20"/>
        <v>0</v>
      </c>
      <c r="M45" s="3">
        <f t="shared" si="20"/>
        <v>0</v>
      </c>
      <c r="N45" s="3">
        <f t="shared" si="20"/>
        <v>0</v>
      </c>
      <c r="O45" s="3">
        <f t="shared" si="20"/>
        <v>0</v>
      </c>
      <c r="P45" s="3">
        <f t="shared" si="20"/>
        <v>0</v>
      </c>
      <c r="Q45" s="3">
        <f t="shared" si="20"/>
        <v>0</v>
      </c>
      <c r="R45" s="3">
        <f t="shared" si="20"/>
        <v>0</v>
      </c>
      <c r="S45" s="3">
        <f t="shared" si="20"/>
        <v>0</v>
      </c>
      <c r="T45" s="3">
        <f>IF(T$6=$G$12,$G$58,0)</f>
        <v>11776257.774467396</v>
      </c>
    </row>
    <row r="46" spans="3:20" x14ac:dyDescent="0.2">
      <c r="G46" s="168"/>
      <c r="I46" s="18" t="s">
        <v>51</v>
      </c>
      <c r="J46" s="12"/>
      <c r="K46" s="12">
        <f t="shared" ref="K46:S46" si="21">K45*-$G$58</f>
        <v>0</v>
      </c>
      <c r="L46" s="12">
        <f t="shared" si="21"/>
        <v>0</v>
      </c>
      <c r="M46" s="12">
        <f t="shared" si="21"/>
        <v>0</v>
      </c>
      <c r="N46" s="12">
        <f t="shared" si="21"/>
        <v>0</v>
      </c>
      <c r="O46" s="12">
        <f t="shared" si="21"/>
        <v>0</v>
      </c>
      <c r="P46" s="12">
        <f t="shared" si="21"/>
        <v>0</v>
      </c>
      <c r="Q46" s="12">
        <f t="shared" si="21"/>
        <v>0</v>
      </c>
      <c r="R46" s="12">
        <f t="shared" si="21"/>
        <v>0</v>
      </c>
      <c r="S46" s="12">
        <f t="shared" si="21"/>
        <v>0</v>
      </c>
      <c r="T46" s="12">
        <f>T45*-$G$59</f>
        <v>-235525.1554893479</v>
      </c>
    </row>
    <row r="47" spans="3:20" x14ac:dyDescent="0.2">
      <c r="C47" s="7" t="s">
        <v>47</v>
      </c>
      <c r="I47" s="7" t="s">
        <v>53</v>
      </c>
      <c r="J47" s="3">
        <f>SUM(J43:J46)</f>
        <v>-6597500</v>
      </c>
      <c r="K47" s="3">
        <f t="shared" ref="K47:T47" si="22">SUM(K43:K46)</f>
        <v>194792.77425000002</v>
      </c>
      <c r="L47" s="3">
        <f t="shared" si="22"/>
        <v>191743.86270499998</v>
      </c>
      <c r="M47" s="3">
        <f t="shared" si="22"/>
        <v>246423.4654003625</v>
      </c>
      <c r="N47" s="3">
        <f t="shared" si="22"/>
        <v>304754.38467828184</v>
      </c>
      <c r="O47" s="3">
        <f t="shared" si="22"/>
        <v>444941.41133656399</v>
      </c>
      <c r="P47" s="3">
        <f t="shared" si="22"/>
        <v>495311.63600791036</v>
      </c>
      <c r="Q47" s="3">
        <f t="shared" si="22"/>
        <v>527745.43494141824</v>
      </c>
      <c r="R47" s="3">
        <f t="shared" si="22"/>
        <v>547346.5855700284</v>
      </c>
      <c r="S47" s="3">
        <f t="shared" si="22"/>
        <v>567692.85978169669</v>
      </c>
      <c r="T47" s="3">
        <f t="shared" si="22"/>
        <v>12129545.507701417</v>
      </c>
    </row>
    <row r="48" spans="3:20" x14ac:dyDescent="0.2">
      <c r="D48" s="2" t="s">
        <v>49</v>
      </c>
      <c r="G48" s="17">
        <f>'Debt Sizing'!D16</f>
        <v>3060427.7425000002</v>
      </c>
      <c r="I48" s="19" t="s">
        <v>54</v>
      </c>
      <c r="J48" s="20"/>
      <c r="K48" s="21">
        <f>+K44/-SUMIF($J$47:K47,"&lt;0")</f>
        <v>2.9525240507768096E-2</v>
      </c>
      <c r="L48" s="21">
        <f>+L44/-SUMIF($J$47:L47,"&lt;0")</f>
        <v>2.9063109163319435E-2</v>
      </c>
      <c r="M48" s="21">
        <f>+M44/-SUMIF($J$47:M47,"&lt;0")</f>
        <v>3.7351036817031072E-2</v>
      </c>
      <c r="N48" s="21">
        <f>+N44/-SUMIF($J$47:N47,"&lt;0")</f>
        <v>4.6192403892123056E-2</v>
      </c>
      <c r="O48" s="21">
        <f>+O44/-SUMIF($J$47:O47,"&lt;0")</f>
        <v>6.7440911153704278E-2</v>
      </c>
      <c r="P48" s="21">
        <f>+P44/-SUMIF($J$47:P47,"&lt;0")</f>
        <v>7.5075655325185356E-2</v>
      </c>
      <c r="Q48" s="21">
        <f>+Q44/-SUMIF($J$47:Q47,"&lt;0")</f>
        <v>7.9991729434091441E-2</v>
      </c>
      <c r="R48" s="21">
        <f>+R44/-SUMIF($J$47:R47,"&lt;0")</f>
        <v>8.2962726118988764E-2</v>
      </c>
      <c r="S48" s="21">
        <f>+S44/-SUMIF($J$47:S47,"&lt;0")</f>
        <v>8.6046663096884676E-2</v>
      </c>
      <c r="T48" s="21">
        <f>+T44/-SUMIF($J$47:T47,"&lt;0")</f>
        <v>8.9247880064171253E-2</v>
      </c>
    </row>
    <row r="49" spans="3:20" ht="16" thickBot="1" x14ac:dyDescent="0.25">
      <c r="D49" s="2" t="s">
        <v>142</v>
      </c>
      <c r="G49" s="170">
        <v>10</v>
      </c>
      <c r="K49" s="114"/>
      <c r="L49" s="114"/>
      <c r="M49" s="114"/>
      <c r="N49" s="114"/>
      <c r="O49" s="114"/>
      <c r="P49" s="114"/>
      <c r="Q49" s="114"/>
      <c r="R49" s="114"/>
      <c r="S49" s="114"/>
      <c r="T49" s="114"/>
    </row>
    <row r="50" spans="3:20" x14ac:dyDescent="0.2">
      <c r="D50" s="2" t="s">
        <v>52</v>
      </c>
      <c r="G50" s="10">
        <v>30</v>
      </c>
      <c r="I50" s="22" t="s">
        <v>56</v>
      </c>
      <c r="J50" s="23">
        <f>+XIRR(J47:T47,J7:T7)</f>
        <v>0.10245386958122255</v>
      </c>
    </row>
    <row r="51" spans="3:20" x14ac:dyDescent="0.2">
      <c r="D51" s="2" t="s">
        <v>55</v>
      </c>
      <c r="G51" s="168">
        <v>5.3199999999999997E-2</v>
      </c>
      <c r="I51" s="24" t="s">
        <v>57</v>
      </c>
      <c r="J51" s="25">
        <f>+SUMIF(J47:T47,"&gt;0")/-SUMIF(J47:T47,"&lt;0")</f>
        <v>2.3721558048310238</v>
      </c>
    </row>
    <row r="52" spans="3:20" ht="16" thickBot="1" x14ac:dyDescent="0.25">
      <c r="D52" s="2" t="s">
        <v>140</v>
      </c>
      <c r="G52" s="171">
        <v>12</v>
      </c>
      <c r="I52" s="26" t="s">
        <v>58</v>
      </c>
      <c r="J52" s="27">
        <f>+SUM(J47:T47)</f>
        <v>9052797.9223726802</v>
      </c>
    </row>
    <row r="53" spans="3:20" x14ac:dyDescent="0.2">
      <c r="D53" s="2" t="s">
        <v>146</v>
      </c>
      <c r="G53" s="172">
        <f>-PMT(G51/12,G50*12,G48,0)*12</f>
        <v>204392.73576171484</v>
      </c>
    </row>
    <row r="54" spans="3:20" x14ac:dyDescent="0.2">
      <c r="I54" s="7" t="s">
        <v>60</v>
      </c>
    </row>
    <row r="55" spans="3:20" x14ac:dyDescent="0.2">
      <c r="C55" s="7" t="s">
        <v>59</v>
      </c>
      <c r="I55" s="16" t="s">
        <v>170</v>
      </c>
      <c r="J55" s="139">
        <f>-'Sources &amp; Uses'!D12</f>
        <v>-3575327.6042812499</v>
      </c>
    </row>
    <row r="56" spans="3:20" x14ac:dyDescent="0.2">
      <c r="D56" s="2" t="s">
        <v>61</v>
      </c>
      <c r="G56" s="168">
        <v>0.05</v>
      </c>
      <c r="I56" s="16" t="s">
        <v>63</v>
      </c>
      <c r="K56" s="3">
        <f>K40</f>
        <v>-9599.9615117148205</v>
      </c>
      <c r="L56" s="3">
        <f t="shared" ref="L56:T56" si="23">L40</f>
        <v>-12648.87305671486</v>
      </c>
      <c r="M56" s="3">
        <f t="shared" si="23"/>
        <v>42030.729638647666</v>
      </c>
      <c r="N56" s="3">
        <f t="shared" si="23"/>
        <v>100361.64891656701</v>
      </c>
      <c r="O56" s="3">
        <f t="shared" si="23"/>
        <v>240548.67557484916</v>
      </c>
      <c r="P56" s="3">
        <f t="shared" si="23"/>
        <v>290918.9002461955</v>
      </c>
      <c r="Q56" s="3">
        <f t="shared" si="23"/>
        <v>323352.69917970337</v>
      </c>
      <c r="R56" s="3">
        <f t="shared" si="23"/>
        <v>342953.84980831353</v>
      </c>
      <c r="S56" s="3">
        <f t="shared" si="23"/>
        <v>363300.12401998183</v>
      </c>
      <c r="T56" s="3">
        <f t="shared" si="23"/>
        <v>384420.15296165494</v>
      </c>
    </row>
    <row r="57" spans="3:20" x14ac:dyDescent="0.2">
      <c r="D57" s="2" t="s">
        <v>62</v>
      </c>
      <c r="G57" s="2">
        <f>LOOKUP(G13+1,K7:U7,K27:U27)</f>
        <v>588812.8887233698</v>
      </c>
      <c r="I57" s="16" t="s">
        <v>50</v>
      </c>
      <c r="T57" s="3">
        <f>G58</f>
        <v>11776257.774467396</v>
      </c>
    </row>
    <row r="58" spans="3:20" x14ac:dyDescent="0.2">
      <c r="D58" s="2" t="s">
        <v>64</v>
      </c>
      <c r="G58" s="2">
        <f>G57/G56</f>
        <v>11776257.774467396</v>
      </c>
      <c r="I58" s="16" t="s">
        <v>51</v>
      </c>
      <c r="J58" s="2"/>
      <c r="T58" s="3">
        <f>-T57*G59</f>
        <v>-235525.1554893479</v>
      </c>
    </row>
    <row r="59" spans="3:20" x14ac:dyDescent="0.2">
      <c r="D59" s="2" t="s">
        <v>51</v>
      </c>
      <c r="G59" s="168">
        <v>0.02</v>
      </c>
      <c r="I59" s="18" t="s">
        <v>65</v>
      </c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>
        <f>-'Debt Amortization Schedule'!F132</f>
        <v>-2513088.6834703269</v>
      </c>
    </row>
    <row r="60" spans="3:20" x14ac:dyDescent="0.2">
      <c r="D60" s="2" t="s">
        <v>141</v>
      </c>
      <c r="G60" s="172"/>
      <c r="I60" s="7" t="s">
        <v>66</v>
      </c>
      <c r="J60" s="3">
        <f t="shared" ref="J60:S60" si="24">SUM(J55:J59)</f>
        <v>-3575327.6042812499</v>
      </c>
      <c r="K60" s="3">
        <f t="shared" si="24"/>
        <v>-9599.9615117148205</v>
      </c>
      <c r="L60" s="3">
        <f t="shared" si="24"/>
        <v>-12648.87305671486</v>
      </c>
      <c r="M60" s="3">
        <f t="shared" si="24"/>
        <v>42030.729638647666</v>
      </c>
      <c r="N60" s="3">
        <f t="shared" si="24"/>
        <v>100361.64891656701</v>
      </c>
      <c r="O60" s="3">
        <f t="shared" si="24"/>
        <v>240548.67557484916</v>
      </c>
      <c r="P60" s="3">
        <f t="shared" si="24"/>
        <v>290918.9002461955</v>
      </c>
      <c r="Q60" s="3">
        <f t="shared" si="24"/>
        <v>323352.69917970337</v>
      </c>
      <c r="R60" s="3">
        <f t="shared" si="24"/>
        <v>342953.84980831353</v>
      </c>
      <c r="S60" s="3">
        <f t="shared" si="24"/>
        <v>363300.12401998183</v>
      </c>
      <c r="T60" s="3">
        <f t="shared" ref="T60" si="25">SUM(T55:T59)</f>
        <v>9412064.0884693749</v>
      </c>
    </row>
    <row r="61" spans="3:20" x14ac:dyDescent="0.2">
      <c r="I61" s="19" t="s">
        <v>54</v>
      </c>
      <c r="J61" s="20"/>
      <c r="K61" s="21">
        <f>K56/-SUMIF($J$60:K60,"&lt;0",$J$60:K60)</f>
        <v>-2.6778676376384095E-3</v>
      </c>
      <c r="L61" s="21">
        <f>L56/-SUMIF($J$60:L60,"&lt;0",$J$60:L60)</f>
        <v>-3.5159428219847136E-3</v>
      </c>
      <c r="M61" s="21">
        <f>M56/-SUMIF($J$60:M60,"&lt;0",$J$60:M60)</f>
        <v>1.1683067852225244E-2</v>
      </c>
      <c r="N61" s="21">
        <f>N56/-SUMIF($J$60:N60,"&lt;0",$J$60:N60)</f>
        <v>2.7897016400479181E-2</v>
      </c>
      <c r="O61" s="21">
        <f>O56/-SUMIF($J$60:O60,"&lt;0",$J$60:O60)</f>
        <v>6.6864090218403893E-2</v>
      </c>
      <c r="P61" s="21">
        <f>P56/-SUMIF($J$60:P60,"&lt;0",$J$60:P60)</f>
        <v>8.0865245031240096E-2</v>
      </c>
      <c r="Q61" s="21">
        <f>Q56/-SUMIF($J$60:Q60,"&lt;0",$J$60:Q60)</f>
        <v>8.9880702933193266E-2</v>
      </c>
      <c r="R61" s="21">
        <f>R56/-SUMIF($J$60:R60,"&lt;0",$J$60:R60)</f>
        <v>9.5329134943404448E-2</v>
      </c>
      <c r="S61" s="21">
        <f>S56/-SUMIF($J$60:S60,"&lt;0",$J$60:S60)</f>
        <v>0.10098468516103207</v>
      </c>
      <c r="T61" s="21">
        <f>T56/-SUMIF($J$60:T60,"&lt;0",$J$60:T60)</f>
        <v>0.10685531204017246</v>
      </c>
    </row>
    <row r="62" spans="3:20" x14ac:dyDescent="0.2">
      <c r="I62" s="19" t="s">
        <v>67</v>
      </c>
      <c r="J62" s="20"/>
      <c r="K62" s="21">
        <f t="shared" ref="K62:T62" si="26">K27/$G$48</f>
        <v>0.1</v>
      </c>
      <c r="L62" s="21">
        <f t="shared" si="26"/>
        <v>9.9003762937232606E-2</v>
      </c>
      <c r="M62" s="21">
        <f t="shared" si="26"/>
        <v>0.11687041665234234</v>
      </c>
      <c r="N62" s="21">
        <f t="shared" si="26"/>
        <v>0.13593014430670938</v>
      </c>
      <c r="O62" s="21">
        <f t="shared" si="26"/>
        <v>0.14538536726670126</v>
      </c>
      <c r="P62" s="21">
        <f t="shared" si="26"/>
        <v>0.16184392434088332</v>
      </c>
      <c r="Q62" s="21">
        <f t="shared" si="26"/>
        <v>0.17244172362335008</v>
      </c>
      <c r="R62" s="21">
        <f t="shared" si="26"/>
        <v>0.17884643312078732</v>
      </c>
      <c r="S62" s="21">
        <f t="shared" si="26"/>
        <v>0.18549461302358999</v>
      </c>
      <c r="T62" s="21">
        <f t="shared" si="26"/>
        <v>0.19239561860799914</v>
      </c>
    </row>
    <row r="63" spans="3:20" x14ac:dyDescent="0.2">
      <c r="I63" s="19" t="s">
        <v>68</v>
      </c>
      <c r="J63" s="20"/>
      <c r="K63" s="124">
        <f>K27/K38</f>
        <v>1.497327060619174</v>
      </c>
      <c r="L63" s="124">
        <f t="shared" ref="L63:T63" si="27">L27/L38</f>
        <v>1.4824101334904403</v>
      </c>
      <c r="M63" s="124">
        <f t="shared" si="27"/>
        <v>1.7499323743938993</v>
      </c>
      <c r="N63" s="124">
        <f t="shared" si="27"/>
        <v>2.035318834243053</v>
      </c>
      <c r="O63" s="124">
        <f t="shared" si="27"/>
        <v>2.1768944462648889</v>
      </c>
      <c r="P63" s="124">
        <f t="shared" si="27"/>
        <v>2.4233328751240681</v>
      </c>
      <c r="Q63" s="124">
        <f t="shared" si="27"/>
        <v>2.5820165916105475</v>
      </c>
      <c r="R63" s="124">
        <f t="shared" si="27"/>
        <v>2.6779160400697219</v>
      </c>
      <c r="S63" s="124">
        <f t="shared" si="27"/>
        <v>2.7774610367930319</v>
      </c>
      <c r="T63" s="124">
        <f t="shared" si="27"/>
        <v>2.8807916608632302</v>
      </c>
    </row>
    <row r="64" spans="3:20" ht="16" thickBot="1" x14ac:dyDescent="0.25"/>
    <row r="65" spans="9:11" x14ac:dyDescent="0.2">
      <c r="I65" s="22" t="s">
        <v>56</v>
      </c>
      <c r="J65" s="23">
        <f>XIRR(J60:T60,J7:T7)</f>
        <v>0.1274344503879547</v>
      </c>
      <c r="K65" s="114"/>
    </row>
    <row r="66" spans="9:11" x14ac:dyDescent="0.2">
      <c r="I66" s="24" t="s">
        <v>57</v>
      </c>
      <c r="J66" s="25">
        <f>SUMIF(J60:T60,"&gt;0")/-SUMIF(J60:T60,"&lt;0")</f>
        <v>3.0897274609147178</v>
      </c>
    </row>
    <row r="67" spans="9:11" ht="16" thickBot="1" x14ac:dyDescent="0.25">
      <c r="I67" s="26" t="s">
        <v>58</v>
      </c>
      <c r="J67" s="27">
        <f>SUM(J60:T60)</f>
        <v>7517954.2770039532</v>
      </c>
    </row>
    <row r="69" spans="9:11" x14ac:dyDescent="0.2">
      <c r="I69" s="136" t="s">
        <v>171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5E1A8-0E17-443F-8442-B9641472CB2C}">
  <sheetPr>
    <tabColor theme="9" tint="0.79998168889431442"/>
  </sheetPr>
  <dimension ref="B1:U67"/>
  <sheetViews>
    <sheetView zoomScale="119" workbookViewId="0">
      <selection activeCell="I32" sqref="I32"/>
    </sheetView>
  </sheetViews>
  <sheetFormatPr baseColWidth="10" defaultColWidth="12.6640625" defaultRowHeight="15" x14ac:dyDescent="0.2"/>
  <cols>
    <col min="1" max="1" width="3.83203125" style="2" customWidth="1"/>
    <col min="2" max="2" width="13.6640625" style="2" bestFit="1" customWidth="1"/>
    <col min="3" max="3" width="13.83203125" style="3" customWidth="1"/>
    <col min="4" max="6" width="12.6640625" style="3"/>
    <col min="7" max="7" width="16" style="2" customWidth="1"/>
    <col min="8" max="8" width="4.83203125" style="2" customWidth="1"/>
    <col min="9" max="9" width="29.33203125" style="2" customWidth="1"/>
    <col min="10" max="10" width="11.1640625" style="2" customWidth="1"/>
    <col min="11" max="15" width="12.6640625" style="3"/>
    <col min="16" max="16" width="14.5" style="3" bestFit="1" customWidth="1"/>
    <col min="17" max="21" width="12.6640625" style="3"/>
    <col min="22" max="22" width="3.83203125" style="2" customWidth="1"/>
    <col min="23" max="16384" width="12.6640625" style="2"/>
  </cols>
  <sheetData>
    <row r="1" spans="2:21" ht="29" customHeight="1" x14ac:dyDescent="0.2">
      <c r="B1" s="76" t="s">
        <v>83</v>
      </c>
      <c r="C1" s="76"/>
      <c r="D1" s="76"/>
      <c r="E1" s="76"/>
      <c r="F1" s="76"/>
      <c r="G1" s="76"/>
    </row>
    <row r="2" spans="2:21" s="4" customFormat="1" ht="3" customHeight="1" x14ac:dyDescent="0.2">
      <c r="C2" s="5"/>
      <c r="D2" s="5"/>
      <c r="E2" s="5"/>
      <c r="F2" s="5"/>
      <c r="K2" s="5"/>
      <c r="L2" s="5"/>
      <c r="M2" s="5"/>
      <c r="N2" s="5"/>
      <c r="O2" s="5"/>
      <c r="P2" s="5"/>
      <c r="Q2" s="5"/>
      <c r="R2" s="5"/>
      <c r="S2" s="5"/>
      <c r="T2" s="5"/>
      <c r="U2" s="5"/>
    </row>
    <row r="3" spans="2:21" ht="3" customHeight="1" x14ac:dyDescent="0.2">
      <c r="G3" s="6"/>
    </row>
    <row r="4" spans="2:21" s="4" customFormat="1" ht="3" customHeight="1" x14ac:dyDescent="0.2">
      <c r="C4" s="5"/>
      <c r="D4" s="5"/>
      <c r="E4" s="5"/>
      <c r="F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5" customHeight="1" x14ac:dyDescent="0.2"/>
    <row r="6" spans="2:21" x14ac:dyDescent="0.2">
      <c r="B6" s="120" t="s">
        <v>117</v>
      </c>
      <c r="C6" s="121"/>
      <c r="D6" s="121"/>
      <c r="E6" s="121"/>
      <c r="F6" s="121"/>
      <c r="G6" s="122"/>
      <c r="I6" s="37" t="s">
        <v>84</v>
      </c>
      <c r="J6" s="38">
        <v>0</v>
      </c>
      <c r="K6" s="38">
        <v>1</v>
      </c>
      <c r="L6" s="38">
        <f>+K6+1</f>
        <v>2</v>
      </c>
      <c r="M6" s="38">
        <f t="shared" ref="M6:U6" si="0">+L6+1</f>
        <v>3</v>
      </c>
      <c r="N6" s="38">
        <f t="shared" si="0"/>
        <v>4</v>
      </c>
      <c r="O6" s="38">
        <f t="shared" si="0"/>
        <v>5</v>
      </c>
      <c r="P6" s="38">
        <f t="shared" si="0"/>
        <v>6</v>
      </c>
      <c r="Q6" s="38">
        <f t="shared" si="0"/>
        <v>7</v>
      </c>
      <c r="R6" s="38">
        <f t="shared" si="0"/>
        <v>8</v>
      </c>
      <c r="S6" s="38">
        <f t="shared" si="0"/>
        <v>9</v>
      </c>
      <c r="T6" s="38">
        <f t="shared" si="0"/>
        <v>10</v>
      </c>
      <c r="U6" s="39">
        <f t="shared" si="0"/>
        <v>11</v>
      </c>
    </row>
    <row r="7" spans="2:21" ht="16" thickBot="1" x14ac:dyDescent="0.25">
      <c r="B7" s="40" t="s">
        <v>85</v>
      </c>
      <c r="C7" s="41" t="s">
        <v>86</v>
      </c>
      <c r="D7" s="41" t="s">
        <v>87</v>
      </c>
      <c r="E7" s="41" t="s">
        <v>88</v>
      </c>
      <c r="F7" s="41" t="s">
        <v>110</v>
      </c>
      <c r="G7" s="42" t="s">
        <v>116</v>
      </c>
      <c r="I7" s="43" t="s">
        <v>89</v>
      </c>
      <c r="J7" s="44">
        <f>'Assumptions &amp; Cash Flow'!J7</f>
        <v>46022</v>
      </c>
      <c r="K7" s="44">
        <f>'Assumptions &amp; Cash Flow'!K7</f>
        <v>46387</v>
      </c>
      <c r="L7" s="45">
        <f>EDATE(K7,12)</f>
        <v>46752</v>
      </c>
      <c r="M7" s="45">
        <f t="shared" ref="M7:U7" si="1">EDATE(L7,12)</f>
        <v>47118</v>
      </c>
      <c r="N7" s="45">
        <f t="shared" si="1"/>
        <v>47483</v>
      </c>
      <c r="O7" s="45">
        <f t="shared" si="1"/>
        <v>47848</v>
      </c>
      <c r="P7" s="45">
        <f t="shared" si="1"/>
        <v>48213</v>
      </c>
      <c r="Q7" s="45">
        <f t="shared" si="1"/>
        <v>48579</v>
      </c>
      <c r="R7" s="45">
        <f t="shared" si="1"/>
        <v>48944</v>
      </c>
      <c r="S7" s="45">
        <f t="shared" si="1"/>
        <v>49309</v>
      </c>
      <c r="T7" s="45">
        <f t="shared" si="1"/>
        <v>49674</v>
      </c>
      <c r="U7" s="46">
        <f t="shared" si="1"/>
        <v>50040</v>
      </c>
    </row>
    <row r="8" spans="2:21" x14ac:dyDescent="0.2">
      <c r="B8" s="47" t="s">
        <v>90</v>
      </c>
      <c r="C8" s="29">
        <v>1</v>
      </c>
      <c r="D8" s="29">
        <v>650</v>
      </c>
      <c r="E8" s="48">
        <v>1100</v>
      </c>
      <c r="F8" s="118">
        <f>+E8/D8</f>
        <v>1.6923076923076923</v>
      </c>
      <c r="G8" s="49">
        <f t="shared" ref="G8:G35" si="2">E8*12</f>
        <v>13200</v>
      </c>
      <c r="I8" s="50"/>
      <c r="J8" s="125"/>
      <c r="K8" s="51"/>
      <c r="L8" s="51"/>
      <c r="M8" s="51"/>
      <c r="N8" s="51"/>
      <c r="O8" s="51"/>
      <c r="P8" s="51"/>
      <c r="Q8" s="51"/>
      <c r="R8" s="51"/>
      <c r="S8" s="51"/>
      <c r="T8" s="51"/>
      <c r="U8" s="52"/>
    </row>
    <row r="9" spans="2:21" x14ac:dyDescent="0.2">
      <c r="B9" s="53" t="s">
        <v>91</v>
      </c>
      <c r="C9" s="29">
        <v>1</v>
      </c>
      <c r="D9" s="29">
        <v>675</v>
      </c>
      <c r="E9" s="48">
        <v>1125</v>
      </c>
      <c r="F9" s="118">
        <f>+E9/D9</f>
        <v>1.6666666666666667</v>
      </c>
      <c r="G9" s="49">
        <f t="shared" si="2"/>
        <v>13500</v>
      </c>
      <c r="I9" s="34" t="s">
        <v>126</v>
      </c>
      <c r="K9" s="54">
        <v>0.06</v>
      </c>
      <c r="L9" s="54">
        <v>6.5000000000000002E-2</v>
      </c>
      <c r="M9" s="54">
        <v>7.0000000000000007E-2</v>
      </c>
      <c r="N9" s="54">
        <v>6.5000000000000002E-2</v>
      </c>
      <c r="O9" s="54">
        <v>0.06</v>
      </c>
      <c r="P9" s="54">
        <v>3.5000000000000003E-2</v>
      </c>
      <c r="Q9" s="54">
        <v>3.5000000000000003E-2</v>
      </c>
      <c r="R9" s="54">
        <v>3.5000000000000003E-2</v>
      </c>
      <c r="S9" s="54">
        <v>3.5000000000000003E-2</v>
      </c>
      <c r="T9" s="54">
        <v>3.5000000000000003E-2</v>
      </c>
      <c r="U9" s="55">
        <v>3.5000000000000003E-2</v>
      </c>
    </row>
    <row r="10" spans="2:21" x14ac:dyDescent="0.2">
      <c r="B10" s="53" t="s">
        <v>92</v>
      </c>
      <c r="C10" s="29">
        <v>1</v>
      </c>
      <c r="D10" s="29">
        <v>700</v>
      </c>
      <c r="E10" s="48">
        <v>1150</v>
      </c>
      <c r="F10" s="118">
        <f t="shared" ref="F10:F35" si="3">+E10/D10</f>
        <v>1.6428571428571428</v>
      </c>
      <c r="G10" s="49">
        <f t="shared" si="2"/>
        <v>13800</v>
      </c>
      <c r="I10" s="34" t="s">
        <v>165</v>
      </c>
      <c r="K10" s="54">
        <v>6.5000000000000002E-2</v>
      </c>
      <c r="L10" s="54">
        <v>7.0000000000000007E-2</v>
      </c>
      <c r="M10" s="54">
        <v>7.4999999999999997E-2</v>
      </c>
      <c r="N10" s="54">
        <v>7.0000000000000007E-2</v>
      </c>
      <c r="O10" s="54">
        <v>6.5000000000000002E-2</v>
      </c>
      <c r="P10" s="54">
        <v>0.04</v>
      </c>
      <c r="Q10" s="54">
        <v>0.04</v>
      </c>
      <c r="R10" s="54">
        <v>0.04</v>
      </c>
      <c r="S10" s="54">
        <v>0.04</v>
      </c>
      <c r="T10" s="54">
        <v>0.04</v>
      </c>
      <c r="U10" s="55">
        <v>0.04</v>
      </c>
    </row>
    <row r="11" spans="2:21" x14ac:dyDescent="0.2">
      <c r="B11" s="53" t="s">
        <v>93</v>
      </c>
      <c r="C11" s="29">
        <v>1</v>
      </c>
      <c r="D11" s="29">
        <v>725</v>
      </c>
      <c r="E11" s="48">
        <v>1175</v>
      </c>
      <c r="F11" s="118">
        <f t="shared" si="3"/>
        <v>1.6206896551724137</v>
      </c>
      <c r="G11" s="49">
        <f t="shared" si="2"/>
        <v>14100</v>
      </c>
      <c r="I11" s="3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5"/>
    </row>
    <row r="12" spans="2:21" x14ac:dyDescent="0.2">
      <c r="B12" s="53" t="s">
        <v>94</v>
      </c>
      <c r="C12" s="29">
        <v>1</v>
      </c>
      <c r="D12" s="29">
        <v>725</v>
      </c>
      <c r="E12" s="48">
        <v>1200</v>
      </c>
      <c r="F12" s="118">
        <f t="shared" si="3"/>
        <v>1.6551724137931034</v>
      </c>
      <c r="G12" s="49">
        <f t="shared" si="2"/>
        <v>14400</v>
      </c>
      <c r="I12" s="3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5"/>
    </row>
    <row r="13" spans="2:21" x14ac:dyDescent="0.2">
      <c r="B13" s="53" t="s">
        <v>95</v>
      </c>
      <c r="C13" s="29">
        <v>1</v>
      </c>
      <c r="D13" s="29">
        <v>750</v>
      </c>
      <c r="E13" s="48">
        <v>1225</v>
      </c>
      <c r="F13" s="118">
        <f t="shared" si="3"/>
        <v>1.6333333333333333</v>
      </c>
      <c r="G13" s="49">
        <f t="shared" si="2"/>
        <v>14700</v>
      </c>
      <c r="I13" s="34"/>
      <c r="U13" s="56"/>
    </row>
    <row r="14" spans="2:21" x14ac:dyDescent="0.2">
      <c r="B14" s="53" t="s">
        <v>96</v>
      </c>
      <c r="C14" s="29">
        <v>1</v>
      </c>
      <c r="D14" s="29">
        <v>750</v>
      </c>
      <c r="E14" s="48">
        <v>1250</v>
      </c>
      <c r="F14" s="118">
        <f t="shared" si="3"/>
        <v>1.6666666666666667</v>
      </c>
      <c r="G14" s="49">
        <f t="shared" si="2"/>
        <v>15000</v>
      </c>
      <c r="I14" s="34" t="s">
        <v>127</v>
      </c>
      <c r="J14" s="2">
        <f>SUMIF($C$8:$C$35,1,$G$8:$G$35)</f>
        <v>283500</v>
      </c>
      <c r="K14" s="3">
        <f>J14*(1+K9)</f>
        <v>300510</v>
      </c>
      <c r="L14" s="3">
        <f t="shared" ref="L14:U14" si="4">+K14*(1+L9)</f>
        <v>320043.14999999997</v>
      </c>
      <c r="M14" s="3">
        <f t="shared" si="4"/>
        <v>342446.17050000001</v>
      </c>
      <c r="N14" s="3">
        <f t="shared" si="4"/>
        <v>364705.17158249998</v>
      </c>
      <c r="O14" s="3">
        <f t="shared" si="4"/>
        <v>386587.48187745002</v>
      </c>
      <c r="P14" s="3">
        <f t="shared" si="4"/>
        <v>400118.04374316073</v>
      </c>
      <c r="Q14" s="3">
        <f t="shared" si="4"/>
        <v>414122.17527417134</v>
      </c>
      <c r="R14" s="3">
        <f t="shared" si="4"/>
        <v>428616.45140876732</v>
      </c>
      <c r="S14" s="3">
        <f t="shared" si="4"/>
        <v>443618.02720807411</v>
      </c>
      <c r="T14" s="3">
        <f t="shared" si="4"/>
        <v>459144.65816035669</v>
      </c>
      <c r="U14" s="56">
        <f t="shared" si="4"/>
        <v>475214.72119596915</v>
      </c>
    </row>
    <row r="15" spans="2:21" x14ac:dyDescent="0.2">
      <c r="B15" s="53" t="s">
        <v>97</v>
      </c>
      <c r="C15" s="29">
        <v>1</v>
      </c>
      <c r="D15" s="29">
        <v>750</v>
      </c>
      <c r="E15" s="48">
        <v>1275</v>
      </c>
      <c r="F15" s="118">
        <f t="shared" si="3"/>
        <v>1.7</v>
      </c>
      <c r="G15" s="49">
        <f t="shared" si="2"/>
        <v>15300</v>
      </c>
      <c r="I15" s="34" t="s">
        <v>128</v>
      </c>
      <c r="J15" s="2">
        <f>SUMIF($C$8:$C$35,2,$G$8:$G$35)</f>
        <v>205500</v>
      </c>
      <c r="K15" s="3">
        <f>J15*(1+K10)</f>
        <v>218857.5</v>
      </c>
      <c r="L15" s="3">
        <f t="shared" ref="L15:T15" si="5">K15*(1+L10)</f>
        <v>234177.52500000002</v>
      </c>
      <c r="M15" s="3">
        <f t="shared" si="5"/>
        <v>251740.83937500001</v>
      </c>
      <c r="N15" s="3">
        <f t="shared" si="5"/>
        <v>269362.69813125004</v>
      </c>
      <c r="O15" s="3">
        <f t="shared" si="5"/>
        <v>286871.27350978128</v>
      </c>
      <c r="P15" s="3">
        <f t="shared" si="5"/>
        <v>298346.12445017253</v>
      </c>
      <c r="Q15" s="3">
        <f t="shared" si="5"/>
        <v>310279.96942817944</v>
      </c>
      <c r="R15" s="3">
        <f t="shared" si="5"/>
        <v>322691.16820530663</v>
      </c>
      <c r="S15" s="3">
        <f t="shared" si="5"/>
        <v>335598.81493351894</v>
      </c>
      <c r="T15" s="3">
        <f t="shared" si="5"/>
        <v>349022.76753085968</v>
      </c>
      <c r="U15" s="56">
        <f>T15*(1+U10)</f>
        <v>362983.6782320941</v>
      </c>
    </row>
    <row r="16" spans="2:21" x14ac:dyDescent="0.2">
      <c r="B16" s="53" t="s">
        <v>98</v>
      </c>
      <c r="C16" s="29">
        <v>1</v>
      </c>
      <c r="D16" s="29">
        <v>775</v>
      </c>
      <c r="E16" s="48">
        <v>1300</v>
      </c>
      <c r="F16" s="118">
        <f t="shared" si="3"/>
        <v>1.6774193548387097</v>
      </c>
      <c r="G16" s="49">
        <f t="shared" si="2"/>
        <v>15600</v>
      </c>
      <c r="I16" s="36"/>
      <c r="U16" s="56"/>
    </row>
    <row r="17" spans="2:21" x14ac:dyDescent="0.2">
      <c r="B17" s="53" t="s">
        <v>99</v>
      </c>
      <c r="C17" s="29">
        <v>1</v>
      </c>
      <c r="D17" s="29">
        <v>775</v>
      </c>
      <c r="E17" s="48">
        <v>1325</v>
      </c>
      <c r="F17" s="118">
        <f t="shared" si="3"/>
        <v>1.7096774193548387</v>
      </c>
      <c r="G17" s="49">
        <f t="shared" si="2"/>
        <v>15900</v>
      </c>
      <c r="I17" s="57" t="s">
        <v>133</v>
      </c>
      <c r="J17" s="126">
        <f>SUM(J14:J15)</f>
        <v>489000</v>
      </c>
      <c r="K17" s="126">
        <f t="shared" ref="K17:U17" si="6">SUM(K14:K15)</f>
        <v>519367.5</v>
      </c>
      <c r="L17" s="126">
        <f t="shared" si="6"/>
        <v>554220.67500000005</v>
      </c>
      <c r="M17" s="126">
        <f t="shared" si="6"/>
        <v>594187.00987499999</v>
      </c>
      <c r="N17" s="126">
        <f t="shared" si="6"/>
        <v>634067.86971374997</v>
      </c>
      <c r="O17" s="126">
        <f t="shared" si="6"/>
        <v>673458.75538723124</v>
      </c>
      <c r="P17" s="126">
        <f t="shared" si="6"/>
        <v>698464.16819333332</v>
      </c>
      <c r="Q17" s="126">
        <f t="shared" si="6"/>
        <v>724402.14470235072</v>
      </c>
      <c r="R17" s="126">
        <f t="shared" si="6"/>
        <v>751307.61961407401</v>
      </c>
      <c r="S17" s="126">
        <f t="shared" si="6"/>
        <v>779216.84214159311</v>
      </c>
      <c r="T17" s="126">
        <f t="shared" si="6"/>
        <v>808167.42569121637</v>
      </c>
      <c r="U17" s="126">
        <f t="shared" si="6"/>
        <v>838198.39942806331</v>
      </c>
    </row>
    <row r="18" spans="2:21" x14ac:dyDescent="0.2">
      <c r="B18" s="53" t="s">
        <v>147</v>
      </c>
      <c r="C18" s="29">
        <v>1</v>
      </c>
      <c r="D18" s="29">
        <v>800</v>
      </c>
      <c r="E18" s="48">
        <v>1350</v>
      </c>
      <c r="F18" s="118">
        <f t="shared" si="3"/>
        <v>1.6875</v>
      </c>
      <c r="G18" s="49">
        <f t="shared" si="2"/>
        <v>16200</v>
      </c>
    </row>
    <row r="19" spans="2:21" x14ac:dyDescent="0.2">
      <c r="B19" s="53" t="s">
        <v>148</v>
      </c>
      <c r="C19" s="29">
        <v>1</v>
      </c>
      <c r="D19" s="29">
        <v>800</v>
      </c>
      <c r="E19" s="48">
        <v>1375</v>
      </c>
      <c r="F19" s="118">
        <f t="shared" si="3"/>
        <v>1.71875</v>
      </c>
      <c r="G19" s="49">
        <f t="shared" si="2"/>
        <v>16500</v>
      </c>
      <c r="I19" s="60" t="s">
        <v>8</v>
      </c>
      <c r="J19" s="127"/>
      <c r="K19" s="61">
        <v>0.15</v>
      </c>
      <c r="L19" s="61">
        <v>0.2</v>
      </c>
      <c r="M19" s="61">
        <v>0.15</v>
      </c>
      <c r="N19" s="61">
        <v>0.1</v>
      </c>
      <c r="O19" s="61">
        <v>0.1</v>
      </c>
      <c r="P19" s="61">
        <v>0.05</v>
      </c>
      <c r="Q19" s="61">
        <v>0.03</v>
      </c>
      <c r="R19" s="61">
        <v>0.03</v>
      </c>
      <c r="S19" s="61">
        <v>0.03</v>
      </c>
      <c r="T19" s="61">
        <v>0.03</v>
      </c>
      <c r="U19" s="62">
        <v>0.03</v>
      </c>
    </row>
    <row r="20" spans="2:21" x14ac:dyDescent="0.2">
      <c r="B20" s="53" t="s">
        <v>149</v>
      </c>
      <c r="C20" s="29">
        <v>1</v>
      </c>
      <c r="D20" s="29">
        <v>820</v>
      </c>
      <c r="E20" s="48">
        <v>1400</v>
      </c>
      <c r="F20" s="118">
        <f t="shared" si="3"/>
        <v>1.7073170731707317</v>
      </c>
      <c r="G20" s="49">
        <f t="shared" si="2"/>
        <v>16800</v>
      </c>
    </row>
    <row r="21" spans="2:21" x14ac:dyDescent="0.2">
      <c r="B21" s="53" t="s">
        <v>150</v>
      </c>
      <c r="C21" s="29">
        <v>1</v>
      </c>
      <c r="D21" s="29">
        <v>820</v>
      </c>
      <c r="E21" s="48">
        <v>1425</v>
      </c>
      <c r="F21" s="118">
        <f t="shared" si="3"/>
        <v>1.7378048780487805</v>
      </c>
      <c r="G21" s="49">
        <f t="shared" si="2"/>
        <v>17100</v>
      </c>
      <c r="I21" s="57" t="s">
        <v>111</v>
      </c>
      <c r="J21" s="126"/>
      <c r="K21" s="58">
        <f>-K17*K19</f>
        <v>-77905.125</v>
      </c>
      <c r="L21" s="58">
        <f t="shared" ref="L21:U21" si="7">-L17*L19</f>
        <v>-110844.13500000001</v>
      </c>
      <c r="M21" s="58">
        <f t="shared" si="7"/>
        <v>-89128.05148124999</v>
      </c>
      <c r="N21" s="58">
        <f t="shared" si="7"/>
        <v>-63406.786971374997</v>
      </c>
      <c r="O21" s="58">
        <f t="shared" si="7"/>
        <v>-67345.875538723121</v>
      </c>
      <c r="P21" s="58">
        <f t="shared" si="7"/>
        <v>-34923.208409666666</v>
      </c>
      <c r="Q21" s="58">
        <f t="shared" si="7"/>
        <v>-21732.06434107052</v>
      </c>
      <c r="R21" s="58">
        <f t="shared" si="7"/>
        <v>-22539.228588422218</v>
      </c>
      <c r="S21" s="58">
        <f t="shared" si="7"/>
        <v>-23376.505264247793</v>
      </c>
      <c r="T21" s="58">
        <f t="shared" si="7"/>
        <v>-24245.02277073649</v>
      </c>
      <c r="U21" s="59">
        <f t="shared" si="7"/>
        <v>-25145.9519828419</v>
      </c>
    </row>
    <row r="22" spans="2:21" ht="16" thickBot="1" x14ac:dyDescent="0.25">
      <c r="B22" s="53" t="s">
        <v>151</v>
      </c>
      <c r="C22" s="29">
        <v>1</v>
      </c>
      <c r="D22" s="29">
        <v>850</v>
      </c>
      <c r="E22" s="48">
        <v>1450</v>
      </c>
      <c r="F22" s="118">
        <f t="shared" si="3"/>
        <v>1.7058823529411764</v>
      </c>
      <c r="G22" s="49">
        <f t="shared" si="2"/>
        <v>17400</v>
      </c>
    </row>
    <row r="23" spans="2:21" ht="16" thickBot="1" x14ac:dyDescent="0.25">
      <c r="B23" s="53" t="s">
        <v>152</v>
      </c>
      <c r="C23" s="29">
        <v>1</v>
      </c>
      <c r="D23" s="29">
        <v>850</v>
      </c>
      <c r="E23" s="48">
        <v>1475</v>
      </c>
      <c r="F23" s="118">
        <f t="shared" si="3"/>
        <v>1.7352941176470589</v>
      </c>
      <c r="G23" s="49">
        <f t="shared" si="2"/>
        <v>17700</v>
      </c>
      <c r="I23" s="22" t="s">
        <v>166</v>
      </c>
      <c r="J23" s="141">
        <f>(O17/J17)^(1/5)-1</f>
        <v>6.6106101395544181E-2</v>
      </c>
      <c r="K23" s="138" t="s">
        <v>167</v>
      </c>
    </row>
    <row r="24" spans="2:21" ht="16" thickBot="1" x14ac:dyDescent="0.25">
      <c r="B24" s="53" t="s">
        <v>153</v>
      </c>
      <c r="C24" s="29">
        <v>1</v>
      </c>
      <c r="D24" s="29">
        <v>875</v>
      </c>
      <c r="E24" s="48">
        <v>1500</v>
      </c>
      <c r="F24" s="118">
        <f t="shared" si="3"/>
        <v>1.7142857142857142</v>
      </c>
      <c r="G24" s="49">
        <f t="shared" si="2"/>
        <v>18000</v>
      </c>
      <c r="I24" s="26" t="s">
        <v>168</v>
      </c>
      <c r="J24" s="142">
        <f>(T17/J17)^(1/10)-1</f>
        <v>5.1524142295380493E-2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 spans="2:21" x14ac:dyDescent="0.2">
      <c r="B25" s="53" t="s">
        <v>154</v>
      </c>
      <c r="C25" s="29">
        <v>1</v>
      </c>
      <c r="D25" s="29">
        <v>875</v>
      </c>
      <c r="E25" s="48">
        <v>1525</v>
      </c>
      <c r="F25" s="118">
        <f t="shared" si="3"/>
        <v>1.7428571428571429</v>
      </c>
      <c r="G25" s="49">
        <f t="shared" si="2"/>
        <v>18300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 spans="2:21" x14ac:dyDescent="0.2">
      <c r="B26" s="53" t="s">
        <v>155</v>
      </c>
      <c r="C26" s="29">
        <v>2</v>
      </c>
      <c r="D26" s="29">
        <v>900</v>
      </c>
      <c r="E26" s="48">
        <v>1600</v>
      </c>
      <c r="F26" s="118">
        <f t="shared" si="3"/>
        <v>1.7777777777777777</v>
      </c>
      <c r="G26" s="49">
        <f t="shared" si="2"/>
        <v>19200</v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 spans="2:21" x14ac:dyDescent="0.2">
      <c r="B27" s="53" t="s">
        <v>156</v>
      </c>
      <c r="C27" s="29">
        <v>2</v>
      </c>
      <c r="D27" s="29">
        <v>900</v>
      </c>
      <c r="E27" s="48">
        <v>1625</v>
      </c>
      <c r="F27" s="118">
        <f t="shared" si="3"/>
        <v>1.8055555555555556</v>
      </c>
      <c r="G27" s="49">
        <f t="shared" si="2"/>
        <v>19500</v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</row>
    <row r="28" spans="2:21" x14ac:dyDescent="0.2">
      <c r="B28" s="53" t="s">
        <v>157</v>
      </c>
      <c r="C28" s="29">
        <v>2</v>
      </c>
      <c r="D28" s="29">
        <v>925</v>
      </c>
      <c r="E28" s="48">
        <v>1650</v>
      </c>
      <c r="F28" s="118">
        <f t="shared" si="3"/>
        <v>1.7837837837837838</v>
      </c>
      <c r="G28" s="49">
        <f t="shared" si="2"/>
        <v>19800</v>
      </c>
    </row>
    <row r="29" spans="2:21" x14ac:dyDescent="0.2">
      <c r="B29" s="53" t="s">
        <v>158</v>
      </c>
      <c r="C29" s="29">
        <v>2</v>
      </c>
      <c r="D29" s="29">
        <v>950</v>
      </c>
      <c r="E29" s="48">
        <v>1675</v>
      </c>
      <c r="F29" s="118">
        <f t="shared" si="3"/>
        <v>1.763157894736842</v>
      </c>
      <c r="G29" s="49">
        <f t="shared" si="2"/>
        <v>20100</v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 spans="2:21" x14ac:dyDescent="0.2">
      <c r="B30" s="53" t="s">
        <v>159</v>
      </c>
      <c r="C30" s="29">
        <v>2</v>
      </c>
      <c r="D30" s="29">
        <v>975</v>
      </c>
      <c r="E30" s="48">
        <v>1700</v>
      </c>
      <c r="F30" s="118">
        <f t="shared" si="3"/>
        <v>1.7435897435897436</v>
      </c>
      <c r="G30" s="49">
        <f t="shared" si="2"/>
        <v>20400</v>
      </c>
    </row>
    <row r="31" spans="2:21" x14ac:dyDescent="0.2">
      <c r="B31" s="53" t="s">
        <v>160</v>
      </c>
      <c r="C31" s="29">
        <v>2</v>
      </c>
      <c r="D31" s="29">
        <v>1000</v>
      </c>
      <c r="E31" s="48">
        <v>1725</v>
      </c>
      <c r="F31" s="118">
        <f t="shared" si="3"/>
        <v>1.7250000000000001</v>
      </c>
      <c r="G31" s="49">
        <f t="shared" si="2"/>
        <v>20700</v>
      </c>
    </row>
    <row r="32" spans="2:21" x14ac:dyDescent="0.2">
      <c r="B32" s="53" t="s">
        <v>161</v>
      </c>
      <c r="C32" s="29">
        <v>2</v>
      </c>
      <c r="D32" s="29">
        <v>1025</v>
      </c>
      <c r="E32" s="48">
        <v>1750</v>
      </c>
      <c r="F32" s="118">
        <f t="shared" si="3"/>
        <v>1.7073170731707317</v>
      </c>
      <c r="G32" s="49">
        <f t="shared" si="2"/>
        <v>21000</v>
      </c>
    </row>
    <row r="33" spans="2:7" x14ac:dyDescent="0.2">
      <c r="B33" s="53" t="s">
        <v>162</v>
      </c>
      <c r="C33" s="29">
        <v>2</v>
      </c>
      <c r="D33" s="29">
        <v>1050</v>
      </c>
      <c r="E33" s="48">
        <v>1775</v>
      </c>
      <c r="F33" s="118">
        <f t="shared" si="3"/>
        <v>1.6904761904761905</v>
      </c>
      <c r="G33" s="49">
        <f t="shared" si="2"/>
        <v>21300</v>
      </c>
    </row>
    <row r="34" spans="2:7" x14ac:dyDescent="0.2">
      <c r="B34" s="53" t="s">
        <v>163</v>
      </c>
      <c r="C34" s="29">
        <v>2</v>
      </c>
      <c r="D34" s="29">
        <v>1075</v>
      </c>
      <c r="E34" s="48">
        <v>1800</v>
      </c>
      <c r="F34" s="118">
        <f t="shared" si="3"/>
        <v>1.6744186046511629</v>
      </c>
      <c r="G34" s="49">
        <f t="shared" si="2"/>
        <v>21600</v>
      </c>
    </row>
    <row r="35" spans="2:7" x14ac:dyDescent="0.2">
      <c r="B35" s="53" t="s">
        <v>164</v>
      </c>
      <c r="C35" s="29">
        <v>2</v>
      </c>
      <c r="D35" s="29">
        <v>1100</v>
      </c>
      <c r="E35" s="48">
        <v>1825</v>
      </c>
      <c r="F35" s="118">
        <f t="shared" si="3"/>
        <v>1.6590909090909092</v>
      </c>
      <c r="G35" s="49">
        <f t="shared" si="2"/>
        <v>21900</v>
      </c>
    </row>
    <row r="36" spans="2:7" x14ac:dyDescent="0.2">
      <c r="B36" s="63" t="s">
        <v>72</v>
      </c>
      <c r="C36" s="58">
        <f>COUNTA(C8:C35)</f>
        <v>28</v>
      </c>
      <c r="D36" s="58">
        <f>SUM(D8:D35)</f>
        <v>23865</v>
      </c>
      <c r="E36" s="58">
        <f>SUM(E8:E35)</f>
        <v>40750</v>
      </c>
      <c r="F36" s="119">
        <f>+SUMPRODUCT(F8:F35,D8:D35)/D36</f>
        <v>1.7075214749633354</v>
      </c>
      <c r="G36" s="59">
        <f>SUM(G8:G35)</f>
        <v>489000</v>
      </c>
    </row>
    <row r="48" spans="2:7" x14ac:dyDescent="0.2">
      <c r="B48" s="7"/>
    </row>
    <row r="49" spans="2:6" x14ac:dyDescent="0.2">
      <c r="B49" s="7"/>
    </row>
    <row r="50" spans="2:6" x14ac:dyDescent="0.2">
      <c r="B50" s="7"/>
    </row>
    <row r="51" spans="2:6" x14ac:dyDescent="0.2">
      <c r="E51" s="28"/>
      <c r="F51" s="28"/>
    </row>
    <row r="55" spans="2:6" x14ac:dyDescent="0.2">
      <c r="B55" s="7"/>
    </row>
    <row r="67" spans="2:2" x14ac:dyDescent="0.2">
      <c r="B67" s="7"/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77153-B0D2-4DF5-AC2D-9FC11D489EEB}">
  <sheetPr>
    <tabColor theme="9" tint="0.79998168889431442"/>
  </sheetPr>
  <dimension ref="B1:L59"/>
  <sheetViews>
    <sheetView showGridLines="0" zoomScaleNormal="130" workbookViewId="0">
      <selection activeCell="D12" sqref="D12"/>
    </sheetView>
  </sheetViews>
  <sheetFormatPr baseColWidth="10" defaultColWidth="12.6640625" defaultRowHeight="15" x14ac:dyDescent="0.2"/>
  <cols>
    <col min="1" max="1" width="3.83203125" style="2" customWidth="1"/>
    <col min="2" max="9" width="12.6640625" style="2"/>
    <col min="10" max="11" width="12.6640625" style="3"/>
    <col min="12" max="12" width="12.6640625" style="31"/>
    <col min="13" max="13" width="4.33203125" style="2" customWidth="1"/>
    <col min="14" max="14" width="12.6640625" style="2"/>
    <col min="15" max="15" width="14.5" style="2" bestFit="1" customWidth="1"/>
    <col min="16" max="16384" width="12.6640625" style="2"/>
  </cols>
  <sheetData>
    <row r="1" spans="2:12" ht="24" x14ac:dyDescent="0.2">
      <c r="B1" s="76" t="s">
        <v>69</v>
      </c>
      <c r="C1" s="76"/>
      <c r="D1" s="76"/>
      <c r="E1" s="76"/>
      <c r="F1" s="76"/>
      <c r="G1" s="76"/>
      <c r="H1" s="76"/>
      <c r="I1" s="76"/>
      <c r="J1" s="76"/>
      <c r="K1" s="76"/>
      <c r="L1" s="76"/>
    </row>
    <row r="2" spans="2:12" s="4" customFormat="1" ht="3" customHeight="1" x14ac:dyDescent="0.2">
      <c r="J2" s="5"/>
      <c r="K2" s="5"/>
      <c r="L2" s="30"/>
    </row>
    <row r="3" spans="2:12" ht="3" customHeight="1" x14ac:dyDescent="0.2"/>
    <row r="4" spans="2:12" s="4" customFormat="1" ht="3" customHeight="1" x14ac:dyDescent="0.2">
      <c r="J4" s="5"/>
      <c r="K4" s="5"/>
      <c r="L4" s="30"/>
    </row>
    <row r="6" spans="2:12" x14ac:dyDescent="0.2">
      <c r="B6" s="2" t="s">
        <v>70</v>
      </c>
      <c r="C6" s="17">
        <f>'Assumptions &amp; Cash Flow'!G10</f>
        <v>23865</v>
      </c>
      <c r="D6" s="17"/>
      <c r="E6" s="17"/>
      <c r="F6" s="17"/>
      <c r="G6" s="17"/>
      <c r="H6" s="17"/>
      <c r="I6" s="17"/>
    </row>
    <row r="8" spans="2:12" ht="16" thickBot="1" x14ac:dyDescent="0.25">
      <c r="B8" s="77" t="s">
        <v>69</v>
      </c>
      <c r="C8" s="78"/>
      <c r="D8" s="78"/>
      <c r="E8" s="78"/>
      <c r="F8" s="78"/>
      <c r="G8" s="78"/>
      <c r="H8" s="78"/>
      <c r="I8" s="78"/>
      <c r="J8" s="78"/>
      <c r="K8" s="78"/>
      <c r="L8" s="79"/>
    </row>
    <row r="9" spans="2:12" x14ac:dyDescent="0.2">
      <c r="B9" s="80"/>
      <c r="C9" s="103"/>
      <c r="D9" s="104" t="s">
        <v>105</v>
      </c>
      <c r="E9" s="104"/>
      <c r="F9" s="104"/>
      <c r="G9" s="88" t="s">
        <v>107</v>
      </c>
      <c r="H9" s="89"/>
      <c r="I9" s="95"/>
      <c r="J9" s="104" t="s">
        <v>108</v>
      </c>
      <c r="K9" s="104"/>
      <c r="L9" s="83"/>
    </row>
    <row r="10" spans="2:12" x14ac:dyDescent="0.2">
      <c r="B10" s="32" t="s">
        <v>71</v>
      </c>
      <c r="C10" s="105"/>
      <c r="D10" s="106" t="s">
        <v>72</v>
      </c>
      <c r="E10" s="106" t="s">
        <v>73</v>
      </c>
      <c r="F10" s="100" t="s">
        <v>106</v>
      </c>
      <c r="G10" s="90" t="s">
        <v>72</v>
      </c>
      <c r="H10" s="106" t="s">
        <v>73</v>
      </c>
      <c r="I10" s="33" t="s">
        <v>106</v>
      </c>
      <c r="J10" s="106" t="s">
        <v>72</v>
      </c>
      <c r="K10" s="106" t="s">
        <v>73</v>
      </c>
      <c r="L10" s="33" t="s">
        <v>106</v>
      </c>
    </row>
    <row r="11" spans="2:12" x14ac:dyDescent="0.2">
      <c r="B11" s="34" t="s">
        <v>74</v>
      </c>
      <c r="D11" s="9">
        <f>'Assumptions &amp; Cash Flow'!G48</f>
        <v>3060427.7425000002</v>
      </c>
      <c r="E11" s="101">
        <f t="shared" ref="E11:E12" si="0">D11/$C$6</f>
        <v>128.23916792373771</v>
      </c>
      <c r="F11" s="107">
        <f>D11/D$13</f>
        <v>0.46120261862645312</v>
      </c>
      <c r="G11" s="91">
        <v>0</v>
      </c>
      <c r="H11" s="101">
        <f t="shared" ref="H11:H12" si="1">G11/$C$6</f>
        <v>0</v>
      </c>
      <c r="I11" s="96">
        <f>G11/G$13</f>
        <v>0</v>
      </c>
      <c r="J11" s="15">
        <f>D11+G11</f>
        <v>3060427.7425000002</v>
      </c>
      <c r="K11" s="101">
        <f>J11/$C$6</f>
        <v>128.23916792373771</v>
      </c>
      <c r="L11" s="113">
        <f>J11/$J$13</f>
        <v>0.43221769325658183</v>
      </c>
    </row>
    <row r="12" spans="2:12" x14ac:dyDescent="0.2">
      <c r="B12" s="34" t="s">
        <v>75</v>
      </c>
      <c r="D12" s="3">
        <f>D20-D11</f>
        <v>3575327.6042812499</v>
      </c>
      <c r="E12" s="101">
        <f t="shared" si="0"/>
        <v>149.81469114943431</v>
      </c>
      <c r="F12" s="107">
        <f>D12/D$13</f>
        <v>0.53879738137354682</v>
      </c>
      <c r="G12" s="53">
        <f>G20-G11</f>
        <v>445000</v>
      </c>
      <c r="H12" s="101">
        <f t="shared" si="1"/>
        <v>18.64655353027446</v>
      </c>
      <c r="I12" s="96">
        <f>G12/G$13</f>
        <v>1</v>
      </c>
      <c r="J12" s="3">
        <f>D12+G12</f>
        <v>4020327.6042812499</v>
      </c>
      <c r="K12" s="101">
        <f>J12/$C$6</f>
        <v>168.46124467970878</v>
      </c>
      <c r="L12" s="113">
        <f>J12/$J$13</f>
        <v>0.56778230674341812</v>
      </c>
    </row>
    <row r="13" spans="2:12" x14ac:dyDescent="0.2">
      <c r="B13" s="35" t="s">
        <v>76</v>
      </c>
      <c r="C13" s="108"/>
      <c r="D13" s="109">
        <f>SUM(D11:D12)</f>
        <v>6635755.3467812501</v>
      </c>
      <c r="E13" s="102">
        <f>SUM(E11:E12)</f>
        <v>278.05385907317202</v>
      </c>
      <c r="F13" s="115">
        <f>D13/D$13</f>
        <v>1</v>
      </c>
      <c r="G13" s="92">
        <f>SUM(G11:G12)</f>
        <v>445000</v>
      </c>
      <c r="H13" s="102">
        <f>SUM(H11:H12)</f>
        <v>18.64655353027446</v>
      </c>
      <c r="I13" s="97">
        <f>G13/G$13</f>
        <v>1</v>
      </c>
      <c r="J13" s="109">
        <f>SUM(J11:J12)</f>
        <v>7080755.3467812501</v>
      </c>
      <c r="K13" s="102">
        <f>SUM(K11:K12)</f>
        <v>296.70041260344647</v>
      </c>
      <c r="L13" s="110">
        <f>SUM(L11:L12)</f>
        <v>1</v>
      </c>
    </row>
    <row r="14" spans="2:12" x14ac:dyDescent="0.2">
      <c r="B14" s="32" t="s">
        <v>77</v>
      </c>
      <c r="C14" s="105"/>
      <c r="D14" s="111" t="s">
        <v>72</v>
      </c>
      <c r="E14" s="100" t="s">
        <v>73</v>
      </c>
      <c r="F14" s="105" t="s">
        <v>106</v>
      </c>
      <c r="G14" s="93" t="s">
        <v>72</v>
      </c>
      <c r="H14" s="100" t="s">
        <v>73</v>
      </c>
      <c r="I14" s="98" t="s">
        <v>106</v>
      </c>
      <c r="J14" s="111" t="s">
        <v>72</v>
      </c>
      <c r="K14" s="100" t="s">
        <v>73</v>
      </c>
      <c r="L14" s="112" t="s">
        <v>72</v>
      </c>
    </row>
    <row r="15" spans="2:12" x14ac:dyDescent="0.2">
      <c r="B15" s="34" t="s">
        <v>16</v>
      </c>
      <c r="D15" s="9">
        <f>'Assumptions &amp; Cash Flow'!G14</f>
        <v>6500000</v>
      </c>
      <c r="E15" s="101">
        <f>D15/$C$6</f>
        <v>272.36538864445839</v>
      </c>
      <c r="F15" s="107">
        <f>D15/D$20</f>
        <v>0.97954183967208797</v>
      </c>
      <c r="G15" s="91">
        <v>0</v>
      </c>
      <c r="H15" s="101">
        <f>G15/$C$6</f>
        <v>0</v>
      </c>
      <c r="I15" s="96">
        <f>G15/G$20</f>
        <v>0</v>
      </c>
      <c r="J15" s="15">
        <f>D15+G15</f>
        <v>6500000</v>
      </c>
      <c r="K15" s="101">
        <f>J15/$C$6</f>
        <v>272.36538864445839</v>
      </c>
      <c r="L15" s="113">
        <f>J15/$J$20</f>
        <v>0.91798115902348632</v>
      </c>
    </row>
    <row r="16" spans="2:12" x14ac:dyDescent="0.2">
      <c r="B16" s="34" t="s">
        <v>78</v>
      </c>
      <c r="D16" s="9">
        <f>'Assumptions &amp; Cash Flow'!G16</f>
        <v>97500</v>
      </c>
      <c r="E16" s="101">
        <f>D16/$C$6</f>
        <v>4.0854808296668761</v>
      </c>
      <c r="F16" s="107">
        <f t="shared" ref="F16:F20" si="2">D16/D$20</f>
        <v>1.469312759508132E-2</v>
      </c>
      <c r="G16" s="91">
        <v>0</v>
      </c>
      <c r="H16" s="101">
        <f>G16/$C$6</f>
        <v>0</v>
      </c>
      <c r="I16" s="96">
        <f t="shared" ref="I16:I20" si="3">G16/G$20</f>
        <v>0</v>
      </c>
      <c r="J16" s="15">
        <f>D16+G16</f>
        <v>97500</v>
      </c>
      <c r="K16" s="101">
        <f>J16/$C$6</f>
        <v>4.0854808296668761</v>
      </c>
      <c r="L16" s="113">
        <f>J16/$J$20</f>
        <v>1.3769717385352296E-2</v>
      </c>
    </row>
    <row r="17" spans="2:12" x14ac:dyDescent="0.2">
      <c r="B17" s="34" t="s">
        <v>79</v>
      </c>
      <c r="D17" s="9">
        <f>+J11*'Assumptions &amp; Cash Flow'!$G$17</f>
        <v>38255.346781250002</v>
      </c>
      <c r="E17" s="101">
        <f>D17/$C$6</f>
        <v>1.6029895990467213</v>
      </c>
      <c r="F17" s="107">
        <f t="shared" si="2"/>
        <v>5.765032732830664E-3</v>
      </c>
      <c r="G17" s="91">
        <v>0</v>
      </c>
      <c r="H17" s="101">
        <f>G17/$C$6</f>
        <v>0</v>
      </c>
      <c r="I17" s="96">
        <f t="shared" si="3"/>
        <v>0</v>
      </c>
      <c r="J17" s="15">
        <f>D17+G17</f>
        <v>38255.346781250002</v>
      </c>
      <c r="K17" s="101">
        <f>J17/$C$6</f>
        <v>1.6029895990467213</v>
      </c>
      <c r="L17" s="113">
        <f>J17/$J$20</f>
        <v>5.4027211657072726E-3</v>
      </c>
    </row>
    <row r="18" spans="2:12" x14ac:dyDescent="0.2">
      <c r="B18" s="34" t="s">
        <v>80</v>
      </c>
      <c r="D18" s="3">
        <f>E18*$C$6</f>
        <v>0</v>
      </c>
      <c r="E18" s="81">
        <v>0</v>
      </c>
      <c r="F18" s="107">
        <f t="shared" si="2"/>
        <v>0</v>
      </c>
      <c r="G18" s="53">
        <f>H18*C6</f>
        <v>445000</v>
      </c>
      <c r="H18" s="81">
        <f>'Assumptions &amp; Cash Flow'!G41/'Assumptions &amp; Cash Flow'!G10</f>
        <v>18.64655353027446</v>
      </c>
      <c r="I18" s="96">
        <f t="shared" si="3"/>
        <v>1</v>
      </c>
      <c r="J18" s="3">
        <f>D18+G18</f>
        <v>445000</v>
      </c>
      <c r="K18" s="101">
        <f t="shared" ref="K18:K19" si="4">J18/$C$6</f>
        <v>18.64655353027446</v>
      </c>
      <c r="L18" s="113">
        <f>J18/$J$20</f>
        <v>6.284640242545407E-2</v>
      </c>
    </row>
    <row r="19" spans="2:12" x14ac:dyDescent="0.2">
      <c r="B19" s="34" t="s">
        <v>81</v>
      </c>
      <c r="D19" s="3">
        <f t="shared" ref="D19" si="5">E19*$C$6</f>
        <v>0</v>
      </c>
      <c r="E19" s="81">
        <v>0</v>
      </c>
      <c r="F19" s="107">
        <f t="shared" si="2"/>
        <v>0</v>
      </c>
      <c r="G19" s="53">
        <f t="shared" ref="G19" si="6">H19*$C$6</f>
        <v>0</v>
      </c>
      <c r="H19" s="81">
        <v>0</v>
      </c>
      <c r="I19" s="96">
        <f t="shared" si="3"/>
        <v>0</v>
      </c>
      <c r="J19" s="3">
        <f>D19+G19</f>
        <v>0</v>
      </c>
      <c r="K19" s="101">
        <f t="shared" si="4"/>
        <v>0</v>
      </c>
      <c r="L19" s="113">
        <f>J19/$J$20</f>
        <v>0</v>
      </c>
    </row>
    <row r="20" spans="2:12" x14ac:dyDescent="0.2">
      <c r="B20" s="84" t="s">
        <v>82</v>
      </c>
      <c r="C20" s="85"/>
      <c r="D20" s="86">
        <f>SUM(D15:D19)</f>
        <v>6635755.3467812501</v>
      </c>
      <c r="E20" s="87">
        <f>SUM(E15:E19)</f>
        <v>278.05385907317202</v>
      </c>
      <c r="F20" s="82">
        <f t="shared" si="2"/>
        <v>1</v>
      </c>
      <c r="G20" s="94">
        <f>SUM(G15:G19)</f>
        <v>445000</v>
      </c>
      <c r="H20" s="87">
        <f>SUM(H15:H19)</f>
        <v>18.64655353027446</v>
      </c>
      <c r="I20" s="99">
        <f t="shared" si="3"/>
        <v>1</v>
      </c>
      <c r="J20" s="86">
        <f>SUM(J15:J19)</f>
        <v>7080755.3467812501</v>
      </c>
      <c r="K20" s="87">
        <f>SUM(K15:K19)</f>
        <v>296.70041260344647</v>
      </c>
      <c r="L20" s="99">
        <f>SUM(L15:L19)</f>
        <v>0.99999999999999989</v>
      </c>
    </row>
    <row r="23" spans="2:12" x14ac:dyDescent="0.2">
      <c r="B23" s="7"/>
      <c r="C23" s="7"/>
      <c r="D23" s="7"/>
      <c r="E23" s="7"/>
      <c r="F23" s="7"/>
      <c r="G23" s="7"/>
      <c r="H23" s="7"/>
      <c r="I23" s="7"/>
    </row>
    <row r="24" spans="2:12" x14ac:dyDescent="0.2">
      <c r="B24" s="7"/>
      <c r="C24" s="7"/>
      <c r="D24" s="7"/>
      <c r="E24" s="7"/>
      <c r="F24" s="7"/>
      <c r="G24" s="7"/>
      <c r="H24" s="7"/>
      <c r="I24" s="7"/>
    </row>
    <row r="34" spans="2:2" x14ac:dyDescent="0.2">
      <c r="B34" s="7"/>
    </row>
    <row r="47" spans="2:2" x14ac:dyDescent="0.2">
      <c r="B47" s="7"/>
    </row>
    <row r="59" spans="2:2" x14ac:dyDescent="0.2">
      <c r="B59" s="7"/>
    </row>
  </sheetData>
  <pageMargins left="0.7" right="0.7" top="0.75" bottom="0.75" header="0.3" footer="0.3"/>
  <ignoredErrors>
    <ignoredError sqref="F13:L17 F20:L20 F18 I18:L18 F19:G19 I19:L19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DDD7D-31FD-4863-97B1-114DEF1CCA90}">
  <sheetPr>
    <tabColor theme="9" tint="0.79998168889431442"/>
  </sheetPr>
  <dimension ref="B1:L18"/>
  <sheetViews>
    <sheetView zoomScale="108" workbookViewId="0">
      <selection activeCell="G20" sqref="G20"/>
    </sheetView>
  </sheetViews>
  <sheetFormatPr baseColWidth="10" defaultColWidth="12.6640625" defaultRowHeight="15" x14ac:dyDescent="0.2"/>
  <cols>
    <col min="1" max="2" width="3.83203125" style="2" customWidth="1"/>
    <col min="3" max="3" width="25" style="2" bestFit="1" customWidth="1"/>
    <col min="4" max="4" width="15.5" style="2" customWidth="1"/>
    <col min="5" max="5" width="3.5" style="2" customWidth="1"/>
    <col min="6" max="6" width="17.6640625" style="2" bestFit="1" customWidth="1"/>
    <col min="7" max="7" width="15.5" style="2" customWidth="1"/>
    <col min="8" max="8" width="3.5" style="2" customWidth="1"/>
    <col min="9" max="9" width="17.6640625" style="2" bestFit="1" customWidth="1"/>
    <col min="10" max="10" width="15.5" style="2" customWidth="1"/>
    <col min="11" max="11" width="4.83203125" style="2" customWidth="1"/>
    <col min="12" max="16384" width="12.6640625" style="2"/>
  </cols>
  <sheetData>
    <row r="1" spans="2:12" ht="24" x14ac:dyDescent="0.2">
      <c r="B1" s="175" t="s">
        <v>100</v>
      </c>
      <c r="C1" s="175"/>
      <c r="D1" s="175"/>
      <c r="E1" s="175"/>
      <c r="F1" s="175"/>
    </row>
    <row r="2" spans="2:12" s="4" customFormat="1" ht="3" customHeight="1" x14ac:dyDescent="0.2">
      <c r="F2" s="64"/>
    </row>
    <row r="3" spans="2:12" ht="3" customHeight="1" x14ac:dyDescent="0.2">
      <c r="F3" s="6"/>
    </row>
    <row r="4" spans="2:12" s="4" customFormat="1" ht="3" customHeight="1" x14ac:dyDescent="0.2">
      <c r="F4" s="64"/>
    </row>
    <row r="5" spans="2:12" x14ac:dyDescent="0.2">
      <c r="F5" s="6"/>
    </row>
    <row r="6" spans="2:12" x14ac:dyDescent="0.2">
      <c r="C6" s="7"/>
      <c r="D6" s="123"/>
      <c r="F6" s="6"/>
    </row>
    <row r="8" spans="2:12" x14ac:dyDescent="0.2">
      <c r="C8" s="176" t="s">
        <v>101</v>
      </c>
      <c r="D8" s="177"/>
      <c r="E8"/>
      <c r="F8" s="176" t="s">
        <v>102</v>
      </c>
      <c r="G8" s="177"/>
      <c r="H8"/>
      <c r="I8" s="176" t="s">
        <v>103</v>
      </c>
      <c r="J8" s="177"/>
      <c r="L8" s="65"/>
    </row>
    <row r="9" spans="2:12" x14ac:dyDescent="0.2">
      <c r="C9" s="151" t="s">
        <v>118</v>
      </c>
      <c r="D9" s="152">
        <f>'Assumptions &amp; Cash Flow'!K27</f>
        <v>306042.77425000002</v>
      </c>
      <c r="E9"/>
      <c r="F9" s="151" t="s">
        <v>118</v>
      </c>
      <c r="G9" s="152">
        <f>D9</f>
        <v>306042.77425000002</v>
      </c>
      <c r="H9"/>
      <c r="I9" s="34" t="s">
        <v>16</v>
      </c>
      <c r="J9" s="161">
        <f>'Assumptions &amp; Cash Flow'!G14</f>
        <v>6500000</v>
      </c>
      <c r="L9" s="67"/>
    </row>
    <row r="10" spans="2:12" x14ac:dyDescent="0.2">
      <c r="C10" s="151" t="s">
        <v>101</v>
      </c>
      <c r="D10" s="153">
        <v>1.25</v>
      </c>
      <c r="E10"/>
      <c r="F10" s="151" t="s">
        <v>102</v>
      </c>
      <c r="G10" s="159">
        <v>0.1</v>
      </c>
      <c r="H10"/>
      <c r="I10" s="151" t="s">
        <v>103</v>
      </c>
      <c r="J10" s="159">
        <v>0.65</v>
      </c>
      <c r="L10" s="116"/>
    </row>
    <row r="11" spans="2:12" x14ac:dyDescent="0.2">
      <c r="C11" s="151" t="s">
        <v>41</v>
      </c>
      <c r="D11" s="154">
        <f>D9/D10</f>
        <v>244834.2194</v>
      </c>
      <c r="E11"/>
      <c r="F11" s="157" t="s">
        <v>49</v>
      </c>
      <c r="G11" s="160">
        <f>G9/G10</f>
        <v>3060427.7425000002</v>
      </c>
      <c r="H11"/>
      <c r="I11" s="157" t="s">
        <v>49</v>
      </c>
      <c r="J11" s="160">
        <f>J9*J10</f>
        <v>4225000</v>
      </c>
      <c r="L11" s="10"/>
    </row>
    <row r="12" spans="2:12" x14ac:dyDescent="0.2">
      <c r="C12" s="151" t="s">
        <v>55</v>
      </c>
      <c r="D12" s="155">
        <f>'Assumptions &amp; Cash Flow'!G51</f>
        <v>5.3199999999999997E-2</v>
      </c>
      <c r="E12"/>
      <c r="F12"/>
      <c r="G12" s="69"/>
      <c r="H12"/>
      <c r="I12"/>
      <c r="J12" s="66"/>
      <c r="L12" s="67"/>
    </row>
    <row r="13" spans="2:12" x14ac:dyDescent="0.2">
      <c r="C13" s="151" t="s">
        <v>131</v>
      </c>
      <c r="D13" s="156">
        <f>'Assumptions &amp; Cash Flow'!G50</f>
        <v>30</v>
      </c>
      <c r="E13"/>
      <c r="F13"/>
      <c r="G13" s="69"/>
      <c r="H13"/>
      <c r="I13"/>
      <c r="J13" s="68"/>
    </row>
    <row r="14" spans="2:12" x14ac:dyDescent="0.2">
      <c r="C14" s="157" t="s">
        <v>49</v>
      </c>
      <c r="D14" s="158">
        <f>PV(D12/12,D13*12,-D11/12)</f>
        <v>3665969.0207318966</v>
      </c>
      <c r="E14"/>
      <c r="F14"/>
      <c r="G14"/>
      <c r="H14"/>
      <c r="I14"/>
      <c r="J14"/>
    </row>
    <row r="15" spans="2:12" x14ac:dyDescent="0.2">
      <c r="C15"/>
      <c r="D15" s="70"/>
      <c r="E15"/>
      <c r="F15"/>
      <c r="G15"/>
      <c r="H15"/>
      <c r="I15"/>
      <c r="J15" s="71"/>
    </row>
    <row r="16" spans="2:12" x14ac:dyDescent="0.2">
      <c r="C16" s="72" t="s">
        <v>104</v>
      </c>
      <c r="D16" s="73">
        <f>MIN(D14,G11,J11)</f>
        <v>3060427.7425000002</v>
      </c>
      <c r="E16"/>
      <c r="F16"/>
      <c r="G16"/>
      <c r="H16"/>
      <c r="I16"/>
      <c r="J16" s="69"/>
    </row>
    <row r="17" spans="3:10" x14ac:dyDescent="0.2">
      <c r="C17"/>
      <c r="D17"/>
      <c r="E17"/>
      <c r="F17"/>
      <c r="G17"/>
      <c r="H17"/>
      <c r="I17"/>
      <c r="J17" s="69"/>
    </row>
    <row r="18" spans="3:10" x14ac:dyDescent="0.2">
      <c r="E18"/>
      <c r="F18"/>
      <c r="G18"/>
      <c r="H18"/>
      <c r="I18"/>
      <c r="J18"/>
    </row>
  </sheetData>
  <mergeCells count="4">
    <mergeCell ref="B1:F1"/>
    <mergeCell ref="C8:D8"/>
    <mergeCell ref="F8:G8"/>
    <mergeCell ref="I8:J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C50E2-6F82-6E47-9D2C-8A6B80654F65}">
  <sheetPr>
    <tabColor theme="7" tint="0.79998168889431442"/>
  </sheetPr>
  <dimension ref="A1:G372"/>
  <sheetViews>
    <sheetView showGridLines="0" workbookViewId="0">
      <selection activeCell="F22" sqref="F22"/>
    </sheetView>
  </sheetViews>
  <sheetFormatPr baseColWidth="10" defaultRowHeight="15" x14ac:dyDescent="0.2"/>
  <cols>
    <col min="1" max="1" width="28.83203125" customWidth="1"/>
    <col min="2" max="2" width="24.5" customWidth="1"/>
    <col min="3" max="3" width="14.5" bestFit="1" customWidth="1"/>
    <col min="4" max="4" width="19.6640625" customWidth="1"/>
    <col min="5" max="5" width="14.1640625" customWidth="1"/>
    <col min="6" max="6" width="13.1640625" bestFit="1" customWidth="1"/>
  </cols>
  <sheetData>
    <row r="1" spans="1:6" x14ac:dyDescent="0.2">
      <c r="A1" s="128" t="s">
        <v>134</v>
      </c>
      <c r="B1" s="129"/>
      <c r="C1" s="130"/>
      <c r="D1" s="130"/>
      <c r="E1" s="130"/>
      <c r="F1" s="130"/>
    </row>
    <row r="2" spans="1:6" x14ac:dyDescent="0.2">
      <c r="A2" s="130" t="s">
        <v>49</v>
      </c>
      <c r="B2" s="131">
        <f>'Debt Sizing'!D16</f>
        <v>3060427.7425000002</v>
      </c>
      <c r="C2" s="130"/>
      <c r="D2" s="130"/>
      <c r="E2" s="130"/>
      <c r="F2" s="130"/>
    </row>
    <row r="3" spans="1:6" x14ac:dyDescent="0.2">
      <c r="A3" s="130" t="s">
        <v>55</v>
      </c>
      <c r="B3" s="132">
        <f>'Assumptions &amp; Cash Flow'!G51</f>
        <v>5.3199999999999997E-2</v>
      </c>
      <c r="C3" s="147"/>
      <c r="D3" s="147"/>
      <c r="E3" s="130"/>
      <c r="F3" s="130"/>
    </row>
    <row r="4" spans="1:6" x14ac:dyDescent="0.2">
      <c r="A4" s="130" t="s">
        <v>135</v>
      </c>
      <c r="B4" s="130">
        <f>'Assumptions &amp; Cash Flow'!G49</f>
        <v>10</v>
      </c>
      <c r="C4" s="147">
        <f>B4*12</f>
        <v>120</v>
      </c>
      <c r="D4" s="147" t="s">
        <v>176</v>
      </c>
      <c r="E4" s="130"/>
      <c r="F4" s="130"/>
    </row>
    <row r="5" spans="1:6" x14ac:dyDescent="0.2">
      <c r="A5" s="130" t="s">
        <v>52</v>
      </c>
      <c r="B5" s="130">
        <f>'Assumptions &amp; Cash Flow'!G50</f>
        <v>30</v>
      </c>
      <c r="C5" s="130"/>
      <c r="D5" s="130"/>
      <c r="E5" s="130"/>
      <c r="F5" s="130"/>
    </row>
    <row r="6" spans="1:6" x14ac:dyDescent="0.2">
      <c r="A6" s="130" t="s">
        <v>136</v>
      </c>
      <c r="B6" s="136">
        <f>'Assumptions &amp; Cash Flow'!G52</f>
        <v>12</v>
      </c>
      <c r="C6" s="130"/>
      <c r="D6" s="130"/>
      <c r="E6" s="130"/>
      <c r="F6" s="130"/>
    </row>
    <row r="7" spans="1:6" x14ac:dyDescent="0.2">
      <c r="A7" s="130" t="s">
        <v>144</v>
      </c>
      <c r="B7" s="131">
        <f>B8/12</f>
        <v>17032.727980142903</v>
      </c>
      <c r="C7" s="130"/>
      <c r="D7" s="130"/>
      <c r="E7" s="130"/>
      <c r="F7" s="130"/>
    </row>
    <row r="8" spans="1:6" x14ac:dyDescent="0.2">
      <c r="A8" s="129" t="s">
        <v>145</v>
      </c>
      <c r="B8" s="133">
        <f>'Assumptions &amp; Cash Flow'!G53</f>
        <v>204392.73576171484</v>
      </c>
      <c r="C8" s="130"/>
      <c r="D8" s="130"/>
      <c r="E8" s="130"/>
      <c r="F8" s="130"/>
    </row>
    <row r="9" spans="1:6" x14ac:dyDescent="0.2">
      <c r="A9" s="130"/>
      <c r="B9" s="130"/>
      <c r="C9" s="130"/>
      <c r="D9" s="130"/>
      <c r="E9" s="130"/>
      <c r="F9" s="130"/>
    </row>
    <row r="10" spans="1:6" x14ac:dyDescent="0.2">
      <c r="A10" s="130"/>
      <c r="B10" s="130"/>
      <c r="C10" s="130"/>
      <c r="D10" s="130"/>
      <c r="E10" s="130"/>
      <c r="F10" s="130"/>
    </row>
    <row r="11" spans="1:6" x14ac:dyDescent="0.2">
      <c r="A11" s="148" t="s">
        <v>137</v>
      </c>
      <c r="B11" s="149" t="s">
        <v>177</v>
      </c>
      <c r="C11" s="150" t="s">
        <v>138</v>
      </c>
      <c r="D11" s="150" t="s">
        <v>139</v>
      </c>
      <c r="E11" s="150" t="s">
        <v>178</v>
      </c>
      <c r="F11" s="150" t="s">
        <v>179</v>
      </c>
    </row>
    <row r="12" spans="1:6" x14ac:dyDescent="0.2">
      <c r="A12" s="134">
        <v>0</v>
      </c>
      <c r="B12" s="130"/>
      <c r="C12" s="130"/>
      <c r="D12" s="130"/>
      <c r="E12" s="130"/>
      <c r="F12" s="131">
        <f>B2</f>
        <v>3060427.7425000002</v>
      </c>
    </row>
    <row r="13" spans="1:6" x14ac:dyDescent="0.2">
      <c r="A13" s="134">
        <v>1</v>
      </c>
      <c r="B13" s="131">
        <f>F12</f>
        <v>3060427.7425000002</v>
      </c>
      <c r="C13" s="131">
        <f>($B$3*B13)/$B$6</f>
        <v>13567.896325083333</v>
      </c>
      <c r="D13" s="131">
        <f>E13-C13</f>
        <v>3464.83165505957</v>
      </c>
      <c r="E13" s="131">
        <f>$B$7</f>
        <v>17032.727980142903</v>
      </c>
      <c r="F13" s="131">
        <f>B13-D13</f>
        <v>3056962.9108449407</v>
      </c>
    </row>
    <row r="14" spans="1:6" x14ac:dyDescent="0.2">
      <c r="A14" s="134">
        <v>2</v>
      </c>
      <c r="B14" s="131">
        <f t="shared" ref="B14:B77" si="0">F13</f>
        <v>3056962.9108449407</v>
      </c>
      <c r="C14" s="131">
        <f t="shared" ref="C14:C77" si="1">($B$3*B14)/$B$6</f>
        <v>13552.535571412569</v>
      </c>
      <c r="D14" s="131">
        <f>E14-C14</f>
        <v>3480.1924087303341</v>
      </c>
      <c r="E14" s="131">
        <f t="shared" ref="E14:E77" si="2">$B$7</f>
        <v>17032.727980142903</v>
      </c>
      <c r="F14" s="131">
        <f t="shared" ref="F14:F77" si="3">B14-D14</f>
        <v>3053482.7184362104</v>
      </c>
    </row>
    <row r="15" spans="1:6" x14ac:dyDescent="0.2">
      <c r="A15" s="134">
        <v>3</v>
      </c>
      <c r="B15" s="131">
        <f>F14</f>
        <v>3053482.7184362104</v>
      </c>
      <c r="C15" s="131">
        <f t="shared" si="1"/>
        <v>13537.106718400531</v>
      </c>
      <c r="D15" s="131">
        <f t="shared" ref="D15:D78" si="4">E15-C15</f>
        <v>3495.6212617423716</v>
      </c>
      <c r="E15" s="131">
        <f t="shared" si="2"/>
        <v>17032.727980142903</v>
      </c>
      <c r="F15" s="131">
        <f t="shared" si="3"/>
        <v>3049987.097174468</v>
      </c>
    </row>
    <row r="16" spans="1:6" x14ac:dyDescent="0.2">
      <c r="A16" s="134">
        <v>4</v>
      </c>
      <c r="B16" s="131">
        <f t="shared" si="0"/>
        <v>3049987.097174468</v>
      </c>
      <c r="C16" s="131">
        <f t="shared" si="1"/>
        <v>13521.609464140141</v>
      </c>
      <c r="D16" s="131">
        <f t="shared" si="4"/>
        <v>3511.1185160027617</v>
      </c>
      <c r="E16" s="131">
        <f t="shared" si="2"/>
        <v>17032.727980142903</v>
      </c>
      <c r="F16" s="131">
        <f t="shared" si="3"/>
        <v>3046475.9786584652</v>
      </c>
    </row>
    <row r="17" spans="1:6" x14ac:dyDescent="0.2">
      <c r="A17" s="134">
        <v>5</v>
      </c>
      <c r="B17" s="131">
        <f t="shared" si="0"/>
        <v>3046475.9786584652</v>
      </c>
      <c r="C17" s="131">
        <f t="shared" si="1"/>
        <v>13506.043505385862</v>
      </c>
      <c r="D17" s="131">
        <f t="shared" si="4"/>
        <v>3526.6844747570412</v>
      </c>
      <c r="E17" s="131">
        <f t="shared" si="2"/>
        <v>17032.727980142903</v>
      </c>
      <c r="F17" s="131">
        <f t="shared" si="3"/>
        <v>3042949.2941837083</v>
      </c>
    </row>
    <row r="18" spans="1:6" x14ac:dyDescent="0.2">
      <c r="A18" s="134">
        <v>6</v>
      </c>
      <c r="B18" s="131">
        <f t="shared" si="0"/>
        <v>3042949.2941837083</v>
      </c>
      <c r="C18" s="131">
        <f t="shared" si="1"/>
        <v>13490.408537547773</v>
      </c>
      <c r="D18" s="131">
        <f t="shared" si="4"/>
        <v>3542.3194425951297</v>
      </c>
      <c r="E18" s="131">
        <f t="shared" si="2"/>
        <v>17032.727980142903</v>
      </c>
      <c r="F18" s="131">
        <f t="shared" si="3"/>
        <v>3039406.9747411129</v>
      </c>
    </row>
    <row r="19" spans="1:6" x14ac:dyDescent="0.2">
      <c r="A19" s="134">
        <v>7</v>
      </c>
      <c r="B19" s="131">
        <f t="shared" si="0"/>
        <v>3039406.9747411129</v>
      </c>
      <c r="C19" s="131">
        <f t="shared" si="1"/>
        <v>13474.704254685601</v>
      </c>
      <c r="D19" s="131">
        <f t="shared" si="4"/>
        <v>3558.0237254573021</v>
      </c>
      <c r="E19" s="131">
        <f t="shared" si="2"/>
        <v>17032.727980142903</v>
      </c>
      <c r="F19" s="131">
        <f t="shared" si="3"/>
        <v>3035848.9510156554</v>
      </c>
    </row>
    <row r="20" spans="1:6" x14ac:dyDescent="0.2">
      <c r="A20" s="134">
        <v>8</v>
      </c>
      <c r="B20" s="131">
        <f t="shared" si="0"/>
        <v>3035848.9510156554</v>
      </c>
      <c r="C20" s="131">
        <f t="shared" si="1"/>
        <v>13458.93034950274</v>
      </c>
      <c r="D20" s="131">
        <f t="shared" si="4"/>
        <v>3573.7976306401633</v>
      </c>
      <c r="E20" s="131">
        <f t="shared" si="2"/>
        <v>17032.727980142903</v>
      </c>
      <c r="F20" s="131">
        <f t="shared" si="3"/>
        <v>3032275.1533850152</v>
      </c>
    </row>
    <row r="21" spans="1:6" x14ac:dyDescent="0.2">
      <c r="A21" s="134">
        <v>9</v>
      </c>
      <c r="B21" s="131">
        <f t="shared" si="0"/>
        <v>3032275.1533850152</v>
      </c>
      <c r="C21" s="131">
        <f t="shared" si="1"/>
        <v>13443.086513340233</v>
      </c>
      <c r="D21" s="131">
        <f t="shared" si="4"/>
        <v>3589.64146680267</v>
      </c>
      <c r="E21" s="131">
        <f t="shared" si="2"/>
        <v>17032.727980142903</v>
      </c>
      <c r="F21" s="131">
        <f t="shared" si="3"/>
        <v>3028685.5119182128</v>
      </c>
    </row>
    <row r="22" spans="1:6" x14ac:dyDescent="0.2">
      <c r="A22" s="134">
        <v>10</v>
      </c>
      <c r="B22" s="131">
        <f t="shared" si="0"/>
        <v>3028685.5119182128</v>
      </c>
      <c r="C22" s="131">
        <f t="shared" si="1"/>
        <v>13427.172436170744</v>
      </c>
      <c r="D22" s="131">
        <f t="shared" si="4"/>
        <v>3605.5555439721593</v>
      </c>
      <c r="E22" s="131">
        <f t="shared" si="2"/>
        <v>17032.727980142903</v>
      </c>
      <c r="F22" s="131">
        <f t="shared" si="3"/>
        <v>3025079.9563742406</v>
      </c>
    </row>
    <row r="23" spans="1:6" x14ac:dyDescent="0.2">
      <c r="A23" s="134">
        <v>11</v>
      </c>
      <c r="B23" s="131">
        <f t="shared" si="0"/>
        <v>3025079.9563742406</v>
      </c>
      <c r="C23" s="131">
        <f t="shared" si="1"/>
        <v>13411.187806592467</v>
      </c>
      <c r="D23" s="131">
        <f t="shared" si="4"/>
        <v>3621.5401735504365</v>
      </c>
      <c r="E23" s="131">
        <f t="shared" si="2"/>
        <v>17032.727980142903</v>
      </c>
      <c r="F23" s="131">
        <f t="shared" si="3"/>
        <v>3021458.41620069</v>
      </c>
    </row>
    <row r="24" spans="1:6" x14ac:dyDescent="0.2">
      <c r="A24" s="134">
        <v>12</v>
      </c>
      <c r="B24" s="131">
        <f t="shared" si="0"/>
        <v>3021458.41620069</v>
      </c>
      <c r="C24" s="131">
        <f t="shared" si="1"/>
        <v>13395.132311823058</v>
      </c>
      <c r="D24" s="131">
        <f t="shared" si="4"/>
        <v>3637.5956683198456</v>
      </c>
      <c r="E24" s="131">
        <f t="shared" si="2"/>
        <v>17032.727980142903</v>
      </c>
      <c r="F24" s="131">
        <f t="shared" si="3"/>
        <v>3017820.8205323704</v>
      </c>
    </row>
    <row r="25" spans="1:6" x14ac:dyDescent="0.2">
      <c r="A25" s="134">
        <v>13</v>
      </c>
      <c r="B25" s="131">
        <f t="shared" si="0"/>
        <v>3017820.8205323704</v>
      </c>
      <c r="C25" s="131">
        <f t="shared" si="1"/>
        <v>13379.005637693508</v>
      </c>
      <c r="D25" s="131">
        <f t="shared" si="4"/>
        <v>3653.722342449395</v>
      </c>
      <c r="E25" s="131">
        <f t="shared" si="2"/>
        <v>17032.727980142903</v>
      </c>
      <c r="F25" s="131">
        <f t="shared" si="3"/>
        <v>3014167.0981899211</v>
      </c>
    </row>
    <row r="26" spans="1:6" x14ac:dyDescent="0.2">
      <c r="A26" s="134">
        <v>14</v>
      </c>
      <c r="B26" s="131">
        <f t="shared" si="0"/>
        <v>3014167.0981899211</v>
      </c>
      <c r="C26" s="131">
        <f t="shared" si="1"/>
        <v>13362.807468641984</v>
      </c>
      <c r="D26" s="131">
        <f t="shared" si="4"/>
        <v>3669.920511500919</v>
      </c>
      <c r="E26" s="131">
        <f t="shared" si="2"/>
        <v>17032.727980142903</v>
      </c>
      <c r="F26" s="131">
        <f t="shared" si="3"/>
        <v>3010497.1776784202</v>
      </c>
    </row>
    <row r="27" spans="1:6" x14ac:dyDescent="0.2">
      <c r="A27" s="134">
        <v>15</v>
      </c>
      <c r="B27" s="131">
        <f t="shared" si="0"/>
        <v>3010497.1776784202</v>
      </c>
      <c r="C27" s="131">
        <f t="shared" si="1"/>
        <v>13346.537487707661</v>
      </c>
      <c r="D27" s="131">
        <f t="shared" si="4"/>
        <v>3686.190492435242</v>
      </c>
      <c r="E27" s="131">
        <f t="shared" si="2"/>
        <v>17032.727980142903</v>
      </c>
      <c r="F27" s="131">
        <f t="shared" si="3"/>
        <v>3006810.9871859848</v>
      </c>
    </row>
    <row r="28" spans="1:6" x14ac:dyDescent="0.2">
      <c r="A28" s="134">
        <v>16</v>
      </c>
      <c r="B28" s="131">
        <f t="shared" si="0"/>
        <v>3006810.9871859848</v>
      </c>
      <c r="C28" s="131">
        <f t="shared" si="1"/>
        <v>13330.195376524533</v>
      </c>
      <c r="D28" s="131">
        <f t="shared" si="4"/>
        <v>3702.5326036183706</v>
      </c>
      <c r="E28" s="131">
        <f t="shared" si="2"/>
        <v>17032.727980142903</v>
      </c>
      <c r="F28" s="131">
        <f t="shared" si="3"/>
        <v>3003108.4545823666</v>
      </c>
    </row>
    <row r="29" spans="1:6" x14ac:dyDescent="0.2">
      <c r="A29" s="134">
        <v>17</v>
      </c>
      <c r="B29" s="131">
        <f t="shared" si="0"/>
        <v>3003108.4545823666</v>
      </c>
      <c r="C29" s="131">
        <f t="shared" si="1"/>
        <v>13313.780815315158</v>
      </c>
      <c r="D29" s="131">
        <f t="shared" si="4"/>
        <v>3718.9471648277449</v>
      </c>
      <c r="E29" s="131">
        <f t="shared" si="2"/>
        <v>17032.727980142903</v>
      </c>
      <c r="F29" s="131">
        <f t="shared" si="3"/>
        <v>2999389.5074175387</v>
      </c>
    </row>
    <row r="30" spans="1:6" x14ac:dyDescent="0.2">
      <c r="A30" s="134">
        <v>18</v>
      </c>
      <c r="B30" s="131">
        <f t="shared" si="0"/>
        <v>2999389.5074175387</v>
      </c>
      <c r="C30" s="131">
        <f t="shared" si="1"/>
        <v>13297.293482884421</v>
      </c>
      <c r="D30" s="131">
        <f t="shared" si="4"/>
        <v>3735.4344972584822</v>
      </c>
      <c r="E30" s="131">
        <f t="shared" si="2"/>
        <v>17032.727980142903</v>
      </c>
      <c r="F30" s="131">
        <f t="shared" si="3"/>
        <v>2995654.07292028</v>
      </c>
    </row>
    <row r="31" spans="1:6" x14ac:dyDescent="0.2">
      <c r="A31" s="134">
        <v>19</v>
      </c>
      <c r="B31" s="131">
        <f t="shared" si="0"/>
        <v>2995654.07292028</v>
      </c>
      <c r="C31" s="131">
        <f t="shared" si="1"/>
        <v>13280.733056613242</v>
      </c>
      <c r="D31" s="131">
        <f t="shared" si="4"/>
        <v>3751.9949235296608</v>
      </c>
      <c r="E31" s="131">
        <f t="shared" si="2"/>
        <v>17032.727980142903</v>
      </c>
      <c r="F31" s="131">
        <f t="shared" si="3"/>
        <v>2991902.0779967504</v>
      </c>
    </row>
    <row r="32" spans="1:6" x14ac:dyDescent="0.2">
      <c r="A32" s="134">
        <v>20</v>
      </c>
      <c r="B32" s="131">
        <f t="shared" si="0"/>
        <v>2991902.0779967504</v>
      </c>
      <c r="C32" s="131">
        <f t="shared" si="1"/>
        <v>13264.09921245226</v>
      </c>
      <c r="D32" s="131">
        <f t="shared" si="4"/>
        <v>3768.6287676906431</v>
      </c>
      <c r="E32" s="131">
        <f t="shared" si="2"/>
        <v>17032.727980142903</v>
      </c>
      <c r="F32" s="131">
        <f t="shared" si="3"/>
        <v>2988133.4492290597</v>
      </c>
    </row>
    <row r="33" spans="1:6" x14ac:dyDescent="0.2">
      <c r="A33" s="134">
        <v>21</v>
      </c>
      <c r="B33" s="131">
        <f t="shared" si="0"/>
        <v>2988133.4492290597</v>
      </c>
      <c r="C33" s="131">
        <f t="shared" si="1"/>
        <v>13247.391624915499</v>
      </c>
      <c r="D33" s="131">
        <f t="shared" si="4"/>
        <v>3785.3363552274041</v>
      </c>
      <c r="E33" s="131">
        <f t="shared" si="2"/>
        <v>17032.727980142903</v>
      </c>
      <c r="F33" s="131">
        <f t="shared" si="3"/>
        <v>2984348.1128738322</v>
      </c>
    </row>
    <row r="34" spans="1:6" x14ac:dyDescent="0.2">
      <c r="A34" s="134">
        <v>22</v>
      </c>
      <c r="B34" s="131">
        <f t="shared" si="0"/>
        <v>2984348.1128738322</v>
      </c>
      <c r="C34" s="131">
        <f t="shared" si="1"/>
        <v>13230.609967073988</v>
      </c>
      <c r="D34" s="131">
        <f t="shared" si="4"/>
        <v>3802.1180130689154</v>
      </c>
      <c r="E34" s="131">
        <f t="shared" si="2"/>
        <v>17032.727980142903</v>
      </c>
      <c r="F34" s="131">
        <f t="shared" si="3"/>
        <v>2980545.9948607632</v>
      </c>
    </row>
    <row r="35" spans="1:6" x14ac:dyDescent="0.2">
      <c r="A35" s="134">
        <v>23</v>
      </c>
      <c r="B35" s="131">
        <f t="shared" si="0"/>
        <v>2980545.9948607632</v>
      </c>
      <c r="C35" s="131">
        <f t="shared" si="1"/>
        <v>13213.753910549383</v>
      </c>
      <c r="D35" s="131">
        <f t="shared" si="4"/>
        <v>3818.9740695935197</v>
      </c>
      <c r="E35" s="131">
        <f t="shared" si="2"/>
        <v>17032.727980142903</v>
      </c>
      <c r="F35" s="131">
        <f t="shared" si="3"/>
        <v>2976727.0207911697</v>
      </c>
    </row>
    <row r="36" spans="1:6" x14ac:dyDescent="0.2">
      <c r="A36" s="134">
        <v>24</v>
      </c>
      <c r="B36" s="131">
        <f t="shared" si="0"/>
        <v>2976727.0207911697</v>
      </c>
      <c r="C36" s="131">
        <f t="shared" si="1"/>
        <v>13196.823125507517</v>
      </c>
      <c r="D36" s="131">
        <f t="shared" si="4"/>
        <v>3835.9048546353861</v>
      </c>
      <c r="E36" s="131">
        <f t="shared" si="2"/>
        <v>17032.727980142903</v>
      </c>
      <c r="F36" s="131">
        <f t="shared" si="3"/>
        <v>2972891.1159365345</v>
      </c>
    </row>
    <row r="37" spans="1:6" x14ac:dyDescent="0.2">
      <c r="A37" s="134">
        <v>25</v>
      </c>
      <c r="B37" s="131">
        <f t="shared" si="0"/>
        <v>2972891.1159365345</v>
      </c>
      <c r="C37" s="131">
        <f t="shared" si="1"/>
        <v>13179.817280651971</v>
      </c>
      <c r="D37" s="131">
        <f t="shared" si="4"/>
        <v>3852.9106994909325</v>
      </c>
      <c r="E37" s="131">
        <f t="shared" si="2"/>
        <v>17032.727980142903</v>
      </c>
      <c r="F37" s="131">
        <f t="shared" si="3"/>
        <v>2969038.2052370436</v>
      </c>
    </row>
    <row r="38" spans="1:6" x14ac:dyDescent="0.2">
      <c r="A38" s="134">
        <v>26</v>
      </c>
      <c r="B38" s="131">
        <f t="shared" si="0"/>
        <v>2969038.2052370436</v>
      </c>
      <c r="C38" s="131">
        <f t="shared" si="1"/>
        <v>13162.736043217557</v>
      </c>
      <c r="D38" s="131">
        <f t="shared" si="4"/>
        <v>3869.9919369253457</v>
      </c>
      <c r="E38" s="131">
        <f t="shared" si="2"/>
        <v>17032.727980142903</v>
      </c>
      <c r="F38" s="131">
        <f t="shared" si="3"/>
        <v>2965168.2133001182</v>
      </c>
    </row>
    <row r="39" spans="1:6" x14ac:dyDescent="0.2">
      <c r="A39" s="134">
        <v>27</v>
      </c>
      <c r="B39" s="131">
        <f t="shared" si="0"/>
        <v>2965168.2133001182</v>
      </c>
      <c r="C39" s="131">
        <f t="shared" si="1"/>
        <v>13145.579078963856</v>
      </c>
      <c r="D39" s="131">
        <f t="shared" si="4"/>
        <v>3887.1489011790472</v>
      </c>
      <c r="E39" s="131">
        <f t="shared" si="2"/>
        <v>17032.727980142903</v>
      </c>
      <c r="F39" s="131">
        <f t="shared" si="3"/>
        <v>2961281.0643989393</v>
      </c>
    </row>
    <row r="40" spans="1:6" x14ac:dyDescent="0.2">
      <c r="A40" s="134">
        <v>28</v>
      </c>
      <c r="B40" s="131">
        <f t="shared" si="0"/>
        <v>2961281.0643989393</v>
      </c>
      <c r="C40" s="131">
        <f t="shared" si="1"/>
        <v>13128.34605216863</v>
      </c>
      <c r="D40" s="131">
        <f t="shared" si="4"/>
        <v>3904.3819279742729</v>
      </c>
      <c r="E40" s="131">
        <f t="shared" si="2"/>
        <v>17032.727980142903</v>
      </c>
      <c r="F40" s="131">
        <f t="shared" si="3"/>
        <v>2957376.6824709652</v>
      </c>
    </row>
    <row r="41" spans="1:6" x14ac:dyDescent="0.2">
      <c r="A41" s="134">
        <v>29</v>
      </c>
      <c r="B41" s="131">
        <f t="shared" si="0"/>
        <v>2957376.6824709652</v>
      </c>
      <c r="C41" s="131">
        <f t="shared" si="1"/>
        <v>13111.036625621278</v>
      </c>
      <c r="D41" s="131">
        <f t="shared" si="4"/>
        <v>3921.6913545216248</v>
      </c>
      <c r="E41" s="131">
        <f t="shared" si="2"/>
        <v>17032.727980142903</v>
      </c>
      <c r="F41" s="131">
        <f t="shared" si="3"/>
        <v>2953454.9911164436</v>
      </c>
    </row>
    <row r="42" spans="1:6" x14ac:dyDescent="0.2">
      <c r="A42" s="134">
        <v>30</v>
      </c>
      <c r="B42" s="131">
        <f t="shared" si="0"/>
        <v>2953454.9911164436</v>
      </c>
      <c r="C42" s="131">
        <f t="shared" si="1"/>
        <v>13093.650460616233</v>
      </c>
      <c r="D42" s="131">
        <f t="shared" si="4"/>
        <v>3939.0775195266706</v>
      </c>
      <c r="E42" s="131">
        <f t="shared" si="2"/>
        <v>17032.727980142903</v>
      </c>
      <c r="F42" s="131">
        <f t="shared" si="3"/>
        <v>2949515.9135969169</v>
      </c>
    </row>
    <row r="43" spans="1:6" x14ac:dyDescent="0.2">
      <c r="A43" s="134">
        <v>31</v>
      </c>
      <c r="B43" s="131">
        <f t="shared" si="0"/>
        <v>2949515.9135969169</v>
      </c>
      <c r="C43" s="131">
        <f t="shared" si="1"/>
        <v>13076.187216946331</v>
      </c>
      <c r="D43" s="131">
        <f t="shared" si="4"/>
        <v>3956.5407631965718</v>
      </c>
      <c r="E43" s="131">
        <f t="shared" si="2"/>
        <v>17032.727980142903</v>
      </c>
      <c r="F43" s="131">
        <f t="shared" si="3"/>
        <v>2945559.3728337204</v>
      </c>
    </row>
    <row r="44" spans="1:6" x14ac:dyDescent="0.2">
      <c r="A44" s="134">
        <v>32</v>
      </c>
      <c r="B44" s="131">
        <f t="shared" si="0"/>
        <v>2945559.3728337204</v>
      </c>
      <c r="C44" s="131">
        <f t="shared" si="1"/>
        <v>13058.646552896158</v>
      </c>
      <c r="D44" s="131">
        <f t="shared" si="4"/>
        <v>3974.0814272467451</v>
      </c>
      <c r="E44" s="131">
        <f t="shared" si="2"/>
        <v>17032.727980142903</v>
      </c>
      <c r="F44" s="131">
        <f t="shared" si="3"/>
        <v>2941585.2914064736</v>
      </c>
    </row>
    <row r="45" spans="1:6" x14ac:dyDescent="0.2">
      <c r="A45" s="134">
        <v>33</v>
      </c>
      <c r="B45" s="131">
        <f t="shared" si="0"/>
        <v>2941585.2914064736</v>
      </c>
      <c r="C45" s="131">
        <f t="shared" si="1"/>
        <v>13041.028125235365</v>
      </c>
      <c r="D45" s="131">
        <f t="shared" si="4"/>
        <v>3991.6998549075379</v>
      </c>
      <c r="E45" s="131">
        <f t="shared" si="2"/>
        <v>17032.727980142903</v>
      </c>
      <c r="F45" s="131">
        <f t="shared" si="3"/>
        <v>2937593.591551566</v>
      </c>
    </row>
    <row r="46" spans="1:6" x14ac:dyDescent="0.2">
      <c r="A46" s="134">
        <v>34</v>
      </c>
      <c r="B46" s="131">
        <f t="shared" si="0"/>
        <v>2937593.591551566</v>
      </c>
      <c r="C46" s="131">
        <f t="shared" si="1"/>
        <v>13023.331589211943</v>
      </c>
      <c r="D46" s="131">
        <f t="shared" si="4"/>
        <v>4009.3963909309605</v>
      </c>
      <c r="E46" s="131">
        <f t="shared" si="2"/>
        <v>17032.727980142903</v>
      </c>
      <c r="F46" s="131">
        <f t="shared" si="3"/>
        <v>2933584.1951606353</v>
      </c>
    </row>
    <row r="47" spans="1:6" x14ac:dyDescent="0.2">
      <c r="A47" s="134">
        <v>35</v>
      </c>
      <c r="B47" s="131">
        <f t="shared" si="0"/>
        <v>2933584.1951606353</v>
      </c>
      <c r="C47" s="131">
        <f t="shared" si="1"/>
        <v>13005.556598545481</v>
      </c>
      <c r="D47" s="131">
        <f t="shared" si="4"/>
        <v>4027.1713815974217</v>
      </c>
      <c r="E47" s="131">
        <f t="shared" si="2"/>
        <v>17032.727980142903</v>
      </c>
      <c r="F47" s="131">
        <f t="shared" si="3"/>
        <v>2929557.0237790379</v>
      </c>
    </row>
    <row r="48" spans="1:6" x14ac:dyDescent="0.2">
      <c r="A48" s="134">
        <v>36</v>
      </c>
      <c r="B48" s="131">
        <f t="shared" si="0"/>
        <v>2929557.0237790379</v>
      </c>
      <c r="C48" s="131">
        <f t="shared" si="1"/>
        <v>12987.7028054204</v>
      </c>
      <c r="D48" s="131">
        <f t="shared" si="4"/>
        <v>4045.0251747225029</v>
      </c>
      <c r="E48" s="131">
        <f t="shared" si="2"/>
        <v>17032.727980142903</v>
      </c>
      <c r="F48" s="131">
        <f t="shared" si="3"/>
        <v>2925511.9986043153</v>
      </c>
    </row>
    <row r="49" spans="1:6" x14ac:dyDescent="0.2">
      <c r="A49" s="134">
        <v>37</v>
      </c>
      <c r="B49" s="131">
        <f t="shared" si="0"/>
        <v>2925511.9986043153</v>
      </c>
      <c r="C49" s="131">
        <f t="shared" si="1"/>
        <v>12969.769860479131</v>
      </c>
      <c r="D49" s="131">
        <f t="shared" si="4"/>
        <v>4062.9581196637719</v>
      </c>
      <c r="E49" s="131">
        <f t="shared" si="2"/>
        <v>17032.727980142903</v>
      </c>
      <c r="F49" s="131">
        <f t="shared" si="3"/>
        <v>2921449.0404846515</v>
      </c>
    </row>
    <row r="50" spans="1:6" x14ac:dyDescent="0.2">
      <c r="A50" s="134">
        <v>38</v>
      </c>
      <c r="B50" s="131">
        <f t="shared" si="0"/>
        <v>2921449.0404846515</v>
      </c>
      <c r="C50" s="131">
        <f t="shared" si="1"/>
        <v>12951.757412815286</v>
      </c>
      <c r="D50" s="131">
        <f t="shared" si="4"/>
        <v>4080.9705673276167</v>
      </c>
      <c r="E50" s="131">
        <f t="shared" si="2"/>
        <v>17032.727980142903</v>
      </c>
      <c r="F50" s="131">
        <f t="shared" si="3"/>
        <v>2917368.069917324</v>
      </c>
    </row>
    <row r="51" spans="1:6" x14ac:dyDescent="0.2">
      <c r="A51" s="134">
        <v>39</v>
      </c>
      <c r="B51" s="131">
        <f t="shared" si="0"/>
        <v>2917368.069917324</v>
      </c>
      <c r="C51" s="131">
        <f t="shared" si="1"/>
        <v>12933.665109966802</v>
      </c>
      <c r="D51" s="131">
        <f t="shared" si="4"/>
        <v>4099.0628701761016</v>
      </c>
      <c r="E51" s="131">
        <f t="shared" si="2"/>
        <v>17032.727980142903</v>
      </c>
      <c r="F51" s="131">
        <f t="shared" si="3"/>
        <v>2913269.007047148</v>
      </c>
    </row>
    <row r="52" spans="1:6" x14ac:dyDescent="0.2">
      <c r="A52" s="134">
        <v>40</v>
      </c>
      <c r="B52" s="131">
        <f t="shared" si="0"/>
        <v>2913269.007047148</v>
      </c>
      <c r="C52" s="131">
        <f t="shared" si="1"/>
        <v>12915.49259790902</v>
      </c>
      <c r="D52" s="131">
        <f t="shared" si="4"/>
        <v>4117.2353822338828</v>
      </c>
      <c r="E52" s="131">
        <f t="shared" si="2"/>
        <v>17032.727980142903</v>
      </c>
      <c r="F52" s="131">
        <f t="shared" si="3"/>
        <v>2909151.7716649142</v>
      </c>
    </row>
    <row r="53" spans="1:6" x14ac:dyDescent="0.2">
      <c r="A53" s="134">
        <v>41</v>
      </c>
      <c r="B53" s="131">
        <f t="shared" si="0"/>
        <v>2909151.7716649142</v>
      </c>
      <c r="C53" s="131">
        <f t="shared" si="1"/>
        <v>12897.239521047786</v>
      </c>
      <c r="D53" s="131">
        <f t="shared" si="4"/>
        <v>4135.4884590951169</v>
      </c>
      <c r="E53" s="131">
        <f t="shared" si="2"/>
        <v>17032.727980142903</v>
      </c>
      <c r="F53" s="131">
        <f t="shared" si="3"/>
        <v>2905016.2832058193</v>
      </c>
    </row>
    <row r="54" spans="1:6" x14ac:dyDescent="0.2">
      <c r="A54" s="134">
        <v>42</v>
      </c>
      <c r="B54" s="131">
        <f t="shared" si="0"/>
        <v>2905016.2832058193</v>
      </c>
      <c r="C54" s="131">
        <f t="shared" si="1"/>
        <v>12878.905522212466</v>
      </c>
      <c r="D54" s="131">
        <f t="shared" si="4"/>
        <v>4153.8224579304369</v>
      </c>
      <c r="E54" s="131">
        <f t="shared" si="2"/>
        <v>17032.727980142903</v>
      </c>
      <c r="F54" s="131">
        <f t="shared" si="3"/>
        <v>2900862.4607478888</v>
      </c>
    </row>
    <row r="55" spans="1:6" x14ac:dyDescent="0.2">
      <c r="A55" s="134">
        <v>43</v>
      </c>
      <c r="B55" s="131">
        <f t="shared" si="0"/>
        <v>2900862.4607478888</v>
      </c>
      <c r="C55" s="131">
        <f t="shared" si="1"/>
        <v>12860.490242648973</v>
      </c>
      <c r="D55" s="131">
        <f t="shared" si="4"/>
        <v>4172.2377374939297</v>
      </c>
      <c r="E55" s="131">
        <f t="shared" si="2"/>
        <v>17032.727980142903</v>
      </c>
      <c r="F55" s="131">
        <f t="shared" si="3"/>
        <v>2896690.2230103947</v>
      </c>
    </row>
    <row r="56" spans="1:6" x14ac:dyDescent="0.2">
      <c r="A56" s="134">
        <v>44</v>
      </c>
      <c r="B56" s="131">
        <f t="shared" si="0"/>
        <v>2896690.2230103947</v>
      </c>
      <c r="C56" s="131">
        <f t="shared" si="1"/>
        <v>12841.99332201275</v>
      </c>
      <c r="D56" s="131">
        <f t="shared" si="4"/>
        <v>4190.7346581301535</v>
      </c>
      <c r="E56" s="131">
        <f t="shared" si="2"/>
        <v>17032.727980142903</v>
      </c>
      <c r="F56" s="131">
        <f t="shared" si="3"/>
        <v>2892499.4883522647</v>
      </c>
    </row>
    <row r="57" spans="1:6" x14ac:dyDescent="0.2">
      <c r="A57" s="134">
        <v>45</v>
      </c>
      <c r="B57" s="131">
        <f t="shared" si="0"/>
        <v>2892499.4883522647</v>
      </c>
      <c r="C57" s="131">
        <f t="shared" si="1"/>
        <v>12823.414398361705</v>
      </c>
      <c r="D57" s="131">
        <f t="shared" si="4"/>
        <v>4209.3135817811981</v>
      </c>
      <c r="E57" s="131">
        <f t="shared" si="2"/>
        <v>17032.727980142903</v>
      </c>
      <c r="F57" s="131">
        <f t="shared" si="3"/>
        <v>2888290.1747704837</v>
      </c>
    </row>
    <row r="58" spans="1:6" x14ac:dyDescent="0.2">
      <c r="A58" s="134">
        <v>46</v>
      </c>
      <c r="B58" s="131">
        <f t="shared" si="0"/>
        <v>2888290.1747704837</v>
      </c>
      <c r="C58" s="131">
        <f t="shared" si="1"/>
        <v>12804.753108149145</v>
      </c>
      <c r="D58" s="131">
        <f t="shared" si="4"/>
        <v>4227.9748719937579</v>
      </c>
      <c r="E58" s="131">
        <f t="shared" si="2"/>
        <v>17032.727980142903</v>
      </c>
      <c r="F58" s="131">
        <f t="shared" si="3"/>
        <v>2884062.1998984902</v>
      </c>
    </row>
    <row r="59" spans="1:6" x14ac:dyDescent="0.2">
      <c r="A59" s="134">
        <v>47</v>
      </c>
      <c r="B59" s="131">
        <f t="shared" si="0"/>
        <v>2884062.1998984902</v>
      </c>
      <c r="C59" s="131">
        <f t="shared" si="1"/>
        <v>12786.00908621664</v>
      </c>
      <c r="D59" s="131">
        <f t="shared" si="4"/>
        <v>4246.7188939262633</v>
      </c>
      <c r="E59" s="131">
        <f t="shared" si="2"/>
        <v>17032.727980142903</v>
      </c>
      <c r="F59" s="131">
        <f t="shared" si="3"/>
        <v>2879815.4810045641</v>
      </c>
    </row>
    <row r="60" spans="1:6" x14ac:dyDescent="0.2">
      <c r="A60" s="134">
        <v>48</v>
      </c>
      <c r="B60" s="131">
        <f t="shared" si="0"/>
        <v>2879815.4810045641</v>
      </c>
      <c r="C60" s="131">
        <f t="shared" si="1"/>
        <v>12767.1819657869</v>
      </c>
      <c r="D60" s="131">
        <f t="shared" si="4"/>
        <v>4265.5460143560031</v>
      </c>
      <c r="E60" s="131">
        <f t="shared" si="2"/>
        <v>17032.727980142903</v>
      </c>
      <c r="F60" s="131">
        <f t="shared" si="3"/>
        <v>2875549.9349902081</v>
      </c>
    </row>
    <row r="61" spans="1:6" x14ac:dyDescent="0.2">
      <c r="A61" s="134">
        <v>49</v>
      </c>
      <c r="B61" s="131">
        <f t="shared" si="0"/>
        <v>2875549.9349902081</v>
      </c>
      <c r="C61" s="131">
        <f t="shared" si="1"/>
        <v>12748.271378456588</v>
      </c>
      <c r="D61" s="131">
        <f t="shared" si="4"/>
        <v>4284.4566016863155</v>
      </c>
      <c r="E61" s="131">
        <f t="shared" si="2"/>
        <v>17032.727980142903</v>
      </c>
      <c r="F61" s="131">
        <f t="shared" si="3"/>
        <v>2871265.4783885218</v>
      </c>
    </row>
    <row r="62" spans="1:6" x14ac:dyDescent="0.2">
      <c r="A62" s="134">
        <v>50</v>
      </c>
      <c r="B62" s="131">
        <f t="shared" si="0"/>
        <v>2871265.4783885218</v>
      </c>
      <c r="C62" s="131">
        <f t="shared" si="1"/>
        <v>12729.276954189112</v>
      </c>
      <c r="D62" s="131">
        <f t="shared" si="4"/>
        <v>4303.451025953791</v>
      </c>
      <c r="E62" s="131">
        <f t="shared" si="2"/>
        <v>17032.727980142903</v>
      </c>
      <c r="F62" s="131">
        <f t="shared" si="3"/>
        <v>2866962.0273625678</v>
      </c>
    </row>
    <row r="63" spans="1:6" x14ac:dyDescent="0.2">
      <c r="A63" s="134">
        <v>51</v>
      </c>
      <c r="B63" s="131">
        <f t="shared" si="0"/>
        <v>2866962.0273625678</v>
      </c>
      <c r="C63" s="131">
        <f t="shared" si="1"/>
        <v>12710.198321307384</v>
      </c>
      <c r="D63" s="131">
        <f t="shared" si="4"/>
        <v>4322.5296588355195</v>
      </c>
      <c r="E63" s="131">
        <f t="shared" si="2"/>
        <v>17032.727980142903</v>
      </c>
      <c r="F63" s="131">
        <f t="shared" si="3"/>
        <v>2862639.4977037325</v>
      </c>
    </row>
    <row r="64" spans="1:6" x14ac:dyDescent="0.2">
      <c r="A64" s="134">
        <v>52</v>
      </c>
      <c r="B64" s="131">
        <f t="shared" si="0"/>
        <v>2862639.4977037325</v>
      </c>
      <c r="C64" s="131">
        <f t="shared" si="1"/>
        <v>12691.035106486546</v>
      </c>
      <c r="D64" s="131">
        <f t="shared" si="4"/>
        <v>4341.6928736563568</v>
      </c>
      <c r="E64" s="131">
        <f t="shared" si="2"/>
        <v>17032.727980142903</v>
      </c>
      <c r="F64" s="131">
        <f t="shared" si="3"/>
        <v>2858297.8048300762</v>
      </c>
    </row>
    <row r="65" spans="1:6" x14ac:dyDescent="0.2">
      <c r="A65" s="134">
        <v>53</v>
      </c>
      <c r="B65" s="131">
        <f t="shared" si="0"/>
        <v>2858297.8048300762</v>
      </c>
      <c r="C65" s="131">
        <f t="shared" si="1"/>
        <v>12671.786934746669</v>
      </c>
      <c r="D65" s="131">
        <f t="shared" si="4"/>
        <v>4360.9410453962337</v>
      </c>
      <c r="E65" s="131">
        <f t="shared" si="2"/>
        <v>17032.727980142903</v>
      </c>
      <c r="F65" s="131">
        <f t="shared" si="3"/>
        <v>2853936.8637846801</v>
      </c>
    </row>
    <row r="66" spans="1:6" x14ac:dyDescent="0.2">
      <c r="A66" s="134">
        <v>54</v>
      </c>
      <c r="B66" s="131">
        <f t="shared" si="0"/>
        <v>2853936.8637846801</v>
      </c>
      <c r="C66" s="131">
        <f t="shared" si="1"/>
        <v>12652.453429445415</v>
      </c>
      <c r="D66" s="131">
        <f t="shared" si="4"/>
        <v>4380.2745506974879</v>
      </c>
      <c r="E66" s="131">
        <f t="shared" si="2"/>
        <v>17032.727980142903</v>
      </c>
      <c r="F66" s="131">
        <f t="shared" si="3"/>
        <v>2849556.5892339828</v>
      </c>
    </row>
    <row r="67" spans="1:6" x14ac:dyDescent="0.2">
      <c r="A67" s="134">
        <v>55</v>
      </c>
      <c r="B67" s="131">
        <f t="shared" si="0"/>
        <v>2849556.5892339828</v>
      </c>
      <c r="C67" s="131">
        <f t="shared" si="1"/>
        <v>12633.034212270657</v>
      </c>
      <c r="D67" s="131">
        <f t="shared" si="4"/>
        <v>4399.6937678722461</v>
      </c>
      <c r="E67" s="131">
        <f t="shared" si="2"/>
        <v>17032.727980142903</v>
      </c>
      <c r="F67" s="131">
        <f t="shared" si="3"/>
        <v>2845156.8954661107</v>
      </c>
    </row>
    <row r="68" spans="1:6" x14ac:dyDescent="0.2">
      <c r="A68" s="134">
        <v>56</v>
      </c>
      <c r="B68" s="131">
        <f t="shared" si="0"/>
        <v>2845156.8954661107</v>
      </c>
      <c r="C68" s="131">
        <f t="shared" si="1"/>
        <v>12613.528903233091</v>
      </c>
      <c r="D68" s="131">
        <f t="shared" si="4"/>
        <v>4419.199076909812</v>
      </c>
      <c r="E68" s="131">
        <f t="shared" si="2"/>
        <v>17032.727980142903</v>
      </c>
      <c r="F68" s="131">
        <f t="shared" si="3"/>
        <v>2840737.6963892006</v>
      </c>
    </row>
    <row r="69" spans="1:6" x14ac:dyDescent="0.2">
      <c r="A69" s="134">
        <v>57</v>
      </c>
      <c r="B69" s="131">
        <f t="shared" si="0"/>
        <v>2840737.6963892006</v>
      </c>
      <c r="C69" s="131">
        <f t="shared" si="1"/>
        <v>12593.937120658789</v>
      </c>
      <c r="D69" s="131">
        <f t="shared" si="4"/>
        <v>4438.7908594841138</v>
      </c>
      <c r="E69" s="131">
        <f t="shared" si="2"/>
        <v>17032.727980142903</v>
      </c>
      <c r="F69" s="131">
        <f t="shared" si="3"/>
        <v>2836298.9055297165</v>
      </c>
    </row>
    <row r="70" spans="1:6" x14ac:dyDescent="0.2">
      <c r="A70" s="134">
        <v>58</v>
      </c>
      <c r="B70" s="131">
        <f t="shared" si="0"/>
        <v>2836298.9055297165</v>
      </c>
      <c r="C70" s="131">
        <f t="shared" si="1"/>
        <v>12574.258481181743</v>
      </c>
      <c r="D70" s="131">
        <f t="shared" si="4"/>
        <v>4458.4694989611598</v>
      </c>
      <c r="E70" s="131">
        <f t="shared" si="2"/>
        <v>17032.727980142903</v>
      </c>
      <c r="F70" s="131">
        <f t="shared" si="3"/>
        <v>2831840.4360307553</v>
      </c>
    </row>
    <row r="71" spans="1:6" x14ac:dyDescent="0.2">
      <c r="A71" s="134">
        <v>59</v>
      </c>
      <c r="B71" s="131">
        <f t="shared" si="0"/>
        <v>2831840.4360307553</v>
      </c>
      <c r="C71" s="131">
        <f t="shared" si="1"/>
        <v>12554.492599736348</v>
      </c>
      <c r="D71" s="131">
        <f t="shared" si="4"/>
        <v>4478.2353804065551</v>
      </c>
      <c r="E71" s="131">
        <f t="shared" si="2"/>
        <v>17032.727980142903</v>
      </c>
      <c r="F71" s="131">
        <f t="shared" si="3"/>
        <v>2827362.2006503488</v>
      </c>
    </row>
    <row r="72" spans="1:6" x14ac:dyDescent="0.2">
      <c r="A72" s="134">
        <v>60</v>
      </c>
      <c r="B72" s="131">
        <f t="shared" si="0"/>
        <v>2827362.2006503488</v>
      </c>
      <c r="C72" s="131">
        <f t="shared" si="1"/>
        <v>12534.639089549879</v>
      </c>
      <c r="D72" s="131">
        <f t="shared" si="4"/>
        <v>4498.0888905930242</v>
      </c>
      <c r="E72" s="131">
        <f t="shared" si="2"/>
        <v>17032.727980142903</v>
      </c>
      <c r="F72" s="131">
        <f t="shared" si="3"/>
        <v>2822864.1117597558</v>
      </c>
    </row>
    <row r="73" spans="1:6" x14ac:dyDescent="0.2">
      <c r="A73" s="134">
        <v>61</v>
      </c>
      <c r="B73" s="131">
        <f t="shared" si="0"/>
        <v>2822864.1117597558</v>
      </c>
      <c r="C73" s="131">
        <f t="shared" si="1"/>
        <v>12514.697562134917</v>
      </c>
      <c r="D73" s="131">
        <f t="shared" si="4"/>
        <v>4518.0304180079856</v>
      </c>
      <c r="E73" s="131">
        <f t="shared" si="2"/>
        <v>17032.727980142903</v>
      </c>
      <c r="F73" s="131">
        <f t="shared" si="3"/>
        <v>2818346.0813417477</v>
      </c>
    </row>
    <row r="74" spans="1:6" x14ac:dyDescent="0.2">
      <c r="A74" s="134">
        <v>62</v>
      </c>
      <c r="B74" s="131">
        <f t="shared" si="0"/>
        <v>2818346.0813417477</v>
      </c>
      <c r="C74" s="131">
        <f t="shared" si="1"/>
        <v>12494.667627281748</v>
      </c>
      <c r="D74" s="131">
        <f t="shared" si="4"/>
        <v>4538.0603528611555</v>
      </c>
      <c r="E74" s="131">
        <f t="shared" si="2"/>
        <v>17032.727980142903</v>
      </c>
      <c r="F74" s="131">
        <f t="shared" si="3"/>
        <v>2813808.0209888867</v>
      </c>
    </row>
    <row r="75" spans="1:6" x14ac:dyDescent="0.2">
      <c r="A75" s="134">
        <v>63</v>
      </c>
      <c r="B75" s="131">
        <f t="shared" si="0"/>
        <v>2813808.0209888867</v>
      </c>
      <c r="C75" s="131">
        <f t="shared" si="1"/>
        <v>12474.548893050729</v>
      </c>
      <c r="D75" s="131">
        <f t="shared" si="4"/>
        <v>4558.1790870921741</v>
      </c>
      <c r="E75" s="131">
        <f t="shared" si="2"/>
        <v>17032.727980142903</v>
      </c>
      <c r="F75" s="131">
        <f t="shared" si="3"/>
        <v>2809249.8419017945</v>
      </c>
    </row>
    <row r="76" spans="1:6" x14ac:dyDescent="0.2">
      <c r="A76" s="134">
        <v>64</v>
      </c>
      <c r="B76" s="131">
        <f t="shared" si="0"/>
        <v>2809249.8419017945</v>
      </c>
      <c r="C76" s="131">
        <f t="shared" si="1"/>
        <v>12454.340965764621</v>
      </c>
      <c r="D76" s="131">
        <f t="shared" si="4"/>
        <v>4578.3870143782824</v>
      </c>
      <c r="E76" s="131">
        <f t="shared" si="2"/>
        <v>17032.727980142903</v>
      </c>
      <c r="F76" s="131">
        <f t="shared" si="3"/>
        <v>2804671.4548874162</v>
      </c>
    </row>
    <row r="77" spans="1:6" x14ac:dyDescent="0.2">
      <c r="A77" s="134">
        <v>65</v>
      </c>
      <c r="B77" s="131">
        <f t="shared" si="0"/>
        <v>2804671.4548874162</v>
      </c>
      <c r="C77" s="131">
        <f t="shared" si="1"/>
        <v>12434.043450000878</v>
      </c>
      <c r="D77" s="131">
        <f t="shared" si="4"/>
        <v>4598.6845301420253</v>
      </c>
      <c r="E77" s="131">
        <f t="shared" si="2"/>
        <v>17032.727980142903</v>
      </c>
      <c r="F77" s="131">
        <f t="shared" si="3"/>
        <v>2800072.770357274</v>
      </c>
    </row>
    <row r="78" spans="1:6" x14ac:dyDescent="0.2">
      <c r="A78" s="134">
        <v>66</v>
      </c>
      <c r="B78" s="131">
        <f t="shared" ref="B78:B141" si="5">F77</f>
        <v>2800072.770357274</v>
      </c>
      <c r="C78" s="131">
        <f t="shared" ref="C78:C141" si="6">($B$3*B78)/$B$6</f>
        <v>12413.655948583915</v>
      </c>
      <c r="D78" s="131">
        <f t="shared" si="4"/>
        <v>4619.0720315589879</v>
      </c>
      <c r="E78" s="131">
        <f t="shared" ref="E78:E141" si="7">$B$7</f>
        <v>17032.727980142903</v>
      </c>
      <c r="F78" s="131">
        <f t="shared" ref="F78:F141" si="8">B78-D78</f>
        <v>2795453.698325715</v>
      </c>
    </row>
    <row r="79" spans="1:6" x14ac:dyDescent="0.2">
      <c r="A79" s="134">
        <v>67</v>
      </c>
      <c r="B79" s="131">
        <f t="shared" si="5"/>
        <v>2795453.698325715</v>
      </c>
      <c r="C79" s="131">
        <f t="shared" si="6"/>
        <v>12393.178062577337</v>
      </c>
      <c r="D79" s="131">
        <f t="shared" ref="D79:D142" si="9">E79-C79</f>
        <v>4639.5499175655659</v>
      </c>
      <c r="E79" s="131">
        <f t="shared" si="7"/>
        <v>17032.727980142903</v>
      </c>
      <c r="F79" s="131">
        <f t="shared" si="8"/>
        <v>2790814.1484081494</v>
      </c>
    </row>
    <row r="80" spans="1:6" x14ac:dyDescent="0.2">
      <c r="A80" s="134">
        <v>68</v>
      </c>
      <c r="B80" s="131">
        <f t="shared" si="5"/>
        <v>2790814.1484081494</v>
      </c>
      <c r="C80" s="131">
        <f t="shared" si="6"/>
        <v>12372.609391276128</v>
      </c>
      <c r="D80" s="131">
        <f t="shared" si="9"/>
        <v>4660.1185888667751</v>
      </c>
      <c r="E80" s="131">
        <f t="shared" si="7"/>
        <v>17032.727980142903</v>
      </c>
      <c r="F80" s="131">
        <f t="shared" si="8"/>
        <v>2786154.0298192827</v>
      </c>
    </row>
    <row r="81" spans="1:6" x14ac:dyDescent="0.2">
      <c r="A81" s="134">
        <v>69</v>
      </c>
      <c r="B81" s="131">
        <f t="shared" si="5"/>
        <v>2786154.0298192827</v>
      </c>
      <c r="C81" s="131">
        <f t="shared" si="6"/>
        <v>12351.94953219882</v>
      </c>
      <c r="D81" s="131">
        <f t="shared" si="9"/>
        <v>4680.7784479440834</v>
      </c>
      <c r="E81" s="131">
        <f t="shared" si="7"/>
        <v>17032.727980142903</v>
      </c>
      <c r="F81" s="131">
        <f t="shared" si="8"/>
        <v>2781473.2513713385</v>
      </c>
    </row>
    <row r="82" spans="1:6" x14ac:dyDescent="0.2">
      <c r="A82" s="134">
        <v>70</v>
      </c>
      <c r="B82" s="131">
        <f t="shared" si="5"/>
        <v>2781473.2513713385</v>
      </c>
      <c r="C82" s="131">
        <f t="shared" si="6"/>
        <v>12331.198081079601</v>
      </c>
      <c r="D82" s="131">
        <f t="shared" si="9"/>
        <v>4701.5298990633019</v>
      </c>
      <c r="E82" s="131">
        <f t="shared" si="7"/>
        <v>17032.727980142903</v>
      </c>
      <c r="F82" s="131">
        <f t="shared" si="8"/>
        <v>2776771.721472275</v>
      </c>
    </row>
    <row r="83" spans="1:6" x14ac:dyDescent="0.2">
      <c r="A83" s="134">
        <v>71</v>
      </c>
      <c r="B83" s="131">
        <f t="shared" si="5"/>
        <v>2776771.721472275</v>
      </c>
      <c r="C83" s="131">
        <f t="shared" si="6"/>
        <v>12310.354631860419</v>
      </c>
      <c r="D83" s="131">
        <f t="shared" si="9"/>
        <v>4722.3733482824846</v>
      </c>
      <c r="E83" s="131">
        <f t="shared" si="7"/>
        <v>17032.727980142903</v>
      </c>
      <c r="F83" s="131">
        <f t="shared" si="8"/>
        <v>2772049.3481239923</v>
      </c>
    </row>
    <row r="84" spans="1:6" x14ac:dyDescent="0.2">
      <c r="A84" s="134">
        <v>72</v>
      </c>
      <c r="B84" s="131">
        <f t="shared" si="5"/>
        <v>2772049.3481239923</v>
      </c>
      <c r="C84" s="131">
        <f t="shared" si="6"/>
        <v>12289.418776683031</v>
      </c>
      <c r="D84" s="131">
        <f t="shared" si="9"/>
        <v>4743.3092034598722</v>
      </c>
      <c r="E84" s="131">
        <f t="shared" si="7"/>
        <v>17032.727980142903</v>
      </c>
      <c r="F84" s="131">
        <f t="shared" si="8"/>
        <v>2767306.0389205324</v>
      </c>
    </row>
    <row r="85" spans="1:6" x14ac:dyDescent="0.2">
      <c r="A85" s="134">
        <v>73</v>
      </c>
      <c r="B85" s="131">
        <f t="shared" si="5"/>
        <v>2767306.0389205324</v>
      </c>
      <c r="C85" s="131">
        <f t="shared" si="6"/>
        <v>12268.390105881028</v>
      </c>
      <c r="D85" s="131">
        <f t="shared" si="9"/>
        <v>4764.3378742618752</v>
      </c>
      <c r="E85" s="131">
        <f t="shared" si="7"/>
        <v>17032.727980142903</v>
      </c>
      <c r="F85" s="131">
        <f t="shared" si="8"/>
        <v>2762541.7010462708</v>
      </c>
    </row>
    <row r="86" spans="1:6" x14ac:dyDescent="0.2">
      <c r="A86" s="134">
        <v>74</v>
      </c>
      <c r="B86" s="131">
        <f t="shared" si="5"/>
        <v>2762541.7010462708</v>
      </c>
      <c r="C86" s="131">
        <f t="shared" si="6"/>
        <v>12247.2682079718</v>
      </c>
      <c r="D86" s="131">
        <f t="shared" si="9"/>
        <v>4785.4597721711034</v>
      </c>
      <c r="E86" s="131">
        <f t="shared" si="7"/>
        <v>17032.727980142903</v>
      </c>
      <c r="F86" s="131">
        <f t="shared" si="8"/>
        <v>2757756.2412740998</v>
      </c>
    </row>
    <row r="87" spans="1:6" x14ac:dyDescent="0.2">
      <c r="A87" s="134">
        <v>75</v>
      </c>
      <c r="B87" s="131">
        <f t="shared" si="5"/>
        <v>2757756.2412740998</v>
      </c>
      <c r="C87" s="131">
        <f t="shared" si="6"/>
        <v>12226.052669648509</v>
      </c>
      <c r="D87" s="131">
        <f t="shared" si="9"/>
        <v>4806.6753104943946</v>
      </c>
      <c r="E87" s="131">
        <f t="shared" si="7"/>
        <v>17032.727980142903</v>
      </c>
      <c r="F87" s="131">
        <f t="shared" si="8"/>
        <v>2752949.5659636054</v>
      </c>
    </row>
    <row r="88" spans="1:6" x14ac:dyDescent="0.2">
      <c r="A88" s="134">
        <v>76</v>
      </c>
      <c r="B88" s="131">
        <f t="shared" si="5"/>
        <v>2752949.5659636054</v>
      </c>
      <c r="C88" s="131">
        <f t="shared" si="6"/>
        <v>12204.743075771983</v>
      </c>
      <c r="D88" s="131">
        <f t="shared" si="9"/>
        <v>4827.98490437092</v>
      </c>
      <c r="E88" s="131">
        <f t="shared" si="7"/>
        <v>17032.727980142903</v>
      </c>
      <c r="F88" s="131">
        <f t="shared" si="8"/>
        <v>2748121.5810592347</v>
      </c>
    </row>
    <row r="89" spans="1:6" x14ac:dyDescent="0.2">
      <c r="A89" s="134">
        <v>77</v>
      </c>
      <c r="B89" s="131">
        <f t="shared" si="5"/>
        <v>2748121.5810592347</v>
      </c>
      <c r="C89" s="131">
        <f t="shared" si="6"/>
        <v>12183.339009362608</v>
      </c>
      <c r="D89" s="131">
        <f t="shared" si="9"/>
        <v>4849.3889707802955</v>
      </c>
      <c r="E89" s="131">
        <f t="shared" si="7"/>
        <v>17032.727980142903</v>
      </c>
      <c r="F89" s="131">
        <f t="shared" si="8"/>
        <v>2743272.1920884545</v>
      </c>
    </row>
    <row r="90" spans="1:6" x14ac:dyDescent="0.2">
      <c r="A90" s="134">
        <v>78</v>
      </c>
      <c r="B90" s="131">
        <f t="shared" si="5"/>
        <v>2743272.1920884545</v>
      </c>
      <c r="C90" s="131">
        <f t="shared" si="6"/>
        <v>12161.840051592148</v>
      </c>
      <c r="D90" s="131">
        <f t="shared" si="9"/>
        <v>4870.8879285507555</v>
      </c>
      <c r="E90" s="131">
        <f t="shared" si="7"/>
        <v>17032.727980142903</v>
      </c>
      <c r="F90" s="131">
        <f t="shared" si="8"/>
        <v>2738401.3041599039</v>
      </c>
    </row>
    <row r="91" spans="1:6" x14ac:dyDescent="0.2">
      <c r="A91" s="134">
        <v>79</v>
      </c>
      <c r="B91" s="131">
        <f t="shared" si="5"/>
        <v>2738401.3041599039</v>
      </c>
      <c r="C91" s="131">
        <f t="shared" si="6"/>
        <v>12140.245781775573</v>
      </c>
      <c r="D91" s="131">
        <f t="shared" si="9"/>
        <v>4892.4821983673301</v>
      </c>
      <c r="E91" s="131">
        <f t="shared" si="7"/>
        <v>17032.727980142903</v>
      </c>
      <c r="F91" s="131">
        <f t="shared" si="8"/>
        <v>2733508.8219615365</v>
      </c>
    </row>
    <row r="92" spans="1:6" x14ac:dyDescent="0.2">
      <c r="A92" s="134">
        <v>80</v>
      </c>
      <c r="B92" s="131">
        <f t="shared" si="5"/>
        <v>2733508.8219615365</v>
      </c>
      <c r="C92" s="131">
        <f t="shared" si="6"/>
        <v>12118.555777362812</v>
      </c>
      <c r="D92" s="131">
        <f t="shared" si="9"/>
        <v>4914.1722027800915</v>
      </c>
      <c r="E92" s="131">
        <f t="shared" si="7"/>
        <v>17032.727980142903</v>
      </c>
      <c r="F92" s="131">
        <f t="shared" si="8"/>
        <v>2728594.6497587566</v>
      </c>
    </row>
    <row r="93" spans="1:6" x14ac:dyDescent="0.2">
      <c r="A93" s="134">
        <v>81</v>
      </c>
      <c r="B93" s="131">
        <f t="shared" si="5"/>
        <v>2728594.6497587566</v>
      </c>
      <c r="C93" s="131">
        <f t="shared" si="6"/>
        <v>12096.769613930488</v>
      </c>
      <c r="D93" s="131">
        <f t="shared" si="9"/>
        <v>4935.9583662124151</v>
      </c>
      <c r="E93" s="131">
        <f t="shared" si="7"/>
        <v>17032.727980142903</v>
      </c>
      <c r="F93" s="131">
        <f t="shared" si="8"/>
        <v>2723658.6913925442</v>
      </c>
    </row>
    <row r="94" spans="1:6" x14ac:dyDescent="0.2">
      <c r="A94" s="134">
        <v>82</v>
      </c>
      <c r="B94" s="131">
        <f t="shared" si="5"/>
        <v>2723658.6913925442</v>
      </c>
      <c r="C94" s="131">
        <f t="shared" si="6"/>
        <v>12074.886865173612</v>
      </c>
      <c r="D94" s="131">
        <f t="shared" si="9"/>
        <v>4957.8411149692911</v>
      </c>
      <c r="E94" s="131">
        <f t="shared" si="7"/>
        <v>17032.727980142903</v>
      </c>
      <c r="F94" s="131">
        <f t="shared" si="8"/>
        <v>2718700.8502775747</v>
      </c>
    </row>
    <row r="95" spans="1:6" x14ac:dyDescent="0.2">
      <c r="A95" s="134">
        <v>83</v>
      </c>
      <c r="B95" s="131">
        <f t="shared" si="5"/>
        <v>2718700.8502775747</v>
      </c>
      <c r="C95" s="131">
        <f t="shared" si="6"/>
        <v>12052.907102897247</v>
      </c>
      <c r="D95" s="131">
        <f t="shared" si="9"/>
        <v>4979.8208772456564</v>
      </c>
      <c r="E95" s="131">
        <f t="shared" si="7"/>
        <v>17032.727980142903</v>
      </c>
      <c r="F95" s="131">
        <f t="shared" si="8"/>
        <v>2713721.0294003291</v>
      </c>
    </row>
    <row r="96" spans="1:6" x14ac:dyDescent="0.2">
      <c r="A96" s="134">
        <v>84</v>
      </c>
      <c r="B96" s="131">
        <f t="shared" si="5"/>
        <v>2713721.0294003291</v>
      </c>
      <c r="C96" s="131">
        <f t="shared" si="6"/>
        <v>12030.829897008125</v>
      </c>
      <c r="D96" s="131">
        <f t="shared" si="9"/>
        <v>5001.8980831347781</v>
      </c>
      <c r="E96" s="131">
        <f t="shared" si="7"/>
        <v>17032.727980142903</v>
      </c>
      <c r="F96" s="131">
        <f t="shared" si="8"/>
        <v>2708719.1313171946</v>
      </c>
    </row>
    <row r="97" spans="1:6" x14ac:dyDescent="0.2">
      <c r="A97" s="134">
        <v>85</v>
      </c>
      <c r="B97" s="131">
        <f t="shared" si="5"/>
        <v>2708719.1313171946</v>
      </c>
      <c r="C97" s="131">
        <f t="shared" si="6"/>
        <v>12008.654815506228</v>
      </c>
      <c r="D97" s="131">
        <f t="shared" si="9"/>
        <v>5024.0731646366748</v>
      </c>
      <c r="E97" s="131">
        <f t="shared" si="7"/>
        <v>17032.727980142903</v>
      </c>
      <c r="F97" s="131">
        <f t="shared" si="8"/>
        <v>2703695.0581525578</v>
      </c>
    </row>
    <row r="98" spans="1:6" x14ac:dyDescent="0.2">
      <c r="A98" s="134">
        <v>86</v>
      </c>
      <c r="B98" s="131">
        <f t="shared" si="5"/>
        <v>2703695.0581525578</v>
      </c>
      <c r="C98" s="131">
        <f t="shared" si="6"/>
        <v>11986.38142447634</v>
      </c>
      <c r="D98" s="131">
        <f t="shared" si="9"/>
        <v>5046.3465556665633</v>
      </c>
      <c r="E98" s="131">
        <f t="shared" si="7"/>
        <v>17032.727980142903</v>
      </c>
      <c r="F98" s="131">
        <f t="shared" si="8"/>
        <v>2698648.7115968913</v>
      </c>
    </row>
    <row r="99" spans="1:6" x14ac:dyDescent="0.2">
      <c r="A99" s="134">
        <v>87</v>
      </c>
      <c r="B99" s="131">
        <f t="shared" si="5"/>
        <v>2698648.7115968913</v>
      </c>
      <c r="C99" s="131">
        <f t="shared" si="6"/>
        <v>11964.009288079551</v>
      </c>
      <c r="D99" s="131">
        <f t="shared" si="9"/>
        <v>5068.7186920633521</v>
      </c>
      <c r="E99" s="131">
        <f t="shared" si="7"/>
        <v>17032.727980142903</v>
      </c>
      <c r="F99" s="131">
        <f t="shared" si="8"/>
        <v>2693579.9929048279</v>
      </c>
    </row>
    <row r="100" spans="1:6" x14ac:dyDescent="0.2">
      <c r="A100" s="134">
        <v>88</v>
      </c>
      <c r="B100" s="131">
        <f t="shared" si="5"/>
        <v>2693579.9929048279</v>
      </c>
      <c r="C100" s="131">
        <f t="shared" si="6"/>
        <v>11941.537968544735</v>
      </c>
      <c r="D100" s="131">
        <f t="shared" si="9"/>
        <v>5091.190011598168</v>
      </c>
      <c r="E100" s="131">
        <f t="shared" si="7"/>
        <v>17032.727980142903</v>
      </c>
      <c r="F100" s="131">
        <f t="shared" si="8"/>
        <v>2688488.8028932298</v>
      </c>
    </row>
    <row r="101" spans="1:6" x14ac:dyDescent="0.2">
      <c r="A101" s="134">
        <v>89</v>
      </c>
      <c r="B101" s="131">
        <f t="shared" si="5"/>
        <v>2688488.8028932298</v>
      </c>
      <c r="C101" s="131">
        <f t="shared" si="6"/>
        <v>11918.967026159984</v>
      </c>
      <c r="D101" s="131">
        <f t="shared" si="9"/>
        <v>5113.7609539829191</v>
      </c>
      <c r="E101" s="131">
        <f t="shared" si="7"/>
        <v>17032.727980142903</v>
      </c>
      <c r="F101" s="131">
        <f t="shared" si="8"/>
        <v>2683375.0419392469</v>
      </c>
    </row>
    <row r="102" spans="1:6" x14ac:dyDescent="0.2">
      <c r="A102" s="134">
        <v>90</v>
      </c>
      <c r="B102" s="131">
        <f t="shared" si="5"/>
        <v>2683375.0419392469</v>
      </c>
      <c r="C102" s="131">
        <f t="shared" si="6"/>
        <v>11896.296019263995</v>
      </c>
      <c r="D102" s="131">
        <f t="shared" si="9"/>
        <v>5136.4319608789083</v>
      </c>
      <c r="E102" s="131">
        <f t="shared" si="7"/>
        <v>17032.727980142903</v>
      </c>
      <c r="F102" s="131">
        <f t="shared" si="8"/>
        <v>2678238.609978368</v>
      </c>
    </row>
    <row r="103" spans="1:6" x14ac:dyDescent="0.2">
      <c r="A103" s="134">
        <v>91</v>
      </c>
      <c r="B103" s="131">
        <f t="shared" si="5"/>
        <v>2678238.609978368</v>
      </c>
      <c r="C103" s="131">
        <f t="shared" si="6"/>
        <v>11873.52450423743</v>
      </c>
      <c r="D103" s="131">
        <f t="shared" si="9"/>
        <v>5159.2034759054732</v>
      </c>
      <c r="E103" s="131">
        <f t="shared" si="7"/>
        <v>17032.727980142903</v>
      </c>
      <c r="F103" s="131">
        <f t="shared" si="8"/>
        <v>2673079.4065024625</v>
      </c>
    </row>
    <row r="104" spans="1:6" x14ac:dyDescent="0.2">
      <c r="A104" s="134">
        <v>92</v>
      </c>
      <c r="B104" s="131">
        <f t="shared" si="5"/>
        <v>2673079.4065024625</v>
      </c>
      <c r="C104" s="131">
        <f t="shared" si="6"/>
        <v>11850.65203549425</v>
      </c>
      <c r="D104" s="131">
        <f t="shared" si="9"/>
        <v>5182.0759446486536</v>
      </c>
      <c r="E104" s="131">
        <f t="shared" si="7"/>
        <v>17032.727980142903</v>
      </c>
      <c r="F104" s="131">
        <f t="shared" si="8"/>
        <v>2667897.3305578139</v>
      </c>
    </row>
    <row r="105" spans="1:6" x14ac:dyDescent="0.2">
      <c r="A105" s="134">
        <v>93</v>
      </c>
      <c r="B105" s="131">
        <f t="shared" si="5"/>
        <v>2667897.3305578139</v>
      </c>
      <c r="C105" s="131">
        <f t="shared" si="6"/>
        <v>11827.678165472973</v>
      </c>
      <c r="D105" s="131">
        <f t="shared" si="9"/>
        <v>5205.0498146699301</v>
      </c>
      <c r="E105" s="131">
        <f t="shared" si="7"/>
        <v>17032.727980142903</v>
      </c>
      <c r="F105" s="131">
        <f t="shared" si="8"/>
        <v>2662692.280743144</v>
      </c>
    </row>
    <row r="106" spans="1:6" x14ac:dyDescent="0.2">
      <c r="A106" s="134">
        <v>94</v>
      </c>
      <c r="B106" s="131">
        <f t="shared" si="5"/>
        <v>2662692.280743144</v>
      </c>
      <c r="C106" s="131">
        <f t="shared" si="6"/>
        <v>11804.602444627939</v>
      </c>
      <c r="D106" s="131">
        <f t="shared" si="9"/>
        <v>5228.1255355149642</v>
      </c>
      <c r="E106" s="131">
        <f t="shared" si="7"/>
        <v>17032.727980142903</v>
      </c>
      <c r="F106" s="131">
        <f t="shared" si="8"/>
        <v>2657464.1552076288</v>
      </c>
    </row>
    <row r="107" spans="1:6" x14ac:dyDescent="0.2">
      <c r="A107" s="134">
        <v>95</v>
      </c>
      <c r="B107" s="131">
        <f t="shared" si="5"/>
        <v>2657464.1552076288</v>
      </c>
      <c r="C107" s="131">
        <f t="shared" si="6"/>
        <v>11781.424421420488</v>
      </c>
      <c r="D107" s="131">
        <f t="shared" si="9"/>
        <v>5251.3035587224149</v>
      </c>
      <c r="E107" s="131">
        <f t="shared" si="7"/>
        <v>17032.727980142903</v>
      </c>
      <c r="F107" s="131">
        <f t="shared" si="8"/>
        <v>2652212.8516489062</v>
      </c>
    </row>
    <row r="108" spans="1:6" x14ac:dyDescent="0.2">
      <c r="A108" s="134">
        <v>96</v>
      </c>
      <c r="B108" s="131">
        <f t="shared" si="5"/>
        <v>2652212.8516489062</v>
      </c>
      <c r="C108" s="131">
        <f t="shared" si="6"/>
        <v>11758.14364231015</v>
      </c>
      <c r="D108" s="131">
        <f t="shared" si="9"/>
        <v>5274.5843378327536</v>
      </c>
      <c r="E108" s="131">
        <f t="shared" si="7"/>
        <v>17032.727980142903</v>
      </c>
      <c r="F108" s="131">
        <f t="shared" si="8"/>
        <v>2646938.2673110734</v>
      </c>
    </row>
    <row r="109" spans="1:6" x14ac:dyDescent="0.2">
      <c r="A109" s="134">
        <v>97</v>
      </c>
      <c r="B109" s="131">
        <f t="shared" si="5"/>
        <v>2646938.2673110734</v>
      </c>
      <c r="C109" s="131">
        <f t="shared" si="6"/>
        <v>11734.759651745757</v>
      </c>
      <c r="D109" s="131">
        <f t="shared" si="9"/>
        <v>5297.9683283971463</v>
      </c>
      <c r="E109" s="131">
        <f t="shared" si="7"/>
        <v>17032.727980142903</v>
      </c>
      <c r="F109" s="131">
        <f t="shared" si="8"/>
        <v>2641640.2989826761</v>
      </c>
    </row>
    <row r="110" spans="1:6" x14ac:dyDescent="0.2">
      <c r="A110" s="134">
        <v>98</v>
      </c>
      <c r="B110" s="131">
        <f t="shared" si="5"/>
        <v>2641640.2989826761</v>
      </c>
      <c r="C110" s="131">
        <f t="shared" si="6"/>
        <v>11711.271992156529</v>
      </c>
      <c r="D110" s="131">
        <f t="shared" si="9"/>
        <v>5321.4559879863737</v>
      </c>
      <c r="E110" s="131">
        <f t="shared" si="7"/>
        <v>17032.727980142903</v>
      </c>
      <c r="F110" s="131">
        <f t="shared" si="8"/>
        <v>2636318.8429946899</v>
      </c>
    </row>
    <row r="111" spans="1:6" x14ac:dyDescent="0.2">
      <c r="A111" s="134">
        <v>99</v>
      </c>
      <c r="B111" s="131">
        <f t="shared" si="5"/>
        <v>2636318.8429946899</v>
      </c>
      <c r="C111" s="131">
        <f t="shared" si="6"/>
        <v>11687.680203943126</v>
      </c>
      <c r="D111" s="131">
        <f t="shared" si="9"/>
        <v>5345.0477761997772</v>
      </c>
      <c r="E111" s="131">
        <f t="shared" si="7"/>
        <v>17032.727980142903</v>
      </c>
      <c r="F111" s="131">
        <f t="shared" si="8"/>
        <v>2630973.7952184901</v>
      </c>
    </row>
    <row r="112" spans="1:6" x14ac:dyDescent="0.2">
      <c r="A112" s="134">
        <v>100</v>
      </c>
      <c r="B112" s="131">
        <f t="shared" si="5"/>
        <v>2630973.7952184901</v>
      </c>
      <c r="C112" s="131">
        <f t="shared" si="6"/>
        <v>11663.983825468638</v>
      </c>
      <c r="D112" s="131">
        <f t="shared" si="9"/>
        <v>5368.7441546742648</v>
      </c>
      <c r="E112" s="131">
        <f t="shared" si="7"/>
        <v>17032.727980142903</v>
      </c>
      <c r="F112" s="131">
        <f t="shared" si="8"/>
        <v>2625605.0510638156</v>
      </c>
    </row>
    <row r="113" spans="1:6" x14ac:dyDescent="0.2">
      <c r="A113" s="134">
        <v>101</v>
      </c>
      <c r="B113" s="131">
        <f t="shared" si="5"/>
        <v>2625605.0510638156</v>
      </c>
      <c r="C113" s="131">
        <f t="shared" si="6"/>
        <v>11640.182393049581</v>
      </c>
      <c r="D113" s="131">
        <f t="shared" si="9"/>
        <v>5392.545587093322</v>
      </c>
      <c r="E113" s="131">
        <f t="shared" si="7"/>
        <v>17032.727980142903</v>
      </c>
      <c r="F113" s="131">
        <f t="shared" si="8"/>
        <v>2620212.5054767225</v>
      </c>
    </row>
    <row r="114" spans="1:6" x14ac:dyDescent="0.2">
      <c r="A114" s="134">
        <v>102</v>
      </c>
      <c r="B114" s="131">
        <f t="shared" si="5"/>
        <v>2620212.5054767225</v>
      </c>
      <c r="C114" s="131">
        <f t="shared" si="6"/>
        <v>11616.275440946803</v>
      </c>
      <c r="D114" s="131">
        <f t="shared" si="9"/>
        <v>5416.4525391960997</v>
      </c>
      <c r="E114" s="131">
        <f t="shared" si="7"/>
        <v>17032.727980142903</v>
      </c>
      <c r="F114" s="131">
        <f t="shared" si="8"/>
        <v>2614796.0529375263</v>
      </c>
    </row>
    <row r="115" spans="1:6" x14ac:dyDescent="0.2">
      <c r="A115" s="134">
        <v>103</v>
      </c>
      <c r="B115" s="131">
        <f t="shared" si="5"/>
        <v>2614796.0529375263</v>
      </c>
      <c r="C115" s="131">
        <f t="shared" si="6"/>
        <v>11592.262501356367</v>
      </c>
      <c r="D115" s="131">
        <f t="shared" si="9"/>
        <v>5440.4654787865366</v>
      </c>
      <c r="E115" s="131">
        <f t="shared" si="7"/>
        <v>17032.727980142903</v>
      </c>
      <c r="F115" s="131">
        <f t="shared" si="8"/>
        <v>2609355.5874587395</v>
      </c>
    </row>
    <row r="116" spans="1:6" x14ac:dyDescent="0.2">
      <c r="A116" s="134">
        <v>104</v>
      </c>
      <c r="B116" s="131">
        <f t="shared" si="5"/>
        <v>2609355.5874587395</v>
      </c>
      <c r="C116" s="131">
        <f t="shared" si="6"/>
        <v>11568.143104400411</v>
      </c>
      <c r="D116" s="131">
        <f t="shared" si="9"/>
        <v>5464.5848757424919</v>
      </c>
      <c r="E116" s="131">
        <f t="shared" si="7"/>
        <v>17032.727980142903</v>
      </c>
      <c r="F116" s="131">
        <f t="shared" si="8"/>
        <v>2603891.0025829971</v>
      </c>
    </row>
    <row r="117" spans="1:6" x14ac:dyDescent="0.2">
      <c r="A117" s="134">
        <v>105</v>
      </c>
      <c r="B117" s="131">
        <f t="shared" si="5"/>
        <v>2603891.0025829971</v>
      </c>
      <c r="C117" s="131">
        <f t="shared" si="6"/>
        <v>11543.916778117955</v>
      </c>
      <c r="D117" s="131">
        <f t="shared" si="9"/>
        <v>5488.8112020249482</v>
      </c>
      <c r="E117" s="131">
        <f t="shared" si="7"/>
        <v>17032.727980142903</v>
      </c>
      <c r="F117" s="131">
        <f t="shared" si="8"/>
        <v>2598402.191380972</v>
      </c>
    </row>
    <row r="118" spans="1:6" x14ac:dyDescent="0.2">
      <c r="A118" s="134">
        <v>106</v>
      </c>
      <c r="B118" s="131">
        <f t="shared" si="5"/>
        <v>2598402.191380972</v>
      </c>
      <c r="C118" s="131">
        <f t="shared" si="6"/>
        <v>11519.583048455643</v>
      </c>
      <c r="D118" s="131">
        <f t="shared" si="9"/>
        <v>5513.1449316872604</v>
      </c>
      <c r="E118" s="131">
        <f t="shared" si="7"/>
        <v>17032.727980142903</v>
      </c>
      <c r="F118" s="131">
        <f t="shared" si="8"/>
        <v>2592889.046449285</v>
      </c>
    </row>
    <row r="119" spans="1:6" x14ac:dyDescent="0.2">
      <c r="A119" s="134">
        <v>107</v>
      </c>
      <c r="B119" s="131">
        <f t="shared" si="5"/>
        <v>2592889.046449285</v>
      </c>
      <c r="C119" s="131">
        <f t="shared" si="6"/>
        <v>11495.141439258497</v>
      </c>
      <c r="D119" s="131">
        <f t="shared" si="9"/>
        <v>5537.5865408844056</v>
      </c>
      <c r="E119" s="131">
        <f t="shared" si="7"/>
        <v>17032.727980142903</v>
      </c>
      <c r="F119" s="131">
        <f t="shared" si="8"/>
        <v>2587351.4599084007</v>
      </c>
    </row>
    <row r="120" spans="1:6" x14ac:dyDescent="0.2">
      <c r="A120" s="134">
        <v>108</v>
      </c>
      <c r="B120" s="131">
        <f t="shared" si="5"/>
        <v>2587351.4599084007</v>
      </c>
      <c r="C120" s="131">
        <f t="shared" si="6"/>
        <v>11470.591472260576</v>
      </c>
      <c r="D120" s="131">
        <f t="shared" si="9"/>
        <v>5562.1365078823274</v>
      </c>
      <c r="E120" s="131">
        <f t="shared" si="7"/>
        <v>17032.727980142903</v>
      </c>
      <c r="F120" s="131">
        <f t="shared" si="8"/>
        <v>2581789.3234005184</v>
      </c>
    </row>
    <row r="121" spans="1:6" x14ac:dyDescent="0.2">
      <c r="A121" s="134">
        <v>109</v>
      </c>
      <c r="B121" s="131">
        <f t="shared" si="5"/>
        <v>2581789.3234005184</v>
      </c>
      <c r="C121" s="131">
        <f t="shared" si="6"/>
        <v>11445.932667075633</v>
      </c>
      <c r="D121" s="131">
        <f t="shared" si="9"/>
        <v>5586.7953130672704</v>
      </c>
      <c r="E121" s="131">
        <f t="shared" si="7"/>
        <v>17032.727980142903</v>
      </c>
      <c r="F121" s="131">
        <f t="shared" si="8"/>
        <v>2576202.5280874511</v>
      </c>
    </row>
    <row r="122" spans="1:6" x14ac:dyDescent="0.2">
      <c r="A122" s="134">
        <v>110</v>
      </c>
      <c r="B122" s="131">
        <f t="shared" si="5"/>
        <v>2576202.5280874511</v>
      </c>
      <c r="C122" s="131">
        <f t="shared" si="6"/>
        <v>11421.164541187698</v>
      </c>
      <c r="D122" s="131">
        <f t="shared" si="9"/>
        <v>5611.5634389552051</v>
      </c>
      <c r="E122" s="131">
        <f t="shared" si="7"/>
        <v>17032.727980142903</v>
      </c>
      <c r="F122" s="131">
        <f t="shared" si="8"/>
        <v>2570590.9646484959</v>
      </c>
    </row>
    <row r="123" spans="1:6" x14ac:dyDescent="0.2">
      <c r="A123" s="134">
        <v>111</v>
      </c>
      <c r="B123" s="131">
        <f t="shared" si="5"/>
        <v>2570590.9646484959</v>
      </c>
      <c r="C123" s="131">
        <f t="shared" si="6"/>
        <v>11396.286609941664</v>
      </c>
      <c r="D123" s="131">
        <f t="shared" si="9"/>
        <v>5636.4413702012389</v>
      </c>
      <c r="E123" s="131">
        <f t="shared" si="7"/>
        <v>17032.727980142903</v>
      </c>
      <c r="F123" s="131">
        <f t="shared" si="8"/>
        <v>2564954.5232782946</v>
      </c>
    </row>
    <row r="124" spans="1:6" x14ac:dyDescent="0.2">
      <c r="A124" s="134">
        <v>112</v>
      </c>
      <c r="B124" s="131">
        <f t="shared" si="5"/>
        <v>2564954.5232782946</v>
      </c>
      <c r="C124" s="131">
        <f t="shared" si="6"/>
        <v>11371.298386533772</v>
      </c>
      <c r="D124" s="131">
        <f t="shared" si="9"/>
        <v>5661.4295936091312</v>
      </c>
      <c r="E124" s="131">
        <f t="shared" si="7"/>
        <v>17032.727980142903</v>
      </c>
      <c r="F124" s="131">
        <f t="shared" si="8"/>
        <v>2559293.0936846854</v>
      </c>
    </row>
    <row r="125" spans="1:6" x14ac:dyDescent="0.2">
      <c r="A125" s="134">
        <v>113</v>
      </c>
      <c r="B125" s="131">
        <f t="shared" si="5"/>
        <v>2559293.0936846854</v>
      </c>
      <c r="C125" s="131">
        <f t="shared" si="6"/>
        <v>11346.199382002103</v>
      </c>
      <c r="D125" s="131">
        <f t="shared" si="9"/>
        <v>5686.5285981407997</v>
      </c>
      <c r="E125" s="131">
        <f t="shared" si="7"/>
        <v>17032.727980142903</v>
      </c>
      <c r="F125" s="131">
        <f t="shared" si="8"/>
        <v>2553606.5650865445</v>
      </c>
    </row>
    <row r="126" spans="1:6" x14ac:dyDescent="0.2">
      <c r="A126" s="134">
        <v>114</v>
      </c>
      <c r="B126" s="131">
        <f t="shared" si="5"/>
        <v>2553606.5650865445</v>
      </c>
      <c r="C126" s="131">
        <f t="shared" si="6"/>
        <v>11320.989105217013</v>
      </c>
      <c r="D126" s="131">
        <f t="shared" si="9"/>
        <v>5711.7388749258898</v>
      </c>
      <c r="E126" s="131">
        <f t="shared" si="7"/>
        <v>17032.727980142903</v>
      </c>
      <c r="F126" s="131">
        <f t="shared" si="8"/>
        <v>2547894.8262116187</v>
      </c>
    </row>
    <row r="127" spans="1:6" x14ac:dyDescent="0.2">
      <c r="A127" s="134">
        <v>115</v>
      </c>
      <c r="B127" s="131">
        <f t="shared" si="5"/>
        <v>2547894.8262116187</v>
      </c>
      <c r="C127" s="131">
        <f t="shared" si="6"/>
        <v>11295.667062871509</v>
      </c>
      <c r="D127" s="131">
        <f t="shared" si="9"/>
        <v>5737.0609172713939</v>
      </c>
      <c r="E127" s="131">
        <f t="shared" si="7"/>
        <v>17032.727980142903</v>
      </c>
      <c r="F127" s="131">
        <f t="shared" si="8"/>
        <v>2542157.7652943474</v>
      </c>
    </row>
    <row r="128" spans="1:6" x14ac:dyDescent="0.2">
      <c r="A128" s="134">
        <v>116</v>
      </c>
      <c r="B128" s="131">
        <f t="shared" si="5"/>
        <v>2542157.7652943474</v>
      </c>
      <c r="C128" s="131">
        <f t="shared" si="6"/>
        <v>11270.232759471606</v>
      </c>
      <c r="D128" s="131">
        <f t="shared" si="9"/>
        <v>5762.4952206712969</v>
      </c>
      <c r="E128" s="131">
        <f t="shared" si="7"/>
        <v>17032.727980142903</v>
      </c>
      <c r="F128" s="131">
        <f t="shared" si="8"/>
        <v>2536395.270073676</v>
      </c>
    </row>
    <row r="129" spans="1:7" x14ac:dyDescent="0.2">
      <c r="A129" s="134">
        <v>117</v>
      </c>
      <c r="B129" s="131">
        <f t="shared" si="5"/>
        <v>2536395.270073676</v>
      </c>
      <c r="C129" s="131">
        <f t="shared" si="6"/>
        <v>11244.685697326631</v>
      </c>
      <c r="D129" s="131">
        <f t="shared" si="9"/>
        <v>5788.0422828162718</v>
      </c>
      <c r="E129" s="131">
        <f t="shared" si="7"/>
        <v>17032.727980142903</v>
      </c>
      <c r="F129" s="131">
        <f t="shared" si="8"/>
        <v>2530607.2277908595</v>
      </c>
    </row>
    <row r="130" spans="1:7" x14ac:dyDescent="0.2">
      <c r="A130" s="134">
        <v>118</v>
      </c>
      <c r="B130" s="131">
        <f t="shared" si="5"/>
        <v>2530607.2277908595</v>
      </c>
      <c r="C130" s="131">
        <f t="shared" si="6"/>
        <v>11219.025376539475</v>
      </c>
      <c r="D130" s="131">
        <f t="shared" si="9"/>
        <v>5813.7026036034276</v>
      </c>
      <c r="E130" s="131">
        <f t="shared" si="7"/>
        <v>17032.727980142903</v>
      </c>
      <c r="F130" s="131">
        <f t="shared" si="8"/>
        <v>2524793.5251872563</v>
      </c>
    </row>
    <row r="131" spans="1:7" x14ac:dyDescent="0.2">
      <c r="A131" s="134">
        <v>119</v>
      </c>
      <c r="B131" s="131">
        <f t="shared" si="5"/>
        <v>2524793.5251872563</v>
      </c>
      <c r="C131" s="131">
        <f t="shared" si="6"/>
        <v>11193.251294996837</v>
      </c>
      <c r="D131" s="131">
        <f t="shared" si="9"/>
        <v>5839.4766851460663</v>
      </c>
      <c r="E131" s="131">
        <f t="shared" si="7"/>
        <v>17032.727980142903</v>
      </c>
      <c r="F131" s="131">
        <f t="shared" si="8"/>
        <v>2518954.0485021104</v>
      </c>
    </row>
    <row r="132" spans="1:7" x14ac:dyDescent="0.2">
      <c r="A132" s="134">
        <v>120</v>
      </c>
      <c r="B132" s="131">
        <f t="shared" si="5"/>
        <v>2518954.0485021104</v>
      </c>
      <c r="C132" s="131">
        <f t="shared" si="6"/>
        <v>11167.362948359356</v>
      </c>
      <c r="D132" s="131">
        <f t="shared" si="9"/>
        <v>5865.3650317835472</v>
      </c>
      <c r="E132" s="131">
        <f t="shared" si="7"/>
        <v>17032.727980142903</v>
      </c>
      <c r="F132" s="140">
        <f t="shared" si="8"/>
        <v>2513088.6834703269</v>
      </c>
      <c r="G132" t="s">
        <v>175</v>
      </c>
    </row>
    <row r="133" spans="1:7" x14ac:dyDescent="0.2">
      <c r="A133" s="134">
        <v>121</v>
      </c>
      <c r="B133" s="131">
        <f t="shared" si="5"/>
        <v>2513088.6834703269</v>
      </c>
      <c r="C133" s="131">
        <f t="shared" si="6"/>
        <v>11141.359830051782</v>
      </c>
      <c r="D133" s="131">
        <f t="shared" si="9"/>
        <v>5891.3681500911207</v>
      </c>
      <c r="E133" s="131">
        <f t="shared" si="7"/>
        <v>17032.727980142903</v>
      </c>
      <c r="F133" s="131">
        <f t="shared" si="8"/>
        <v>2507197.3153202357</v>
      </c>
    </row>
    <row r="134" spans="1:7" x14ac:dyDescent="0.2">
      <c r="A134" s="134">
        <v>122</v>
      </c>
      <c r="B134" s="131">
        <f t="shared" si="5"/>
        <v>2507197.3153202357</v>
      </c>
      <c r="C134" s="131">
        <f t="shared" si="6"/>
        <v>11115.241431253045</v>
      </c>
      <c r="D134" s="131">
        <f t="shared" si="9"/>
        <v>5917.4865488898577</v>
      </c>
      <c r="E134" s="131">
        <f t="shared" si="7"/>
        <v>17032.727980142903</v>
      </c>
      <c r="F134" s="131">
        <f t="shared" si="8"/>
        <v>2501279.8287713458</v>
      </c>
    </row>
    <row r="135" spans="1:7" x14ac:dyDescent="0.2">
      <c r="A135" s="134">
        <v>123</v>
      </c>
      <c r="B135" s="131">
        <f t="shared" si="5"/>
        <v>2501279.8287713458</v>
      </c>
      <c r="C135" s="131">
        <f t="shared" si="6"/>
        <v>11089.007240886298</v>
      </c>
      <c r="D135" s="131">
        <f t="shared" si="9"/>
        <v>5943.7207392566052</v>
      </c>
      <c r="E135" s="131">
        <f t="shared" si="7"/>
        <v>17032.727980142903</v>
      </c>
      <c r="F135" s="131">
        <f t="shared" si="8"/>
        <v>2495336.1080320892</v>
      </c>
    </row>
    <row r="136" spans="1:7" x14ac:dyDescent="0.2">
      <c r="A136" s="134">
        <v>124</v>
      </c>
      <c r="B136" s="131">
        <f t="shared" si="5"/>
        <v>2495336.1080320892</v>
      </c>
      <c r="C136" s="131">
        <f t="shared" si="6"/>
        <v>11062.656745608927</v>
      </c>
      <c r="D136" s="131">
        <f t="shared" si="9"/>
        <v>5970.0712345339762</v>
      </c>
      <c r="E136" s="131">
        <f t="shared" si="7"/>
        <v>17032.727980142903</v>
      </c>
      <c r="F136" s="131">
        <f t="shared" si="8"/>
        <v>2489366.0367975552</v>
      </c>
    </row>
    <row r="137" spans="1:7" x14ac:dyDescent="0.2">
      <c r="A137" s="134">
        <v>125</v>
      </c>
      <c r="B137" s="131">
        <f t="shared" si="5"/>
        <v>2489366.0367975552</v>
      </c>
      <c r="C137" s="131">
        <f t="shared" si="6"/>
        <v>11036.189429802494</v>
      </c>
      <c r="D137" s="131">
        <f t="shared" si="9"/>
        <v>5996.5385503404086</v>
      </c>
      <c r="E137" s="131">
        <f t="shared" si="7"/>
        <v>17032.727980142903</v>
      </c>
      <c r="F137" s="131">
        <f t="shared" si="8"/>
        <v>2483369.4982472146</v>
      </c>
    </row>
    <row r="138" spans="1:7" x14ac:dyDescent="0.2">
      <c r="A138" s="134">
        <v>126</v>
      </c>
      <c r="B138" s="131">
        <f t="shared" si="5"/>
        <v>2483369.4982472146</v>
      </c>
      <c r="C138" s="131">
        <f t="shared" si="6"/>
        <v>11009.60477556265</v>
      </c>
      <c r="D138" s="131">
        <f t="shared" si="9"/>
        <v>6023.1232045802535</v>
      </c>
      <c r="E138" s="131">
        <f t="shared" si="7"/>
        <v>17032.727980142903</v>
      </c>
      <c r="F138" s="131">
        <f t="shared" si="8"/>
        <v>2477346.3750426346</v>
      </c>
    </row>
    <row r="139" spans="1:7" x14ac:dyDescent="0.2">
      <c r="A139" s="134">
        <v>127</v>
      </c>
      <c r="B139" s="131">
        <f t="shared" si="5"/>
        <v>2477346.3750426346</v>
      </c>
      <c r="C139" s="131">
        <f t="shared" si="6"/>
        <v>10982.902262689013</v>
      </c>
      <c r="D139" s="131">
        <f t="shared" si="9"/>
        <v>6049.8257174538903</v>
      </c>
      <c r="E139" s="131">
        <f t="shared" si="7"/>
        <v>17032.727980142903</v>
      </c>
      <c r="F139" s="131">
        <f t="shared" si="8"/>
        <v>2471296.5493251807</v>
      </c>
    </row>
    <row r="140" spans="1:7" x14ac:dyDescent="0.2">
      <c r="A140" s="134">
        <v>128</v>
      </c>
      <c r="B140" s="131">
        <f t="shared" si="5"/>
        <v>2471296.5493251807</v>
      </c>
      <c r="C140" s="131">
        <f t="shared" si="6"/>
        <v>10956.081368674968</v>
      </c>
      <c r="D140" s="131">
        <f t="shared" si="9"/>
        <v>6076.6466114679351</v>
      </c>
      <c r="E140" s="131">
        <f t="shared" si="7"/>
        <v>17032.727980142903</v>
      </c>
      <c r="F140" s="131">
        <f t="shared" si="8"/>
        <v>2465219.9027137128</v>
      </c>
    </row>
    <row r="141" spans="1:7" x14ac:dyDescent="0.2">
      <c r="A141" s="134">
        <v>129</v>
      </c>
      <c r="B141" s="131">
        <f t="shared" si="5"/>
        <v>2465219.9027137128</v>
      </c>
      <c r="C141" s="131">
        <f t="shared" si="6"/>
        <v>10929.14156869746</v>
      </c>
      <c r="D141" s="131">
        <f t="shared" si="9"/>
        <v>6103.5864114454434</v>
      </c>
      <c r="E141" s="131">
        <f t="shared" si="7"/>
        <v>17032.727980142903</v>
      </c>
      <c r="F141" s="131">
        <f t="shared" si="8"/>
        <v>2459116.3163022674</v>
      </c>
    </row>
    <row r="142" spans="1:7" x14ac:dyDescent="0.2">
      <c r="A142" s="134">
        <v>130</v>
      </c>
      <c r="B142" s="131">
        <f t="shared" ref="B142:B205" si="10">F141</f>
        <v>2459116.3163022674</v>
      </c>
      <c r="C142" s="131">
        <f t="shared" ref="C142:C205" si="11">($B$3*B142)/$B$6</f>
        <v>10902.082335606718</v>
      </c>
      <c r="D142" s="131">
        <f t="shared" si="9"/>
        <v>6130.6456445361855</v>
      </c>
      <c r="E142" s="131">
        <f t="shared" ref="E142:E205" si="12">$B$7</f>
        <v>17032.727980142903</v>
      </c>
      <c r="F142" s="131">
        <f t="shared" ref="F142:F205" si="13">B142-D142</f>
        <v>2452985.6706577311</v>
      </c>
    </row>
    <row r="143" spans="1:7" x14ac:dyDescent="0.2">
      <c r="A143" s="134">
        <v>131</v>
      </c>
      <c r="B143" s="131">
        <f t="shared" si="10"/>
        <v>2452985.6706577311</v>
      </c>
      <c r="C143" s="131">
        <f t="shared" si="11"/>
        <v>10874.903139915941</v>
      </c>
      <c r="D143" s="131">
        <f t="shared" ref="D143:D206" si="14">E143-C143</f>
        <v>6157.8248402269619</v>
      </c>
      <c r="E143" s="131">
        <f t="shared" si="12"/>
        <v>17032.727980142903</v>
      </c>
      <c r="F143" s="131">
        <f t="shared" si="13"/>
        <v>2446827.845817504</v>
      </c>
    </row>
    <row r="144" spans="1:7" x14ac:dyDescent="0.2">
      <c r="A144" s="134">
        <v>132</v>
      </c>
      <c r="B144" s="131">
        <f t="shared" si="10"/>
        <v>2446827.845817504</v>
      </c>
      <c r="C144" s="131">
        <f t="shared" si="11"/>
        <v>10847.603449790933</v>
      </c>
      <c r="D144" s="131">
        <f t="shared" si="14"/>
        <v>6185.12453035197</v>
      </c>
      <c r="E144" s="131">
        <f t="shared" si="12"/>
        <v>17032.727980142903</v>
      </c>
      <c r="F144" s="131">
        <f t="shared" si="13"/>
        <v>2440642.7212871518</v>
      </c>
    </row>
    <row r="145" spans="1:6" x14ac:dyDescent="0.2">
      <c r="A145" s="134">
        <v>133</v>
      </c>
      <c r="B145" s="131">
        <f t="shared" si="10"/>
        <v>2440642.7212871518</v>
      </c>
      <c r="C145" s="131">
        <f t="shared" si="11"/>
        <v>10820.182731039706</v>
      </c>
      <c r="D145" s="131">
        <f t="shared" si="14"/>
        <v>6212.5452491031974</v>
      </c>
      <c r="E145" s="131">
        <f t="shared" si="12"/>
        <v>17032.727980142903</v>
      </c>
      <c r="F145" s="131">
        <f t="shared" si="13"/>
        <v>2434430.1760380487</v>
      </c>
    </row>
    <row r="146" spans="1:6" x14ac:dyDescent="0.2">
      <c r="A146" s="134">
        <v>134</v>
      </c>
      <c r="B146" s="131">
        <f t="shared" si="10"/>
        <v>2434430.1760380487</v>
      </c>
      <c r="C146" s="131">
        <f t="shared" si="11"/>
        <v>10792.640447102016</v>
      </c>
      <c r="D146" s="131">
        <f t="shared" si="14"/>
        <v>6240.0875330408871</v>
      </c>
      <c r="E146" s="131">
        <f t="shared" si="12"/>
        <v>17032.727980142903</v>
      </c>
      <c r="F146" s="131">
        <f t="shared" si="13"/>
        <v>2428190.0885050078</v>
      </c>
    </row>
    <row r="147" spans="1:6" x14ac:dyDescent="0.2">
      <c r="A147" s="134">
        <v>135</v>
      </c>
      <c r="B147" s="131">
        <f t="shared" si="10"/>
        <v>2428190.0885050078</v>
      </c>
      <c r="C147" s="131">
        <f t="shared" si="11"/>
        <v>10764.976059038867</v>
      </c>
      <c r="D147" s="131">
        <f t="shared" si="14"/>
        <v>6267.7519211040362</v>
      </c>
      <c r="E147" s="131">
        <f t="shared" si="12"/>
        <v>17032.727980142903</v>
      </c>
      <c r="F147" s="131">
        <f t="shared" si="13"/>
        <v>2421922.3365839035</v>
      </c>
    </row>
    <row r="148" spans="1:6" x14ac:dyDescent="0.2">
      <c r="A148" s="134">
        <v>136</v>
      </c>
      <c r="B148" s="131">
        <f t="shared" si="10"/>
        <v>2421922.3365839035</v>
      </c>
      <c r="C148" s="131">
        <f t="shared" si="11"/>
        <v>10737.189025521971</v>
      </c>
      <c r="D148" s="131">
        <f t="shared" si="14"/>
        <v>6295.5389546209317</v>
      </c>
      <c r="E148" s="131">
        <f t="shared" si="12"/>
        <v>17032.727980142903</v>
      </c>
      <c r="F148" s="131">
        <f t="shared" si="13"/>
        <v>2415626.7976292828</v>
      </c>
    </row>
    <row r="149" spans="1:6" x14ac:dyDescent="0.2">
      <c r="A149" s="134">
        <v>137</v>
      </c>
      <c r="B149" s="131">
        <f t="shared" si="10"/>
        <v>2415626.7976292828</v>
      </c>
      <c r="C149" s="131">
        <f t="shared" si="11"/>
        <v>10709.278802823153</v>
      </c>
      <c r="D149" s="131">
        <f t="shared" si="14"/>
        <v>6323.4491773197497</v>
      </c>
      <c r="E149" s="131">
        <f t="shared" si="12"/>
        <v>17032.727980142903</v>
      </c>
      <c r="F149" s="131">
        <f t="shared" si="13"/>
        <v>2409303.3484519632</v>
      </c>
    </row>
    <row r="150" spans="1:6" x14ac:dyDescent="0.2">
      <c r="A150" s="134">
        <v>138</v>
      </c>
      <c r="B150" s="131">
        <f t="shared" si="10"/>
        <v>2409303.3484519632</v>
      </c>
      <c r="C150" s="131">
        <f t="shared" si="11"/>
        <v>10681.244844803703</v>
      </c>
      <c r="D150" s="131">
        <f t="shared" si="14"/>
        <v>6351.4831353392001</v>
      </c>
      <c r="E150" s="131">
        <f t="shared" si="12"/>
        <v>17032.727980142903</v>
      </c>
      <c r="F150" s="131">
        <f t="shared" si="13"/>
        <v>2402951.8653166238</v>
      </c>
    </row>
    <row r="151" spans="1:6" x14ac:dyDescent="0.2">
      <c r="A151" s="134">
        <v>139</v>
      </c>
      <c r="B151" s="131">
        <f t="shared" si="10"/>
        <v>2402951.8653166238</v>
      </c>
      <c r="C151" s="131">
        <f t="shared" si="11"/>
        <v>10653.086602903699</v>
      </c>
      <c r="D151" s="131">
        <f t="shared" si="14"/>
        <v>6379.6413772392043</v>
      </c>
      <c r="E151" s="131">
        <f t="shared" si="12"/>
        <v>17032.727980142903</v>
      </c>
      <c r="F151" s="131">
        <f t="shared" si="13"/>
        <v>2396572.2239393848</v>
      </c>
    </row>
    <row r="152" spans="1:6" x14ac:dyDescent="0.2">
      <c r="A152" s="134">
        <v>140</v>
      </c>
      <c r="B152" s="131">
        <f t="shared" si="10"/>
        <v>2396572.2239393848</v>
      </c>
      <c r="C152" s="131">
        <f t="shared" si="11"/>
        <v>10624.803526131273</v>
      </c>
      <c r="D152" s="131">
        <f t="shared" si="14"/>
        <v>6407.9244540116306</v>
      </c>
      <c r="E152" s="131">
        <f t="shared" si="12"/>
        <v>17032.727980142903</v>
      </c>
      <c r="F152" s="131">
        <f t="shared" si="13"/>
        <v>2390164.2994853733</v>
      </c>
    </row>
    <row r="153" spans="1:6" x14ac:dyDescent="0.2">
      <c r="A153" s="134">
        <v>141</v>
      </c>
      <c r="B153" s="131">
        <f t="shared" si="10"/>
        <v>2390164.2994853733</v>
      </c>
      <c r="C153" s="131">
        <f t="shared" si="11"/>
        <v>10596.39506105182</v>
      </c>
      <c r="D153" s="131">
        <f t="shared" si="14"/>
        <v>6436.3329190910827</v>
      </c>
      <c r="E153" s="131">
        <f t="shared" si="12"/>
        <v>17032.727980142903</v>
      </c>
      <c r="F153" s="131">
        <f t="shared" si="13"/>
        <v>2383727.9665662823</v>
      </c>
    </row>
    <row r="154" spans="1:6" x14ac:dyDescent="0.2">
      <c r="A154" s="134">
        <v>142</v>
      </c>
      <c r="B154" s="131">
        <f t="shared" si="10"/>
        <v>2383727.9665662823</v>
      </c>
      <c r="C154" s="131">
        <f t="shared" si="11"/>
        <v>10567.860651777184</v>
      </c>
      <c r="D154" s="131">
        <f t="shared" si="14"/>
        <v>6464.867328365719</v>
      </c>
      <c r="E154" s="131">
        <f t="shared" si="12"/>
        <v>17032.727980142903</v>
      </c>
      <c r="F154" s="131">
        <f t="shared" si="13"/>
        <v>2377263.0992379165</v>
      </c>
    </row>
    <row r="155" spans="1:6" x14ac:dyDescent="0.2">
      <c r="A155" s="134">
        <v>143</v>
      </c>
      <c r="B155" s="131">
        <f t="shared" si="10"/>
        <v>2377263.0992379165</v>
      </c>
      <c r="C155" s="131">
        <f t="shared" si="11"/>
        <v>10539.199739954764</v>
      </c>
      <c r="D155" s="131">
        <f t="shared" si="14"/>
        <v>6493.5282401881395</v>
      </c>
      <c r="E155" s="131">
        <f t="shared" si="12"/>
        <v>17032.727980142903</v>
      </c>
      <c r="F155" s="131">
        <f t="shared" si="13"/>
        <v>2370769.5709977285</v>
      </c>
    </row>
    <row r="156" spans="1:6" x14ac:dyDescent="0.2">
      <c r="A156" s="134">
        <v>144</v>
      </c>
      <c r="B156" s="131">
        <f t="shared" si="10"/>
        <v>2370769.5709977285</v>
      </c>
      <c r="C156" s="131">
        <f t="shared" si="11"/>
        <v>10510.411764756596</v>
      </c>
      <c r="D156" s="131">
        <f t="shared" si="14"/>
        <v>6522.3162153863068</v>
      </c>
      <c r="E156" s="131">
        <f t="shared" si="12"/>
        <v>17032.727980142903</v>
      </c>
      <c r="F156" s="131">
        <f t="shared" si="13"/>
        <v>2364247.2547823424</v>
      </c>
    </row>
    <row r="157" spans="1:6" x14ac:dyDescent="0.2">
      <c r="A157" s="134">
        <v>145</v>
      </c>
      <c r="B157" s="131">
        <f t="shared" si="10"/>
        <v>2364247.2547823424</v>
      </c>
      <c r="C157" s="131">
        <f t="shared" si="11"/>
        <v>10481.496162868383</v>
      </c>
      <c r="D157" s="131">
        <f t="shared" si="14"/>
        <v>6551.2318172745199</v>
      </c>
      <c r="E157" s="131">
        <f t="shared" si="12"/>
        <v>17032.727980142903</v>
      </c>
      <c r="F157" s="131">
        <f t="shared" si="13"/>
        <v>2357696.022965068</v>
      </c>
    </row>
    <row r="158" spans="1:6" x14ac:dyDescent="0.2">
      <c r="A158" s="134">
        <v>146</v>
      </c>
      <c r="B158" s="131">
        <f t="shared" si="10"/>
        <v>2357696.022965068</v>
      </c>
      <c r="C158" s="131">
        <f t="shared" si="11"/>
        <v>10452.452368478467</v>
      </c>
      <c r="D158" s="131">
        <f t="shared" si="14"/>
        <v>6580.2756116644359</v>
      </c>
      <c r="E158" s="131">
        <f t="shared" si="12"/>
        <v>17032.727980142903</v>
      </c>
      <c r="F158" s="131">
        <f t="shared" si="13"/>
        <v>2351115.7473534034</v>
      </c>
    </row>
    <row r="159" spans="1:6" x14ac:dyDescent="0.2">
      <c r="A159" s="134">
        <v>147</v>
      </c>
      <c r="B159" s="131">
        <f t="shared" si="10"/>
        <v>2351115.7473534034</v>
      </c>
      <c r="C159" s="131">
        <f t="shared" si="11"/>
        <v>10423.279813266754</v>
      </c>
      <c r="D159" s="131">
        <f t="shared" si="14"/>
        <v>6609.4481668761491</v>
      </c>
      <c r="E159" s="131">
        <f t="shared" si="12"/>
        <v>17032.727980142903</v>
      </c>
      <c r="F159" s="131">
        <f t="shared" si="13"/>
        <v>2344506.2991865273</v>
      </c>
    </row>
    <row r="160" spans="1:6" x14ac:dyDescent="0.2">
      <c r="A160" s="134">
        <v>148</v>
      </c>
      <c r="B160" s="131">
        <f t="shared" si="10"/>
        <v>2344506.2991865273</v>
      </c>
      <c r="C160" s="131">
        <f t="shared" si="11"/>
        <v>10393.977926393603</v>
      </c>
      <c r="D160" s="131">
        <f t="shared" si="14"/>
        <v>6638.7500537492997</v>
      </c>
      <c r="E160" s="131">
        <f t="shared" si="12"/>
        <v>17032.727980142903</v>
      </c>
      <c r="F160" s="131">
        <f t="shared" si="13"/>
        <v>2337867.5491327778</v>
      </c>
    </row>
    <row r="161" spans="1:6" x14ac:dyDescent="0.2">
      <c r="A161" s="134">
        <v>149</v>
      </c>
      <c r="B161" s="131">
        <f t="shared" si="10"/>
        <v>2337867.5491327778</v>
      </c>
      <c r="C161" s="131">
        <f t="shared" si="11"/>
        <v>10364.546134488648</v>
      </c>
      <c r="D161" s="131">
        <f t="shared" si="14"/>
        <v>6668.1818456542551</v>
      </c>
      <c r="E161" s="131">
        <f t="shared" si="12"/>
        <v>17032.727980142903</v>
      </c>
      <c r="F161" s="131">
        <f t="shared" si="13"/>
        <v>2331199.3672871236</v>
      </c>
    </row>
    <row r="162" spans="1:6" x14ac:dyDescent="0.2">
      <c r="A162" s="134">
        <v>150</v>
      </c>
      <c r="B162" s="131">
        <f t="shared" si="10"/>
        <v>2331199.3672871236</v>
      </c>
      <c r="C162" s="131">
        <f t="shared" si="11"/>
        <v>10334.983861639581</v>
      </c>
      <c r="D162" s="131">
        <f t="shared" si="14"/>
        <v>6697.7441185033222</v>
      </c>
      <c r="E162" s="131">
        <f t="shared" si="12"/>
        <v>17032.727980142903</v>
      </c>
      <c r="F162" s="131">
        <f t="shared" si="13"/>
        <v>2324501.6231686203</v>
      </c>
    </row>
    <row r="163" spans="1:6" x14ac:dyDescent="0.2">
      <c r="A163" s="134">
        <v>151</v>
      </c>
      <c r="B163" s="131">
        <f t="shared" si="10"/>
        <v>2324501.6231686203</v>
      </c>
      <c r="C163" s="131">
        <f t="shared" si="11"/>
        <v>10305.290529380882</v>
      </c>
      <c r="D163" s="131">
        <f t="shared" si="14"/>
        <v>6727.4374507620214</v>
      </c>
      <c r="E163" s="131">
        <f t="shared" si="12"/>
        <v>17032.727980142903</v>
      </c>
      <c r="F163" s="131">
        <f t="shared" si="13"/>
        <v>2317774.1857178584</v>
      </c>
    </row>
    <row r="164" spans="1:6" x14ac:dyDescent="0.2">
      <c r="A164" s="134">
        <v>152</v>
      </c>
      <c r="B164" s="131">
        <f t="shared" si="10"/>
        <v>2317774.1857178584</v>
      </c>
      <c r="C164" s="131">
        <f t="shared" si="11"/>
        <v>10275.465556682504</v>
      </c>
      <c r="D164" s="131">
        <f t="shared" si="14"/>
        <v>6757.2624234603991</v>
      </c>
      <c r="E164" s="131">
        <f t="shared" si="12"/>
        <v>17032.727980142903</v>
      </c>
      <c r="F164" s="131">
        <f t="shared" si="13"/>
        <v>2311016.923294398</v>
      </c>
    </row>
    <row r="165" spans="1:6" x14ac:dyDescent="0.2">
      <c r="A165" s="134">
        <v>153</v>
      </c>
      <c r="B165" s="131">
        <f t="shared" si="10"/>
        <v>2311016.923294398</v>
      </c>
      <c r="C165" s="131">
        <f t="shared" si="11"/>
        <v>10245.508359938498</v>
      </c>
      <c r="D165" s="131">
        <f t="shared" si="14"/>
        <v>6787.2196202044051</v>
      </c>
      <c r="E165" s="131">
        <f t="shared" si="12"/>
        <v>17032.727980142903</v>
      </c>
      <c r="F165" s="131">
        <f t="shared" si="13"/>
        <v>2304229.7036741935</v>
      </c>
    </row>
    <row r="166" spans="1:6" x14ac:dyDescent="0.2">
      <c r="A166" s="134">
        <v>154</v>
      </c>
      <c r="B166" s="131">
        <f t="shared" si="10"/>
        <v>2304229.7036741935</v>
      </c>
      <c r="C166" s="131">
        <f t="shared" si="11"/>
        <v>10215.41835295559</v>
      </c>
      <c r="D166" s="131">
        <f t="shared" si="14"/>
        <v>6817.3096271873128</v>
      </c>
      <c r="E166" s="131">
        <f t="shared" si="12"/>
        <v>17032.727980142903</v>
      </c>
      <c r="F166" s="131">
        <f t="shared" si="13"/>
        <v>2297412.394047006</v>
      </c>
    </row>
    <row r="167" spans="1:6" x14ac:dyDescent="0.2">
      <c r="A167" s="134">
        <v>155</v>
      </c>
      <c r="B167" s="131">
        <f t="shared" si="10"/>
        <v>2297412.394047006</v>
      </c>
      <c r="C167" s="131">
        <f t="shared" si="11"/>
        <v>10185.194946941727</v>
      </c>
      <c r="D167" s="131">
        <f t="shared" si="14"/>
        <v>6847.5330332011763</v>
      </c>
      <c r="E167" s="131">
        <f t="shared" si="12"/>
        <v>17032.727980142903</v>
      </c>
      <c r="F167" s="131">
        <f t="shared" si="13"/>
        <v>2290564.861013805</v>
      </c>
    </row>
    <row r="168" spans="1:6" x14ac:dyDescent="0.2">
      <c r="A168" s="134">
        <v>156</v>
      </c>
      <c r="B168" s="131">
        <f t="shared" si="10"/>
        <v>2290564.861013805</v>
      </c>
      <c r="C168" s="131">
        <f t="shared" si="11"/>
        <v>10154.837550494534</v>
      </c>
      <c r="D168" s="131">
        <f t="shared" si="14"/>
        <v>6877.8904296483688</v>
      </c>
      <c r="E168" s="131">
        <f t="shared" si="12"/>
        <v>17032.727980142903</v>
      </c>
      <c r="F168" s="131">
        <f t="shared" si="13"/>
        <v>2283686.9705841565</v>
      </c>
    </row>
    <row r="169" spans="1:6" x14ac:dyDescent="0.2">
      <c r="A169" s="134">
        <v>157</v>
      </c>
      <c r="B169" s="131">
        <f t="shared" si="10"/>
        <v>2283686.9705841565</v>
      </c>
      <c r="C169" s="131">
        <f t="shared" si="11"/>
        <v>10124.345569589759</v>
      </c>
      <c r="D169" s="131">
        <f t="shared" si="14"/>
        <v>6908.3824105531439</v>
      </c>
      <c r="E169" s="131">
        <f t="shared" si="12"/>
        <v>17032.727980142903</v>
      </c>
      <c r="F169" s="131">
        <f t="shared" si="13"/>
        <v>2276778.5881736032</v>
      </c>
    </row>
    <row r="170" spans="1:6" x14ac:dyDescent="0.2">
      <c r="A170" s="134">
        <v>158</v>
      </c>
      <c r="B170" s="131">
        <f t="shared" si="10"/>
        <v>2276778.5881736032</v>
      </c>
      <c r="C170" s="131">
        <f t="shared" si="11"/>
        <v>10093.71840756964</v>
      </c>
      <c r="D170" s="131">
        <f t="shared" si="14"/>
        <v>6939.0095725732626</v>
      </c>
      <c r="E170" s="131">
        <f t="shared" si="12"/>
        <v>17032.727980142903</v>
      </c>
      <c r="F170" s="131">
        <f t="shared" si="13"/>
        <v>2269839.5786010297</v>
      </c>
    </row>
    <row r="171" spans="1:6" x14ac:dyDescent="0.2">
      <c r="A171" s="134">
        <v>159</v>
      </c>
      <c r="B171" s="131">
        <f t="shared" si="10"/>
        <v>2269839.5786010297</v>
      </c>
      <c r="C171" s="131">
        <f t="shared" si="11"/>
        <v>10062.95546513123</v>
      </c>
      <c r="D171" s="131">
        <f t="shared" si="14"/>
        <v>6969.772515011673</v>
      </c>
      <c r="E171" s="131">
        <f t="shared" si="12"/>
        <v>17032.727980142903</v>
      </c>
      <c r="F171" s="131">
        <f t="shared" si="13"/>
        <v>2262869.8060860182</v>
      </c>
    </row>
    <row r="172" spans="1:6" x14ac:dyDescent="0.2">
      <c r="A172" s="134">
        <v>160</v>
      </c>
      <c r="B172" s="131">
        <f t="shared" si="10"/>
        <v>2262869.8060860182</v>
      </c>
      <c r="C172" s="131">
        <f t="shared" si="11"/>
        <v>10032.05614031468</v>
      </c>
      <c r="D172" s="131">
        <f t="shared" si="14"/>
        <v>7000.6718398282228</v>
      </c>
      <c r="E172" s="131">
        <f t="shared" si="12"/>
        <v>17032.727980142903</v>
      </c>
      <c r="F172" s="131">
        <f t="shared" si="13"/>
        <v>2255869.1342461901</v>
      </c>
    </row>
    <row r="173" spans="1:6" x14ac:dyDescent="0.2">
      <c r="A173" s="134">
        <v>161</v>
      </c>
      <c r="B173" s="131">
        <f t="shared" si="10"/>
        <v>2255869.1342461901</v>
      </c>
      <c r="C173" s="131">
        <f t="shared" si="11"/>
        <v>10001.019828491442</v>
      </c>
      <c r="D173" s="131">
        <f t="shared" si="14"/>
        <v>7031.7081516514609</v>
      </c>
      <c r="E173" s="131">
        <f t="shared" si="12"/>
        <v>17032.727980142903</v>
      </c>
      <c r="F173" s="131">
        <f t="shared" si="13"/>
        <v>2248837.4260945385</v>
      </c>
    </row>
    <row r="174" spans="1:6" x14ac:dyDescent="0.2">
      <c r="A174" s="134">
        <v>162</v>
      </c>
      <c r="B174" s="131">
        <f t="shared" si="10"/>
        <v>2248837.4260945385</v>
      </c>
      <c r="C174" s="131">
        <f t="shared" si="11"/>
        <v>9969.8459223524533</v>
      </c>
      <c r="D174" s="131">
        <f t="shared" si="14"/>
        <v>7062.8820577904498</v>
      </c>
      <c r="E174" s="131">
        <f t="shared" si="12"/>
        <v>17032.727980142903</v>
      </c>
      <c r="F174" s="131">
        <f t="shared" si="13"/>
        <v>2241774.5440367479</v>
      </c>
    </row>
    <row r="175" spans="1:6" x14ac:dyDescent="0.2">
      <c r="A175" s="134">
        <v>163</v>
      </c>
      <c r="B175" s="131">
        <f t="shared" si="10"/>
        <v>2241774.5440367479</v>
      </c>
      <c r="C175" s="131">
        <f t="shared" si="11"/>
        <v>9938.5338118962482</v>
      </c>
      <c r="D175" s="131">
        <f t="shared" si="14"/>
        <v>7094.194168246655</v>
      </c>
      <c r="E175" s="131">
        <f t="shared" si="12"/>
        <v>17032.727980142903</v>
      </c>
      <c r="F175" s="131">
        <f t="shared" si="13"/>
        <v>2234680.3498685011</v>
      </c>
    </row>
    <row r="176" spans="1:6" x14ac:dyDescent="0.2">
      <c r="A176" s="134">
        <v>164</v>
      </c>
      <c r="B176" s="131">
        <f t="shared" si="10"/>
        <v>2234680.3498685011</v>
      </c>
      <c r="C176" s="131">
        <f t="shared" si="11"/>
        <v>9907.082884417021</v>
      </c>
      <c r="D176" s="131">
        <f t="shared" si="14"/>
        <v>7125.6450957258821</v>
      </c>
      <c r="E176" s="131">
        <f t="shared" si="12"/>
        <v>17032.727980142903</v>
      </c>
      <c r="F176" s="131">
        <f t="shared" si="13"/>
        <v>2227554.7047727751</v>
      </c>
    </row>
    <row r="177" spans="1:6" x14ac:dyDescent="0.2">
      <c r="A177" s="134">
        <v>165</v>
      </c>
      <c r="B177" s="131">
        <f t="shared" si="10"/>
        <v>2227554.7047727751</v>
      </c>
      <c r="C177" s="131">
        <f t="shared" si="11"/>
        <v>9875.4925244926362</v>
      </c>
      <c r="D177" s="131">
        <f t="shared" si="14"/>
        <v>7157.2354556502669</v>
      </c>
      <c r="E177" s="131">
        <f t="shared" si="12"/>
        <v>17032.727980142903</v>
      </c>
      <c r="F177" s="131">
        <f t="shared" si="13"/>
        <v>2220397.4693171247</v>
      </c>
    </row>
    <row r="178" spans="1:6" x14ac:dyDescent="0.2">
      <c r="A178" s="134">
        <v>166</v>
      </c>
      <c r="B178" s="131">
        <f t="shared" si="10"/>
        <v>2220397.4693171247</v>
      </c>
      <c r="C178" s="131">
        <f t="shared" si="11"/>
        <v>9843.7621139725852</v>
      </c>
      <c r="D178" s="131">
        <f t="shared" si="14"/>
        <v>7188.9658661703179</v>
      </c>
      <c r="E178" s="131">
        <f t="shared" si="12"/>
        <v>17032.727980142903</v>
      </c>
      <c r="F178" s="131">
        <f t="shared" si="13"/>
        <v>2213208.5034509543</v>
      </c>
    </row>
    <row r="179" spans="1:6" x14ac:dyDescent="0.2">
      <c r="A179" s="134">
        <v>167</v>
      </c>
      <c r="B179" s="131">
        <f t="shared" si="10"/>
        <v>2213208.5034509543</v>
      </c>
      <c r="C179" s="131">
        <f t="shared" si="11"/>
        <v>9811.8910319658971</v>
      </c>
      <c r="D179" s="131">
        <f t="shared" si="14"/>
        <v>7220.836948177006</v>
      </c>
      <c r="E179" s="131">
        <f t="shared" si="12"/>
        <v>17032.727980142903</v>
      </c>
      <c r="F179" s="131">
        <f t="shared" si="13"/>
        <v>2205987.6665027775</v>
      </c>
    </row>
    <row r="180" spans="1:6" x14ac:dyDescent="0.2">
      <c r="A180" s="134">
        <v>168</v>
      </c>
      <c r="B180" s="131">
        <f t="shared" si="10"/>
        <v>2205987.6665027775</v>
      </c>
      <c r="C180" s="131">
        <f t="shared" si="11"/>
        <v>9779.8786548289809</v>
      </c>
      <c r="D180" s="131">
        <f t="shared" si="14"/>
        <v>7252.8493253139222</v>
      </c>
      <c r="E180" s="131">
        <f t="shared" si="12"/>
        <v>17032.727980142903</v>
      </c>
      <c r="F180" s="131">
        <f t="shared" si="13"/>
        <v>2198734.8171774638</v>
      </c>
    </row>
    <row r="181" spans="1:6" x14ac:dyDescent="0.2">
      <c r="A181" s="134">
        <v>169</v>
      </c>
      <c r="B181" s="131">
        <f t="shared" si="10"/>
        <v>2198734.8171774638</v>
      </c>
      <c r="C181" s="131">
        <f t="shared" si="11"/>
        <v>9747.7243561534215</v>
      </c>
      <c r="D181" s="131">
        <f t="shared" si="14"/>
        <v>7285.0036239894816</v>
      </c>
      <c r="E181" s="131">
        <f t="shared" si="12"/>
        <v>17032.727980142903</v>
      </c>
      <c r="F181" s="131">
        <f t="shared" si="13"/>
        <v>2191449.8135534744</v>
      </c>
    </row>
    <row r="182" spans="1:6" x14ac:dyDescent="0.2">
      <c r="A182" s="134">
        <v>170</v>
      </c>
      <c r="B182" s="131">
        <f t="shared" si="10"/>
        <v>2191449.8135534744</v>
      </c>
      <c r="C182" s="131">
        <f t="shared" si="11"/>
        <v>9715.4275067537365</v>
      </c>
      <c r="D182" s="131">
        <f t="shared" si="14"/>
        <v>7317.3004733891667</v>
      </c>
      <c r="E182" s="131">
        <f t="shared" si="12"/>
        <v>17032.727980142903</v>
      </c>
      <c r="F182" s="131">
        <f t="shared" si="13"/>
        <v>2184132.5130800852</v>
      </c>
    </row>
    <row r="183" spans="1:6" x14ac:dyDescent="0.2">
      <c r="A183" s="134">
        <v>171</v>
      </c>
      <c r="B183" s="131">
        <f t="shared" si="10"/>
        <v>2184132.5130800852</v>
      </c>
      <c r="C183" s="131">
        <f t="shared" si="11"/>
        <v>9682.9874746550431</v>
      </c>
      <c r="D183" s="131">
        <f t="shared" si="14"/>
        <v>7349.74050548786</v>
      </c>
      <c r="E183" s="131">
        <f t="shared" si="12"/>
        <v>17032.727980142903</v>
      </c>
      <c r="F183" s="131">
        <f t="shared" si="13"/>
        <v>2176782.7725745975</v>
      </c>
    </row>
    <row r="184" spans="1:6" x14ac:dyDescent="0.2">
      <c r="A184" s="134">
        <v>172</v>
      </c>
      <c r="B184" s="131">
        <f t="shared" si="10"/>
        <v>2176782.7725745975</v>
      </c>
      <c r="C184" s="131">
        <f t="shared" si="11"/>
        <v>9650.4036250807148</v>
      </c>
      <c r="D184" s="131">
        <f t="shared" si="14"/>
        <v>7382.3243550621883</v>
      </c>
      <c r="E184" s="131">
        <f t="shared" si="12"/>
        <v>17032.727980142903</v>
      </c>
      <c r="F184" s="131">
        <f t="shared" si="13"/>
        <v>2169400.4482195354</v>
      </c>
    </row>
    <row r="185" spans="1:6" x14ac:dyDescent="0.2">
      <c r="A185" s="134">
        <v>173</v>
      </c>
      <c r="B185" s="131">
        <f t="shared" si="10"/>
        <v>2169400.4482195354</v>
      </c>
      <c r="C185" s="131">
        <f t="shared" si="11"/>
        <v>9617.6753204399392</v>
      </c>
      <c r="D185" s="131">
        <f t="shared" si="14"/>
        <v>7415.0526597029639</v>
      </c>
      <c r="E185" s="131">
        <f t="shared" si="12"/>
        <v>17032.727980142903</v>
      </c>
      <c r="F185" s="131">
        <f t="shared" si="13"/>
        <v>2161985.3955598325</v>
      </c>
    </row>
    <row r="186" spans="1:6" x14ac:dyDescent="0.2">
      <c r="A186" s="134">
        <v>174</v>
      </c>
      <c r="B186" s="131">
        <f t="shared" si="10"/>
        <v>2161985.3955598325</v>
      </c>
      <c r="C186" s="131">
        <f t="shared" si="11"/>
        <v>9584.8019203152562</v>
      </c>
      <c r="D186" s="131">
        <f t="shared" si="14"/>
        <v>7447.9260598276469</v>
      </c>
      <c r="E186" s="131">
        <f t="shared" si="12"/>
        <v>17032.727980142903</v>
      </c>
      <c r="F186" s="131">
        <f t="shared" si="13"/>
        <v>2154537.4695000048</v>
      </c>
    </row>
    <row r="187" spans="1:6" x14ac:dyDescent="0.2">
      <c r="A187" s="134">
        <v>175</v>
      </c>
      <c r="B187" s="131">
        <f t="shared" si="10"/>
        <v>2154537.4695000048</v>
      </c>
      <c r="C187" s="131">
        <f t="shared" si="11"/>
        <v>9551.7827814500215</v>
      </c>
      <c r="D187" s="131">
        <f t="shared" si="14"/>
        <v>7480.9451986928816</v>
      </c>
      <c r="E187" s="131">
        <f t="shared" si="12"/>
        <v>17032.727980142903</v>
      </c>
      <c r="F187" s="131">
        <f t="shared" si="13"/>
        <v>2147056.5243013119</v>
      </c>
    </row>
    <row r="188" spans="1:6" x14ac:dyDescent="0.2">
      <c r="A188" s="134">
        <v>176</v>
      </c>
      <c r="B188" s="131">
        <f t="shared" si="10"/>
        <v>2147056.5243013119</v>
      </c>
      <c r="C188" s="131">
        <f t="shared" si="11"/>
        <v>9518.6172577358157</v>
      </c>
      <c r="D188" s="131">
        <f t="shared" si="14"/>
        <v>7514.1107224070875</v>
      </c>
      <c r="E188" s="131">
        <f t="shared" si="12"/>
        <v>17032.727980142903</v>
      </c>
      <c r="F188" s="131">
        <f t="shared" si="13"/>
        <v>2139542.4135789047</v>
      </c>
    </row>
    <row r="189" spans="1:6" x14ac:dyDescent="0.2">
      <c r="A189" s="134">
        <v>177</v>
      </c>
      <c r="B189" s="131">
        <f t="shared" si="10"/>
        <v>2139542.4135789047</v>
      </c>
      <c r="C189" s="131">
        <f t="shared" si="11"/>
        <v>9485.3047001998111</v>
      </c>
      <c r="D189" s="131">
        <f t="shared" si="14"/>
        <v>7547.423279943092</v>
      </c>
      <c r="E189" s="131">
        <f t="shared" si="12"/>
        <v>17032.727980142903</v>
      </c>
      <c r="F189" s="131">
        <f t="shared" si="13"/>
        <v>2131994.9902989618</v>
      </c>
    </row>
    <row r="190" spans="1:6" x14ac:dyDescent="0.2">
      <c r="A190" s="134">
        <v>178</v>
      </c>
      <c r="B190" s="131">
        <f t="shared" si="10"/>
        <v>2131994.9902989618</v>
      </c>
      <c r="C190" s="131">
        <f t="shared" si="11"/>
        <v>9451.844456992063</v>
      </c>
      <c r="D190" s="131">
        <f t="shared" si="14"/>
        <v>7580.8835231508401</v>
      </c>
      <c r="E190" s="131">
        <f t="shared" si="12"/>
        <v>17032.727980142903</v>
      </c>
      <c r="F190" s="131">
        <f t="shared" si="13"/>
        <v>2124414.1067758109</v>
      </c>
    </row>
    <row r="191" spans="1:6" x14ac:dyDescent="0.2">
      <c r="A191" s="134">
        <v>179</v>
      </c>
      <c r="B191" s="131">
        <f t="shared" si="10"/>
        <v>2124414.1067758109</v>
      </c>
      <c r="C191" s="131">
        <f t="shared" si="11"/>
        <v>9418.2358733727615</v>
      </c>
      <c r="D191" s="131">
        <f t="shared" si="14"/>
        <v>7614.4921067701416</v>
      </c>
      <c r="E191" s="131">
        <f t="shared" si="12"/>
        <v>17032.727980142903</v>
      </c>
      <c r="F191" s="131">
        <f t="shared" si="13"/>
        <v>2116799.6146690408</v>
      </c>
    </row>
    <row r="192" spans="1:6" x14ac:dyDescent="0.2">
      <c r="A192" s="134">
        <v>180</v>
      </c>
      <c r="B192" s="131">
        <f t="shared" si="10"/>
        <v>2116799.6146690408</v>
      </c>
      <c r="C192" s="131">
        <f t="shared" si="11"/>
        <v>9384.4782916994136</v>
      </c>
      <c r="D192" s="131">
        <f t="shared" si="14"/>
        <v>7648.2496884434895</v>
      </c>
      <c r="E192" s="131">
        <f t="shared" si="12"/>
        <v>17032.727980142903</v>
      </c>
      <c r="F192" s="131">
        <f t="shared" si="13"/>
        <v>2109151.3649805975</v>
      </c>
    </row>
    <row r="193" spans="1:6" x14ac:dyDescent="0.2">
      <c r="A193" s="134">
        <v>181</v>
      </c>
      <c r="B193" s="131">
        <f t="shared" si="10"/>
        <v>2109151.3649805975</v>
      </c>
      <c r="C193" s="131">
        <f t="shared" si="11"/>
        <v>9350.571051413981</v>
      </c>
      <c r="D193" s="131">
        <f t="shared" si="14"/>
        <v>7682.1569287289221</v>
      </c>
      <c r="E193" s="131">
        <f t="shared" si="12"/>
        <v>17032.727980142903</v>
      </c>
      <c r="F193" s="131">
        <f t="shared" si="13"/>
        <v>2101469.2080518687</v>
      </c>
    </row>
    <row r="194" spans="1:6" x14ac:dyDescent="0.2">
      <c r="A194" s="134">
        <v>182</v>
      </c>
      <c r="B194" s="131">
        <f t="shared" si="10"/>
        <v>2101469.2080518687</v>
      </c>
      <c r="C194" s="131">
        <f t="shared" si="11"/>
        <v>9316.5134890299505</v>
      </c>
      <c r="D194" s="131">
        <f t="shared" si="14"/>
        <v>7716.2144911129526</v>
      </c>
      <c r="E194" s="131">
        <f t="shared" si="12"/>
        <v>17032.727980142903</v>
      </c>
      <c r="F194" s="131">
        <f t="shared" si="13"/>
        <v>2093752.9935607559</v>
      </c>
    </row>
    <row r="195" spans="1:6" x14ac:dyDescent="0.2">
      <c r="A195" s="134">
        <v>183</v>
      </c>
      <c r="B195" s="131">
        <f t="shared" si="10"/>
        <v>2093752.9935607559</v>
      </c>
      <c r="C195" s="131">
        <f t="shared" si="11"/>
        <v>9282.3049381193505</v>
      </c>
      <c r="D195" s="131">
        <f t="shared" si="14"/>
        <v>7750.4230420235526</v>
      </c>
      <c r="E195" s="131">
        <f t="shared" si="12"/>
        <v>17032.727980142903</v>
      </c>
      <c r="F195" s="131">
        <f t="shared" si="13"/>
        <v>2086002.5705187323</v>
      </c>
    </row>
    <row r="196" spans="1:6" x14ac:dyDescent="0.2">
      <c r="A196" s="134">
        <v>184</v>
      </c>
      <c r="B196" s="131">
        <f t="shared" si="10"/>
        <v>2086002.5705187323</v>
      </c>
      <c r="C196" s="131">
        <f t="shared" si="11"/>
        <v>9247.944729299712</v>
      </c>
      <c r="D196" s="131">
        <f t="shared" si="14"/>
        <v>7784.7832508431911</v>
      </c>
      <c r="E196" s="131">
        <f t="shared" si="12"/>
        <v>17032.727980142903</v>
      </c>
      <c r="F196" s="131">
        <f t="shared" si="13"/>
        <v>2078217.7872678891</v>
      </c>
    </row>
    <row r="197" spans="1:6" x14ac:dyDescent="0.2">
      <c r="A197" s="134">
        <v>185</v>
      </c>
      <c r="B197" s="131">
        <f t="shared" si="10"/>
        <v>2078217.7872678891</v>
      </c>
      <c r="C197" s="131">
        <f t="shared" si="11"/>
        <v>9213.4321902209758</v>
      </c>
      <c r="D197" s="131">
        <f t="shared" si="14"/>
        <v>7819.2957899219273</v>
      </c>
      <c r="E197" s="131">
        <f t="shared" si="12"/>
        <v>17032.727980142903</v>
      </c>
      <c r="F197" s="131">
        <f t="shared" si="13"/>
        <v>2070398.4914779672</v>
      </c>
    </row>
    <row r="198" spans="1:6" x14ac:dyDescent="0.2">
      <c r="A198" s="134">
        <v>186</v>
      </c>
      <c r="B198" s="131">
        <f t="shared" si="10"/>
        <v>2070398.4914779672</v>
      </c>
      <c r="C198" s="131">
        <f t="shared" si="11"/>
        <v>9178.7666455523213</v>
      </c>
      <c r="D198" s="131">
        <f t="shared" si="14"/>
        <v>7853.9613345905818</v>
      </c>
      <c r="E198" s="131">
        <f t="shared" si="12"/>
        <v>17032.727980142903</v>
      </c>
      <c r="F198" s="131">
        <f t="shared" si="13"/>
        <v>2062544.5301433767</v>
      </c>
    </row>
    <row r="199" spans="1:6" x14ac:dyDescent="0.2">
      <c r="A199" s="134">
        <v>187</v>
      </c>
      <c r="B199" s="131">
        <f t="shared" si="10"/>
        <v>2062544.5301433767</v>
      </c>
      <c r="C199" s="131">
        <f t="shared" si="11"/>
        <v>9143.9474169689693</v>
      </c>
      <c r="D199" s="131">
        <f t="shared" si="14"/>
        <v>7888.7805631739338</v>
      </c>
      <c r="E199" s="131">
        <f t="shared" si="12"/>
        <v>17032.727980142903</v>
      </c>
      <c r="F199" s="131">
        <f t="shared" si="13"/>
        <v>2054655.7495802026</v>
      </c>
    </row>
    <row r="200" spans="1:6" x14ac:dyDescent="0.2">
      <c r="A200" s="134">
        <v>188</v>
      </c>
      <c r="B200" s="131">
        <f t="shared" si="10"/>
        <v>2054655.7495802026</v>
      </c>
      <c r="C200" s="131">
        <f t="shared" si="11"/>
        <v>9108.9738231388983</v>
      </c>
      <c r="D200" s="131">
        <f t="shared" si="14"/>
        <v>7923.7541570040048</v>
      </c>
      <c r="E200" s="131">
        <f t="shared" si="12"/>
        <v>17032.727980142903</v>
      </c>
      <c r="F200" s="131">
        <f t="shared" si="13"/>
        <v>2046731.9954231987</v>
      </c>
    </row>
    <row r="201" spans="1:6" x14ac:dyDescent="0.2">
      <c r="A201" s="134">
        <v>189</v>
      </c>
      <c r="B201" s="131">
        <f t="shared" si="10"/>
        <v>2046731.9954231987</v>
      </c>
      <c r="C201" s="131">
        <f t="shared" si="11"/>
        <v>9073.8451797095131</v>
      </c>
      <c r="D201" s="131">
        <f t="shared" si="14"/>
        <v>7958.88280043339</v>
      </c>
      <c r="E201" s="131">
        <f t="shared" si="12"/>
        <v>17032.727980142903</v>
      </c>
      <c r="F201" s="131">
        <f t="shared" si="13"/>
        <v>2038773.1126227654</v>
      </c>
    </row>
    <row r="202" spans="1:6" x14ac:dyDescent="0.2">
      <c r="A202" s="134">
        <v>190</v>
      </c>
      <c r="B202" s="131">
        <f t="shared" si="10"/>
        <v>2038773.1126227654</v>
      </c>
      <c r="C202" s="131">
        <f t="shared" si="11"/>
        <v>9038.5607992942587</v>
      </c>
      <c r="D202" s="131">
        <f t="shared" si="14"/>
        <v>7994.1671808486444</v>
      </c>
      <c r="E202" s="131">
        <f t="shared" si="12"/>
        <v>17032.727980142903</v>
      </c>
      <c r="F202" s="131">
        <f t="shared" si="13"/>
        <v>2030778.9454419168</v>
      </c>
    </row>
    <row r="203" spans="1:6" x14ac:dyDescent="0.2">
      <c r="A203" s="134">
        <v>191</v>
      </c>
      <c r="B203" s="131">
        <f t="shared" si="10"/>
        <v>2030778.9454419168</v>
      </c>
      <c r="C203" s="131">
        <f t="shared" si="11"/>
        <v>9003.1199914591652</v>
      </c>
      <c r="D203" s="131">
        <f t="shared" si="14"/>
        <v>8029.6079886837379</v>
      </c>
      <c r="E203" s="131">
        <f t="shared" si="12"/>
        <v>17032.727980142903</v>
      </c>
      <c r="F203" s="131">
        <f t="shared" si="13"/>
        <v>2022749.3374532331</v>
      </c>
    </row>
    <row r="204" spans="1:6" x14ac:dyDescent="0.2">
      <c r="A204" s="134">
        <v>192</v>
      </c>
      <c r="B204" s="131">
        <f t="shared" si="10"/>
        <v>2022749.3374532331</v>
      </c>
      <c r="C204" s="131">
        <f t="shared" si="11"/>
        <v>8967.5220627093331</v>
      </c>
      <c r="D204" s="131">
        <f t="shared" si="14"/>
        <v>8065.20591743357</v>
      </c>
      <c r="E204" s="131">
        <f t="shared" si="12"/>
        <v>17032.727980142903</v>
      </c>
      <c r="F204" s="131">
        <f t="shared" si="13"/>
        <v>2014684.1315357995</v>
      </c>
    </row>
    <row r="205" spans="1:6" x14ac:dyDescent="0.2">
      <c r="A205" s="134">
        <v>193</v>
      </c>
      <c r="B205" s="131">
        <f t="shared" si="10"/>
        <v>2014684.1315357995</v>
      </c>
      <c r="C205" s="131">
        <f t="shared" si="11"/>
        <v>8931.7663164753776</v>
      </c>
      <c r="D205" s="131">
        <f t="shared" si="14"/>
        <v>8100.9616636675255</v>
      </c>
      <c r="E205" s="131">
        <f t="shared" si="12"/>
        <v>17032.727980142903</v>
      </c>
      <c r="F205" s="131">
        <f t="shared" si="13"/>
        <v>2006583.1698721319</v>
      </c>
    </row>
    <row r="206" spans="1:6" x14ac:dyDescent="0.2">
      <c r="A206" s="134">
        <v>194</v>
      </c>
      <c r="B206" s="131">
        <f t="shared" ref="B206:B269" si="15">F205</f>
        <v>2006583.1698721319</v>
      </c>
      <c r="C206" s="131">
        <f t="shared" ref="C206:C269" si="16">($B$3*B206)/$B$6</f>
        <v>8895.8520530997848</v>
      </c>
      <c r="D206" s="131">
        <f t="shared" si="14"/>
        <v>8136.8759270431183</v>
      </c>
      <c r="E206" s="131">
        <f t="shared" ref="E206:E269" si="17">$B$7</f>
        <v>17032.727980142903</v>
      </c>
      <c r="F206" s="131">
        <f t="shared" ref="F206:F269" si="18">B206-D206</f>
        <v>1998446.2939450887</v>
      </c>
    </row>
    <row r="207" spans="1:6" x14ac:dyDescent="0.2">
      <c r="A207" s="134">
        <v>195</v>
      </c>
      <c r="B207" s="131">
        <f t="shared" si="15"/>
        <v>1998446.2939450887</v>
      </c>
      <c r="C207" s="131">
        <f t="shared" si="16"/>
        <v>8859.7785698232274</v>
      </c>
      <c r="D207" s="131">
        <f t="shared" ref="D207:D270" si="19">E207-C207</f>
        <v>8172.9494103196757</v>
      </c>
      <c r="E207" s="131">
        <f t="shared" si="17"/>
        <v>17032.727980142903</v>
      </c>
      <c r="F207" s="131">
        <f t="shared" si="18"/>
        <v>1990273.3445347692</v>
      </c>
    </row>
    <row r="208" spans="1:6" x14ac:dyDescent="0.2">
      <c r="A208" s="134">
        <v>196</v>
      </c>
      <c r="B208" s="131">
        <f t="shared" si="15"/>
        <v>1990273.3445347692</v>
      </c>
      <c r="C208" s="131">
        <f t="shared" si="16"/>
        <v>8823.5451607708092</v>
      </c>
      <c r="D208" s="131">
        <f t="shared" si="19"/>
        <v>8209.1828193720939</v>
      </c>
      <c r="E208" s="131">
        <f t="shared" si="17"/>
        <v>17032.727980142903</v>
      </c>
      <c r="F208" s="131">
        <f t="shared" si="18"/>
        <v>1982064.1617153971</v>
      </c>
    </row>
    <row r="209" spans="1:6" x14ac:dyDescent="0.2">
      <c r="A209" s="134">
        <v>197</v>
      </c>
      <c r="B209" s="131">
        <f t="shared" si="15"/>
        <v>1982064.1617153971</v>
      </c>
      <c r="C209" s="131">
        <f t="shared" si="16"/>
        <v>8787.1511169382593</v>
      </c>
      <c r="D209" s="131">
        <f t="shared" si="19"/>
        <v>8245.5768632046438</v>
      </c>
      <c r="E209" s="131">
        <f t="shared" si="17"/>
        <v>17032.727980142903</v>
      </c>
      <c r="F209" s="131">
        <f t="shared" si="18"/>
        <v>1973818.5848521926</v>
      </c>
    </row>
    <row r="210" spans="1:6" x14ac:dyDescent="0.2">
      <c r="A210" s="134">
        <v>198</v>
      </c>
      <c r="B210" s="131">
        <f t="shared" si="15"/>
        <v>1973818.5848521926</v>
      </c>
      <c r="C210" s="131">
        <f t="shared" si="16"/>
        <v>8750.5957261780532</v>
      </c>
      <c r="D210" s="131">
        <f t="shared" si="19"/>
        <v>8282.13225396485</v>
      </c>
      <c r="E210" s="131">
        <f t="shared" si="17"/>
        <v>17032.727980142903</v>
      </c>
      <c r="F210" s="131">
        <f t="shared" si="18"/>
        <v>1965536.4525982277</v>
      </c>
    </row>
    <row r="211" spans="1:6" x14ac:dyDescent="0.2">
      <c r="A211" s="134">
        <v>199</v>
      </c>
      <c r="B211" s="131">
        <f t="shared" si="15"/>
        <v>1965536.4525982277</v>
      </c>
      <c r="C211" s="131">
        <f t="shared" si="16"/>
        <v>8713.8782731854753</v>
      </c>
      <c r="D211" s="131">
        <f t="shared" si="19"/>
        <v>8318.8497069574278</v>
      </c>
      <c r="E211" s="131">
        <f t="shared" si="17"/>
        <v>17032.727980142903</v>
      </c>
      <c r="F211" s="131">
        <f t="shared" si="18"/>
        <v>1957217.6028912703</v>
      </c>
    </row>
    <row r="212" spans="1:6" x14ac:dyDescent="0.2">
      <c r="A212" s="134">
        <v>200</v>
      </c>
      <c r="B212" s="131">
        <f t="shared" si="15"/>
        <v>1957217.6028912703</v>
      </c>
      <c r="C212" s="131">
        <f t="shared" si="16"/>
        <v>8676.9980394846316</v>
      </c>
      <c r="D212" s="131">
        <f t="shared" si="19"/>
        <v>8355.7299406582715</v>
      </c>
      <c r="E212" s="131">
        <f t="shared" si="17"/>
        <v>17032.727980142903</v>
      </c>
      <c r="F212" s="131">
        <f t="shared" si="18"/>
        <v>1948861.8729506121</v>
      </c>
    </row>
    <row r="213" spans="1:6" x14ac:dyDescent="0.2">
      <c r="A213" s="134">
        <v>201</v>
      </c>
      <c r="B213" s="131">
        <f t="shared" si="15"/>
        <v>1948861.8729506121</v>
      </c>
      <c r="C213" s="131">
        <f t="shared" si="16"/>
        <v>8639.9543034143808</v>
      </c>
      <c r="D213" s="131">
        <f t="shared" si="19"/>
        <v>8392.7736767285223</v>
      </c>
      <c r="E213" s="131">
        <f t="shared" si="17"/>
        <v>17032.727980142903</v>
      </c>
      <c r="F213" s="131">
        <f t="shared" si="18"/>
        <v>1940469.0992738835</v>
      </c>
    </row>
    <row r="214" spans="1:6" x14ac:dyDescent="0.2">
      <c r="A214" s="134">
        <v>202</v>
      </c>
      <c r="B214" s="131">
        <f t="shared" si="15"/>
        <v>1940469.0992738835</v>
      </c>
      <c r="C214" s="131">
        <f t="shared" si="16"/>
        <v>8602.7463401142159</v>
      </c>
      <c r="D214" s="131">
        <f t="shared" si="19"/>
        <v>8429.9816400286873</v>
      </c>
      <c r="E214" s="131">
        <f t="shared" si="17"/>
        <v>17032.727980142903</v>
      </c>
      <c r="F214" s="131">
        <f t="shared" si="18"/>
        <v>1932039.1176338547</v>
      </c>
    </row>
    <row r="215" spans="1:6" x14ac:dyDescent="0.2">
      <c r="A215" s="134">
        <v>203</v>
      </c>
      <c r="B215" s="131">
        <f t="shared" si="15"/>
        <v>1932039.1176338547</v>
      </c>
      <c r="C215" s="131">
        <f t="shared" si="16"/>
        <v>8565.3734215100885</v>
      </c>
      <c r="D215" s="131">
        <f t="shared" si="19"/>
        <v>8467.3545586328146</v>
      </c>
      <c r="E215" s="131">
        <f t="shared" si="17"/>
        <v>17032.727980142903</v>
      </c>
      <c r="F215" s="131">
        <f t="shared" si="18"/>
        <v>1923571.763075222</v>
      </c>
    </row>
    <row r="216" spans="1:6" x14ac:dyDescent="0.2">
      <c r="A216" s="134">
        <v>204</v>
      </c>
      <c r="B216" s="131">
        <f t="shared" si="15"/>
        <v>1923571.763075222</v>
      </c>
      <c r="C216" s="131">
        <f t="shared" si="16"/>
        <v>8527.8348163001501</v>
      </c>
      <c r="D216" s="131">
        <f t="shared" si="19"/>
        <v>8504.893163842753</v>
      </c>
      <c r="E216" s="131">
        <f t="shared" si="17"/>
        <v>17032.727980142903</v>
      </c>
      <c r="F216" s="131">
        <f t="shared" si="18"/>
        <v>1915066.8699113792</v>
      </c>
    </row>
    <row r="217" spans="1:6" x14ac:dyDescent="0.2">
      <c r="A217" s="134">
        <v>205</v>
      </c>
      <c r="B217" s="131">
        <f t="shared" si="15"/>
        <v>1915066.8699113792</v>
      </c>
      <c r="C217" s="131">
        <f t="shared" si="16"/>
        <v>8490.1297899404472</v>
      </c>
      <c r="D217" s="131">
        <f t="shared" si="19"/>
        <v>8542.598190202456</v>
      </c>
      <c r="E217" s="131">
        <f t="shared" si="17"/>
        <v>17032.727980142903</v>
      </c>
      <c r="F217" s="131">
        <f t="shared" si="18"/>
        <v>1906524.2717211768</v>
      </c>
    </row>
    <row r="218" spans="1:6" x14ac:dyDescent="0.2">
      <c r="A218" s="134">
        <v>206</v>
      </c>
      <c r="B218" s="131">
        <f t="shared" si="15"/>
        <v>1906524.2717211768</v>
      </c>
      <c r="C218" s="131">
        <f t="shared" si="16"/>
        <v>8452.2576046305494</v>
      </c>
      <c r="D218" s="131">
        <f t="shared" si="19"/>
        <v>8580.4703755123537</v>
      </c>
      <c r="E218" s="131">
        <f t="shared" si="17"/>
        <v>17032.727980142903</v>
      </c>
      <c r="F218" s="131">
        <f t="shared" si="18"/>
        <v>1897943.8013456645</v>
      </c>
    </row>
    <row r="219" spans="1:6" x14ac:dyDescent="0.2">
      <c r="A219" s="134">
        <v>207</v>
      </c>
      <c r="B219" s="131">
        <f t="shared" si="15"/>
        <v>1897943.8013456645</v>
      </c>
      <c r="C219" s="131">
        <f t="shared" si="16"/>
        <v>8414.2175192991126</v>
      </c>
      <c r="D219" s="131">
        <f t="shared" si="19"/>
        <v>8618.5104608437905</v>
      </c>
      <c r="E219" s="131">
        <f t="shared" si="17"/>
        <v>17032.727980142903</v>
      </c>
      <c r="F219" s="131">
        <f t="shared" si="18"/>
        <v>1889325.2908848207</v>
      </c>
    </row>
    <row r="220" spans="1:6" x14ac:dyDescent="0.2">
      <c r="A220" s="134">
        <v>208</v>
      </c>
      <c r="B220" s="131">
        <f t="shared" si="15"/>
        <v>1889325.2908848207</v>
      </c>
      <c r="C220" s="131">
        <f t="shared" si="16"/>
        <v>8376.0087895893721</v>
      </c>
      <c r="D220" s="131">
        <f t="shared" si="19"/>
        <v>8656.719190553531</v>
      </c>
      <c r="E220" s="131">
        <f t="shared" si="17"/>
        <v>17032.727980142903</v>
      </c>
      <c r="F220" s="131">
        <f t="shared" si="18"/>
        <v>1880668.5716942672</v>
      </c>
    </row>
    <row r="221" spans="1:6" x14ac:dyDescent="0.2">
      <c r="A221" s="134">
        <v>209</v>
      </c>
      <c r="B221" s="131">
        <f t="shared" si="15"/>
        <v>1880668.5716942672</v>
      </c>
      <c r="C221" s="131">
        <f t="shared" si="16"/>
        <v>8337.6306678445853</v>
      </c>
      <c r="D221" s="131">
        <f t="shared" si="19"/>
        <v>8695.0973122983178</v>
      </c>
      <c r="E221" s="131">
        <f t="shared" si="17"/>
        <v>17032.727980142903</v>
      </c>
      <c r="F221" s="131">
        <f t="shared" si="18"/>
        <v>1871973.4743819688</v>
      </c>
    </row>
    <row r="222" spans="1:6" x14ac:dyDescent="0.2">
      <c r="A222" s="134">
        <v>210</v>
      </c>
      <c r="B222" s="131">
        <f t="shared" si="15"/>
        <v>1871973.4743819688</v>
      </c>
      <c r="C222" s="131">
        <f t="shared" si="16"/>
        <v>8299.0824030933945</v>
      </c>
      <c r="D222" s="131">
        <f t="shared" si="19"/>
        <v>8733.6455770495086</v>
      </c>
      <c r="E222" s="131">
        <f t="shared" si="17"/>
        <v>17032.727980142903</v>
      </c>
      <c r="F222" s="131">
        <f t="shared" si="18"/>
        <v>1863239.8288049193</v>
      </c>
    </row>
    <row r="223" spans="1:6" x14ac:dyDescent="0.2">
      <c r="A223" s="134">
        <v>211</v>
      </c>
      <c r="B223" s="131">
        <f t="shared" si="15"/>
        <v>1863239.8288049193</v>
      </c>
      <c r="C223" s="131">
        <f t="shared" si="16"/>
        <v>8260.363241035142</v>
      </c>
      <c r="D223" s="131">
        <f t="shared" si="19"/>
        <v>8772.3647391077611</v>
      </c>
      <c r="E223" s="131">
        <f t="shared" si="17"/>
        <v>17032.727980142903</v>
      </c>
      <c r="F223" s="131">
        <f t="shared" si="18"/>
        <v>1854467.4640658116</v>
      </c>
    </row>
    <row r="224" spans="1:6" x14ac:dyDescent="0.2">
      <c r="A224" s="134">
        <v>212</v>
      </c>
      <c r="B224" s="131">
        <f t="shared" si="15"/>
        <v>1854467.4640658116</v>
      </c>
      <c r="C224" s="131">
        <f t="shared" si="16"/>
        <v>8221.472424025098</v>
      </c>
      <c r="D224" s="131">
        <f t="shared" si="19"/>
        <v>8811.2555561178051</v>
      </c>
      <c r="E224" s="131">
        <f t="shared" si="17"/>
        <v>17032.727980142903</v>
      </c>
      <c r="F224" s="131">
        <f t="shared" si="18"/>
        <v>1845656.2085096939</v>
      </c>
    </row>
    <row r="225" spans="1:6" x14ac:dyDescent="0.2">
      <c r="A225" s="134">
        <v>213</v>
      </c>
      <c r="B225" s="131">
        <f t="shared" si="15"/>
        <v>1845656.2085096939</v>
      </c>
      <c r="C225" s="131">
        <f t="shared" si="16"/>
        <v>8182.4091910596426</v>
      </c>
      <c r="D225" s="131">
        <f t="shared" si="19"/>
        <v>8850.3187890832596</v>
      </c>
      <c r="E225" s="131">
        <f t="shared" si="17"/>
        <v>17032.727980142903</v>
      </c>
      <c r="F225" s="131">
        <f t="shared" si="18"/>
        <v>1836805.8897206106</v>
      </c>
    </row>
    <row r="226" spans="1:6" x14ac:dyDescent="0.2">
      <c r="A226" s="134">
        <v>214</v>
      </c>
      <c r="B226" s="131">
        <f t="shared" si="15"/>
        <v>1836805.8897206106</v>
      </c>
      <c r="C226" s="131">
        <f t="shared" si="16"/>
        <v>8143.1727777613733</v>
      </c>
      <c r="D226" s="131">
        <f t="shared" si="19"/>
        <v>8889.5552023815289</v>
      </c>
      <c r="E226" s="131">
        <f t="shared" si="17"/>
        <v>17032.727980142903</v>
      </c>
      <c r="F226" s="131">
        <f t="shared" si="18"/>
        <v>1827916.3345182291</v>
      </c>
    </row>
    <row r="227" spans="1:6" x14ac:dyDescent="0.2">
      <c r="A227" s="134">
        <v>215</v>
      </c>
      <c r="B227" s="131">
        <f t="shared" si="15"/>
        <v>1827916.3345182291</v>
      </c>
      <c r="C227" s="131">
        <f t="shared" si="16"/>
        <v>8103.7624163641485</v>
      </c>
      <c r="D227" s="131">
        <f t="shared" si="19"/>
        <v>8928.9655637787546</v>
      </c>
      <c r="E227" s="131">
        <f t="shared" si="17"/>
        <v>17032.727980142903</v>
      </c>
      <c r="F227" s="131">
        <f t="shared" si="18"/>
        <v>1818987.3689544504</v>
      </c>
    </row>
    <row r="228" spans="1:6" x14ac:dyDescent="0.2">
      <c r="A228" s="134">
        <v>216</v>
      </c>
      <c r="B228" s="131">
        <f t="shared" si="15"/>
        <v>1818987.3689544504</v>
      </c>
      <c r="C228" s="131">
        <f t="shared" si="16"/>
        <v>8064.177335698063</v>
      </c>
      <c r="D228" s="131">
        <f t="shared" si="19"/>
        <v>8968.5506444448401</v>
      </c>
      <c r="E228" s="131">
        <f t="shared" si="17"/>
        <v>17032.727980142903</v>
      </c>
      <c r="F228" s="131">
        <f t="shared" si="18"/>
        <v>1810018.8183100056</v>
      </c>
    </row>
    <row r="229" spans="1:6" x14ac:dyDescent="0.2">
      <c r="A229" s="134">
        <v>217</v>
      </c>
      <c r="B229" s="131">
        <f t="shared" si="15"/>
        <v>1810018.8183100056</v>
      </c>
      <c r="C229" s="131">
        <f t="shared" si="16"/>
        <v>8024.4167611743578</v>
      </c>
      <c r="D229" s="131">
        <f t="shared" si="19"/>
        <v>9008.3112189685453</v>
      </c>
      <c r="E229" s="131">
        <f t="shared" si="17"/>
        <v>17032.727980142903</v>
      </c>
      <c r="F229" s="131">
        <f t="shared" si="18"/>
        <v>1801010.507091037</v>
      </c>
    </row>
    <row r="230" spans="1:6" x14ac:dyDescent="0.2">
      <c r="A230" s="134">
        <v>218</v>
      </c>
      <c r="B230" s="131">
        <f t="shared" si="15"/>
        <v>1801010.507091037</v>
      </c>
      <c r="C230" s="131">
        <f t="shared" si="16"/>
        <v>7984.4799147702643</v>
      </c>
      <c r="D230" s="131">
        <f t="shared" si="19"/>
        <v>9048.2480653726379</v>
      </c>
      <c r="E230" s="131">
        <f t="shared" si="17"/>
        <v>17032.727980142903</v>
      </c>
      <c r="F230" s="131">
        <f t="shared" si="18"/>
        <v>1791962.2590256643</v>
      </c>
    </row>
    <row r="231" spans="1:6" x14ac:dyDescent="0.2">
      <c r="A231" s="134">
        <v>219</v>
      </c>
      <c r="B231" s="131">
        <f t="shared" si="15"/>
        <v>1791962.2590256643</v>
      </c>
      <c r="C231" s="131">
        <f t="shared" si="16"/>
        <v>7944.3660150137775</v>
      </c>
      <c r="D231" s="131">
        <f t="shared" si="19"/>
        <v>9088.3619651291265</v>
      </c>
      <c r="E231" s="131">
        <f t="shared" si="17"/>
        <v>17032.727980142903</v>
      </c>
      <c r="F231" s="131">
        <f t="shared" si="18"/>
        <v>1782873.8970605351</v>
      </c>
    </row>
    <row r="232" spans="1:6" x14ac:dyDescent="0.2">
      <c r="A232" s="134">
        <v>220</v>
      </c>
      <c r="B232" s="131">
        <f t="shared" si="15"/>
        <v>1782873.8970605351</v>
      </c>
      <c r="C232" s="131">
        <f t="shared" si="16"/>
        <v>7904.074276968372</v>
      </c>
      <c r="D232" s="131">
        <f t="shared" si="19"/>
        <v>9128.653703174532</v>
      </c>
      <c r="E232" s="131">
        <f t="shared" si="17"/>
        <v>17032.727980142903</v>
      </c>
      <c r="F232" s="131">
        <f t="shared" si="18"/>
        <v>1773745.2433573606</v>
      </c>
    </row>
    <row r="233" spans="1:6" x14ac:dyDescent="0.2">
      <c r="A233" s="134">
        <v>221</v>
      </c>
      <c r="B233" s="131">
        <f t="shared" si="15"/>
        <v>1773745.2433573606</v>
      </c>
      <c r="C233" s="131">
        <f t="shared" si="16"/>
        <v>7863.6039122176308</v>
      </c>
      <c r="D233" s="131">
        <f t="shared" si="19"/>
        <v>9169.1240679252733</v>
      </c>
      <c r="E233" s="131">
        <f t="shared" si="17"/>
        <v>17032.727980142903</v>
      </c>
      <c r="F233" s="131">
        <f t="shared" si="18"/>
        <v>1764576.1192894352</v>
      </c>
    </row>
    <row r="234" spans="1:6" x14ac:dyDescent="0.2">
      <c r="A234" s="134">
        <v>222</v>
      </c>
      <c r="B234" s="131">
        <f t="shared" si="15"/>
        <v>1764576.1192894352</v>
      </c>
      <c r="C234" s="131">
        <f t="shared" si="16"/>
        <v>7822.9541288498294</v>
      </c>
      <c r="D234" s="131">
        <f t="shared" si="19"/>
        <v>9209.7738512930737</v>
      </c>
      <c r="E234" s="131">
        <f t="shared" si="17"/>
        <v>17032.727980142903</v>
      </c>
      <c r="F234" s="131">
        <f t="shared" si="18"/>
        <v>1755366.3454381421</v>
      </c>
    </row>
    <row r="235" spans="1:6" x14ac:dyDescent="0.2">
      <c r="A235" s="134">
        <v>223</v>
      </c>
      <c r="B235" s="131">
        <f t="shared" si="15"/>
        <v>1755366.3454381421</v>
      </c>
      <c r="C235" s="131">
        <f t="shared" si="16"/>
        <v>7782.1241314424296</v>
      </c>
      <c r="D235" s="131">
        <f t="shared" si="19"/>
        <v>9250.6038487004735</v>
      </c>
      <c r="E235" s="131">
        <f t="shared" si="17"/>
        <v>17032.727980142903</v>
      </c>
      <c r="F235" s="131">
        <f t="shared" si="18"/>
        <v>1746115.7415894417</v>
      </c>
    </row>
    <row r="236" spans="1:6" x14ac:dyDescent="0.2">
      <c r="A236" s="134">
        <v>224</v>
      </c>
      <c r="B236" s="131">
        <f t="shared" si="15"/>
        <v>1746115.7415894417</v>
      </c>
      <c r="C236" s="131">
        <f t="shared" si="16"/>
        <v>7741.1131210465246</v>
      </c>
      <c r="D236" s="131">
        <f t="shared" si="19"/>
        <v>9291.6148590963785</v>
      </c>
      <c r="E236" s="131">
        <f t="shared" si="17"/>
        <v>17032.727980142903</v>
      </c>
      <c r="F236" s="131">
        <f t="shared" si="18"/>
        <v>1736824.1267303452</v>
      </c>
    </row>
    <row r="237" spans="1:6" x14ac:dyDescent="0.2">
      <c r="A237" s="134">
        <v>225</v>
      </c>
      <c r="B237" s="131">
        <f t="shared" si="15"/>
        <v>1736824.1267303452</v>
      </c>
      <c r="C237" s="131">
        <f t="shared" si="16"/>
        <v>7699.9202951711968</v>
      </c>
      <c r="D237" s="131">
        <f t="shared" si="19"/>
        <v>9332.8076849717072</v>
      </c>
      <c r="E237" s="131">
        <f t="shared" si="17"/>
        <v>17032.727980142903</v>
      </c>
      <c r="F237" s="131">
        <f t="shared" si="18"/>
        <v>1727491.3190453735</v>
      </c>
    </row>
    <row r="238" spans="1:6" x14ac:dyDescent="0.2">
      <c r="A238" s="134">
        <v>226</v>
      </c>
      <c r="B238" s="131">
        <f t="shared" si="15"/>
        <v>1727491.3190453735</v>
      </c>
      <c r="C238" s="131">
        <f t="shared" si="16"/>
        <v>7658.5448477678219</v>
      </c>
      <c r="D238" s="131">
        <f t="shared" si="19"/>
        <v>9374.1831323750812</v>
      </c>
      <c r="E238" s="131">
        <f t="shared" si="17"/>
        <v>17032.727980142903</v>
      </c>
      <c r="F238" s="131">
        <f t="shared" si="18"/>
        <v>1718117.1359129983</v>
      </c>
    </row>
    <row r="239" spans="1:6" x14ac:dyDescent="0.2">
      <c r="A239" s="134">
        <v>227</v>
      </c>
      <c r="B239" s="131">
        <f t="shared" si="15"/>
        <v>1718117.1359129983</v>
      </c>
      <c r="C239" s="131">
        <f t="shared" si="16"/>
        <v>7616.9859692142927</v>
      </c>
      <c r="D239" s="131">
        <f t="shared" si="19"/>
        <v>9415.7420109286104</v>
      </c>
      <c r="E239" s="131">
        <f t="shared" si="17"/>
        <v>17032.727980142903</v>
      </c>
      <c r="F239" s="131">
        <f t="shared" si="18"/>
        <v>1708701.3939020697</v>
      </c>
    </row>
    <row r="240" spans="1:6" x14ac:dyDescent="0.2">
      <c r="A240" s="134">
        <v>228</v>
      </c>
      <c r="B240" s="131">
        <f t="shared" si="15"/>
        <v>1708701.3939020697</v>
      </c>
      <c r="C240" s="131">
        <f t="shared" si="16"/>
        <v>7575.2428462991747</v>
      </c>
      <c r="D240" s="131">
        <f t="shared" si="19"/>
        <v>9457.4851338437293</v>
      </c>
      <c r="E240" s="131">
        <f t="shared" si="17"/>
        <v>17032.727980142903</v>
      </c>
      <c r="F240" s="131">
        <f t="shared" si="18"/>
        <v>1699243.9087682259</v>
      </c>
    </row>
    <row r="241" spans="1:6" x14ac:dyDescent="0.2">
      <c r="A241" s="134">
        <v>229</v>
      </c>
      <c r="B241" s="131">
        <f t="shared" si="15"/>
        <v>1699243.9087682259</v>
      </c>
      <c r="C241" s="131">
        <f t="shared" si="16"/>
        <v>7533.3146622058011</v>
      </c>
      <c r="D241" s="131">
        <f t="shared" si="19"/>
        <v>9499.413317937102</v>
      </c>
      <c r="E241" s="131">
        <f t="shared" si="17"/>
        <v>17032.727980142903</v>
      </c>
      <c r="F241" s="131">
        <f t="shared" si="18"/>
        <v>1689744.4954502888</v>
      </c>
    </row>
    <row r="242" spans="1:6" x14ac:dyDescent="0.2">
      <c r="A242" s="134">
        <v>230</v>
      </c>
      <c r="B242" s="131">
        <f t="shared" si="15"/>
        <v>1689744.4954502888</v>
      </c>
      <c r="C242" s="131">
        <f t="shared" si="16"/>
        <v>7491.20059649628</v>
      </c>
      <c r="D242" s="131">
        <f t="shared" si="19"/>
        <v>9541.5273836466222</v>
      </c>
      <c r="E242" s="131">
        <f t="shared" si="17"/>
        <v>17032.727980142903</v>
      </c>
      <c r="F242" s="131">
        <f t="shared" si="18"/>
        <v>1680202.9680666421</v>
      </c>
    </row>
    <row r="243" spans="1:6" x14ac:dyDescent="0.2">
      <c r="A243" s="134">
        <v>231</v>
      </c>
      <c r="B243" s="131">
        <f t="shared" si="15"/>
        <v>1680202.9680666421</v>
      </c>
      <c r="C243" s="131">
        <f t="shared" si="16"/>
        <v>7448.8998250954464</v>
      </c>
      <c r="D243" s="131">
        <f t="shared" si="19"/>
        <v>9583.8281550474567</v>
      </c>
      <c r="E243" s="131">
        <f t="shared" si="17"/>
        <v>17032.727980142903</v>
      </c>
      <c r="F243" s="131">
        <f t="shared" si="18"/>
        <v>1670619.1399115946</v>
      </c>
    </row>
    <row r="244" spans="1:6" x14ac:dyDescent="0.2">
      <c r="A244" s="134">
        <v>232</v>
      </c>
      <c r="B244" s="131">
        <f t="shared" si="15"/>
        <v>1670619.1399115946</v>
      </c>
      <c r="C244" s="131">
        <f t="shared" si="16"/>
        <v>7406.4115202747353</v>
      </c>
      <c r="D244" s="131">
        <f t="shared" si="19"/>
        <v>9626.3164598681687</v>
      </c>
      <c r="E244" s="131">
        <f t="shared" si="17"/>
        <v>17032.727980142903</v>
      </c>
      <c r="F244" s="131">
        <f t="shared" si="18"/>
        <v>1660992.8234517265</v>
      </c>
    </row>
    <row r="245" spans="1:6" x14ac:dyDescent="0.2">
      <c r="A245" s="134">
        <v>233</v>
      </c>
      <c r="B245" s="131">
        <f t="shared" si="15"/>
        <v>1660992.8234517265</v>
      </c>
      <c r="C245" s="131">
        <f t="shared" si="16"/>
        <v>7363.7348506359876</v>
      </c>
      <c r="D245" s="131">
        <f t="shared" si="19"/>
        <v>9668.9931295069146</v>
      </c>
      <c r="E245" s="131">
        <f t="shared" si="17"/>
        <v>17032.727980142903</v>
      </c>
      <c r="F245" s="131">
        <f t="shared" si="18"/>
        <v>1651323.8303222195</v>
      </c>
    </row>
    <row r="246" spans="1:6" x14ac:dyDescent="0.2">
      <c r="A246" s="134">
        <v>234</v>
      </c>
      <c r="B246" s="131">
        <f t="shared" si="15"/>
        <v>1651323.8303222195</v>
      </c>
      <c r="C246" s="131">
        <f t="shared" si="16"/>
        <v>7320.8689810951728</v>
      </c>
      <c r="D246" s="131">
        <f t="shared" si="19"/>
        <v>9711.8589990477303</v>
      </c>
      <c r="E246" s="131">
        <f t="shared" si="17"/>
        <v>17032.727980142903</v>
      </c>
      <c r="F246" s="131">
        <f t="shared" si="18"/>
        <v>1641611.9713231719</v>
      </c>
    </row>
    <row r="247" spans="1:6" x14ac:dyDescent="0.2">
      <c r="A247" s="134">
        <v>235</v>
      </c>
      <c r="B247" s="131">
        <f t="shared" si="15"/>
        <v>1641611.9713231719</v>
      </c>
      <c r="C247" s="131">
        <f t="shared" si="16"/>
        <v>7277.8130728660617</v>
      </c>
      <c r="D247" s="131">
        <f t="shared" si="19"/>
        <v>9754.9149072768414</v>
      </c>
      <c r="E247" s="131">
        <f t="shared" si="17"/>
        <v>17032.727980142903</v>
      </c>
      <c r="F247" s="131">
        <f t="shared" si="18"/>
        <v>1631857.056415895</v>
      </c>
    </row>
    <row r="248" spans="1:6" x14ac:dyDescent="0.2">
      <c r="A248" s="134">
        <v>236</v>
      </c>
      <c r="B248" s="131">
        <f t="shared" si="15"/>
        <v>1631857.056415895</v>
      </c>
      <c r="C248" s="131">
        <f t="shared" si="16"/>
        <v>7234.5662834438008</v>
      </c>
      <c r="D248" s="131">
        <f t="shared" si="19"/>
        <v>9798.1616966991023</v>
      </c>
      <c r="E248" s="131">
        <f t="shared" si="17"/>
        <v>17032.727980142903</v>
      </c>
      <c r="F248" s="131">
        <f t="shared" si="18"/>
        <v>1622058.8947191958</v>
      </c>
    </row>
    <row r="249" spans="1:6" x14ac:dyDescent="0.2">
      <c r="A249" s="134">
        <v>237</v>
      </c>
      <c r="B249" s="131">
        <f t="shared" si="15"/>
        <v>1622058.8947191958</v>
      </c>
      <c r="C249" s="131">
        <f t="shared" si="16"/>
        <v>7191.1277665884345</v>
      </c>
      <c r="D249" s="131">
        <f t="shared" si="19"/>
        <v>9841.6002135544695</v>
      </c>
      <c r="E249" s="131">
        <f t="shared" si="17"/>
        <v>17032.727980142903</v>
      </c>
      <c r="F249" s="131">
        <f t="shared" si="18"/>
        <v>1612217.2945056413</v>
      </c>
    </row>
    <row r="250" spans="1:6" x14ac:dyDescent="0.2">
      <c r="A250" s="134">
        <v>238</v>
      </c>
      <c r="B250" s="131">
        <f t="shared" si="15"/>
        <v>1612217.2945056413</v>
      </c>
      <c r="C250" s="131">
        <f t="shared" si="16"/>
        <v>7147.4966723083426</v>
      </c>
      <c r="D250" s="131">
        <f t="shared" si="19"/>
        <v>9885.2313078345614</v>
      </c>
      <c r="E250" s="131">
        <f t="shared" si="17"/>
        <v>17032.727980142903</v>
      </c>
      <c r="F250" s="131">
        <f t="shared" si="18"/>
        <v>1602332.0631978067</v>
      </c>
    </row>
    <row r="251" spans="1:6" x14ac:dyDescent="0.2">
      <c r="A251" s="134">
        <v>239</v>
      </c>
      <c r="B251" s="131">
        <f t="shared" si="15"/>
        <v>1602332.0631978067</v>
      </c>
      <c r="C251" s="131">
        <f t="shared" si="16"/>
        <v>7103.672146843609</v>
      </c>
      <c r="D251" s="131">
        <f t="shared" si="19"/>
        <v>9929.055833299295</v>
      </c>
      <c r="E251" s="131">
        <f t="shared" si="17"/>
        <v>17032.727980142903</v>
      </c>
      <c r="F251" s="131">
        <f t="shared" si="18"/>
        <v>1592403.0073645073</v>
      </c>
    </row>
    <row r="252" spans="1:6" x14ac:dyDescent="0.2">
      <c r="A252" s="134">
        <v>240</v>
      </c>
      <c r="B252" s="131">
        <f t="shared" si="15"/>
        <v>1592403.0073645073</v>
      </c>
      <c r="C252" s="131">
        <f t="shared" si="16"/>
        <v>7059.6533326493154</v>
      </c>
      <c r="D252" s="131">
        <f t="shared" si="19"/>
        <v>9973.0746474935877</v>
      </c>
      <c r="E252" s="131">
        <f t="shared" si="17"/>
        <v>17032.727980142903</v>
      </c>
      <c r="F252" s="131">
        <f t="shared" si="18"/>
        <v>1582429.9327170136</v>
      </c>
    </row>
    <row r="253" spans="1:6" x14ac:dyDescent="0.2">
      <c r="A253" s="134">
        <v>241</v>
      </c>
      <c r="B253" s="131">
        <f t="shared" si="15"/>
        <v>1582429.9327170136</v>
      </c>
      <c r="C253" s="131">
        <f t="shared" si="16"/>
        <v>7015.4393683787603</v>
      </c>
      <c r="D253" s="131">
        <f t="shared" si="19"/>
        <v>10017.288611764143</v>
      </c>
      <c r="E253" s="131">
        <f t="shared" si="17"/>
        <v>17032.727980142903</v>
      </c>
      <c r="F253" s="131">
        <f t="shared" si="18"/>
        <v>1572412.6441052496</v>
      </c>
    </row>
    <row r="254" spans="1:6" x14ac:dyDescent="0.2">
      <c r="A254" s="134">
        <v>242</v>
      </c>
      <c r="B254" s="131">
        <f t="shared" si="15"/>
        <v>1572412.6441052496</v>
      </c>
      <c r="C254" s="131">
        <f t="shared" si="16"/>
        <v>6971.0293888666056</v>
      </c>
      <c r="D254" s="131">
        <f t="shared" si="19"/>
        <v>10061.698591276298</v>
      </c>
      <c r="E254" s="131">
        <f t="shared" si="17"/>
        <v>17032.727980142903</v>
      </c>
      <c r="F254" s="131">
        <f t="shared" si="18"/>
        <v>1562350.9455139732</v>
      </c>
    </row>
    <row r="255" spans="1:6" x14ac:dyDescent="0.2">
      <c r="A255" s="134">
        <v>243</v>
      </c>
      <c r="B255" s="131">
        <f t="shared" si="15"/>
        <v>1562350.9455139732</v>
      </c>
      <c r="C255" s="131">
        <f t="shared" si="16"/>
        <v>6926.4225251119469</v>
      </c>
      <c r="D255" s="131">
        <f t="shared" si="19"/>
        <v>10106.305455030957</v>
      </c>
      <c r="E255" s="131">
        <f t="shared" si="17"/>
        <v>17032.727980142903</v>
      </c>
      <c r="F255" s="131">
        <f t="shared" si="18"/>
        <v>1552244.6400589424</v>
      </c>
    </row>
    <row r="256" spans="1:6" x14ac:dyDescent="0.2">
      <c r="A256" s="134">
        <v>244</v>
      </c>
      <c r="B256" s="131">
        <f t="shared" si="15"/>
        <v>1552244.6400589424</v>
      </c>
      <c r="C256" s="131">
        <f t="shared" si="16"/>
        <v>6881.6179042613112</v>
      </c>
      <c r="D256" s="131">
        <f t="shared" si="19"/>
        <v>10151.110075881592</v>
      </c>
      <c r="E256" s="131">
        <f t="shared" si="17"/>
        <v>17032.727980142903</v>
      </c>
      <c r="F256" s="131">
        <f t="shared" si="18"/>
        <v>1542093.5299830607</v>
      </c>
    </row>
    <row r="257" spans="1:6" x14ac:dyDescent="0.2">
      <c r="A257" s="134">
        <v>245</v>
      </c>
      <c r="B257" s="131">
        <f t="shared" si="15"/>
        <v>1542093.5299830607</v>
      </c>
      <c r="C257" s="131">
        <f t="shared" si="16"/>
        <v>6836.6146495915682</v>
      </c>
      <c r="D257" s="131">
        <f t="shared" si="19"/>
        <v>10196.113330551336</v>
      </c>
      <c r="E257" s="131">
        <f t="shared" si="17"/>
        <v>17032.727980142903</v>
      </c>
      <c r="F257" s="131">
        <f t="shared" si="18"/>
        <v>1531897.4166525092</v>
      </c>
    </row>
    <row r="258" spans="1:6" x14ac:dyDescent="0.2">
      <c r="A258" s="134">
        <v>246</v>
      </c>
      <c r="B258" s="131">
        <f t="shared" si="15"/>
        <v>1531897.4166525092</v>
      </c>
      <c r="C258" s="131">
        <f t="shared" si="16"/>
        <v>6791.4118804927903</v>
      </c>
      <c r="D258" s="131">
        <f t="shared" si="19"/>
        <v>10241.316099650114</v>
      </c>
      <c r="E258" s="131">
        <f t="shared" si="17"/>
        <v>17032.727980142903</v>
      </c>
      <c r="F258" s="131">
        <f t="shared" si="18"/>
        <v>1521656.100552859</v>
      </c>
    </row>
    <row r="259" spans="1:6" x14ac:dyDescent="0.2">
      <c r="A259" s="134">
        <v>247</v>
      </c>
      <c r="B259" s="131">
        <f t="shared" si="15"/>
        <v>1521656.100552859</v>
      </c>
      <c r="C259" s="131">
        <f t="shared" si="16"/>
        <v>6746.0087124510073</v>
      </c>
      <c r="D259" s="131">
        <f t="shared" si="19"/>
        <v>10286.719267691897</v>
      </c>
      <c r="E259" s="131">
        <f t="shared" si="17"/>
        <v>17032.727980142903</v>
      </c>
      <c r="F259" s="131">
        <f t="shared" si="18"/>
        <v>1511369.3812851671</v>
      </c>
    </row>
    <row r="260" spans="1:6" x14ac:dyDescent="0.2">
      <c r="A260" s="134">
        <v>248</v>
      </c>
      <c r="B260" s="131">
        <f t="shared" si="15"/>
        <v>1511369.3812851671</v>
      </c>
      <c r="C260" s="131">
        <f t="shared" si="16"/>
        <v>6700.4042570309066</v>
      </c>
      <c r="D260" s="131">
        <f t="shared" si="19"/>
        <v>10332.323723111997</v>
      </c>
      <c r="E260" s="131">
        <f t="shared" si="17"/>
        <v>17032.727980142903</v>
      </c>
      <c r="F260" s="131">
        <f t="shared" si="18"/>
        <v>1501037.0575620551</v>
      </c>
    </row>
    <row r="261" spans="1:6" x14ac:dyDescent="0.2">
      <c r="A261" s="134">
        <v>249</v>
      </c>
      <c r="B261" s="131">
        <f t="shared" si="15"/>
        <v>1501037.0575620551</v>
      </c>
      <c r="C261" s="131">
        <f t="shared" si="16"/>
        <v>6654.5976218584437</v>
      </c>
      <c r="D261" s="131">
        <f t="shared" si="19"/>
        <v>10378.130358284459</v>
      </c>
      <c r="E261" s="131">
        <f t="shared" si="17"/>
        <v>17032.727980142903</v>
      </c>
      <c r="F261" s="131">
        <f t="shared" si="18"/>
        <v>1490658.9272037705</v>
      </c>
    </row>
    <row r="262" spans="1:6" x14ac:dyDescent="0.2">
      <c r="A262" s="134">
        <v>250</v>
      </c>
      <c r="B262" s="131">
        <f t="shared" si="15"/>
        <v>1490658.9272037705</v>
      </c>
      <c r="C262" s="131">
        <f t="shared" si="16"/>
        <v>6608.5879106033826</v>
      </c>
      <c r="D262" s="131">
        <f t="shared" si="19"/>
        <v>10424.14006953952</v>
      </c>
      <c r="E262" s="131">
        <f t="shared" si="17"/>
        <v>17032.727980142903</v>
      </c>
      <c r="F262" s="131">
        <f t="shared" si="18"/>
        <v>1480234.7871342311</v>
      </c>
    </row>
    <row r="263" spans="1:6" x14ac:dyDescent="0.2">
      <c r="A263" s="134">
        <v>251</v>
      </c>
      <c r="B263" s="131">
        <f t="shared" si="15"/>
        <v>1480234.7871342311</v>
      </c>
      <c r="C263" s="131">
        <f t="shared" si="16"/>
        <v>6562.3742229617574</v>
      </c>
      <c r="D263" s="131">
        <f t="shared" si="19"/>
        <v>10470.353757181147</v>
      </c>
      <c r="E263" s="131">
        <f t="shared" si="17"/>
        <v>17032.727980142903</v>
      </c>
      <c r="F263" s="131">
        <f t="shared" si="18"/>
        <v>1469764.4333770499</v>
      </c>
    </row>
    <row r="264" spans="1:6" x14ac:dyDescent="0.2">
      <c r="A264" s="134">
        <v>252</v>
      </c>
      <c r="B264" s="131">
        <f t="shared" si="15"/>
        <v>1469764.4333770499</v>
      </c>
      <c r="C264" s="131">
        <f t="shared" si="16"/>
        <v>6515.9556546382546</v>
      </c>
      <c r="D264" s="131">
        <f t="shared" si="19"/>
        <v>10516.772325504648</v>
      </c>
      <c r="E264" s="131">
        <f t="shared" si="17"/>
        <v>17032.727980142903</v>
      </c>
      <c r="F264" s="131">
        <f t="shared" si="18"/>
        <v>1459247.6610515453</v>
      </c>
    </row>
    <row r="265" spans="1:6" x14ac:dyDescent="0.2">
      <c r="A265" s="134">
        <v>253</v>
      </c>
      <c r="B265" s="131">
        <f t="shared" si="15"/>
        <v>1459247.6610515453</v>
      </c>
      <c r="C265" s="131">
        <f t="shared" si="16"/>
        <v>6469.3312973285174</v>
      </c>
      <c r="D265" s="131">
        <f t="shared" si="19"/>
        <v>10563.396682814386</v>
      </c>
      <c r="E265" s="131">
        <f t="shared" si="17"/>
        <v>17032.727980142903</v>
      </c>
      <c r="F265" s="131">
        <f t="shared" si="18"/>
        <v>1448684.2643687308</v>
      </c>
    </row>
    <row r="266" spans="1:6" x14ac:dyDescent="0.2">
      <c r="A266" s="134">
        <v>254</v>
      </c>
      <c r="B266" s="131">
        <f t="shared" si="15"/>
        <v>1448684.2643687308</v>
      </c>
      <c r="C266" s="131">
        <f t="shared" si="16"/>
        <v>6422.5002387013728</v>
      </c>
      <c r="D266" s="131">
        <f t="shared" si="19"/>
        <v>10610.227741441529</v>
      </c>
      <c r="E266" s="131">
        <f t="shared" si="17"/>
        <v>17032.727980142903</v>
      </c>
      <c r="F266" s="131">
        <f t="shared" si="18"/>
        <v>1438074.0366272894</v>
      </c>
    </row>
    <row r="267" spans="1:6" x14ac:dyDescent="0.2">
      <c r="A267" s="134">
        <v>255</v>
      </c>
      <c r="B267" s="131">
        <f t="shared" si="15"/>
        <v>1438074.0366272894</v>
      </c>
      <c r="C267" s="131">
        <f t="shared" si="16"/>
        <v>6375.4615623809832</v>
      </c>
      <c r="D267" s="131">
        <f t="shared" si="19"/>
        <v>10657.266417761919</v>
      </c>
      <c r="E267" s="131">
        <f t="shared" si="17"/>
        <v>17032.727980142903</v>
      </c>
      <c r="F267" s="131">
        <f t="shared" si="18"/>
        <v>1427416.7702095273</v>
      </c>
    </row>
    <row r="268" spans="1:6" x14ac:dyDescent="0.2">
      <c r="A268" s="134">
        <v>256</v>
      </c>
      <c r="B268" s="131">
        <f t="shared" si="15"/>
        <v>1427416.7702095273</v>
      </c>
      <c r="C268" s="131">
        <f t="shared" si="16"/>
        <v>6328.2143479289043</v>
      </c>
      <c r="D268" s="131">
        <f t="shared" si="19"/>
        <v>10704.513632213999</v>
      </c>
      <c r="E268" s="131">
        <f t="shared" si="17"/>
        <v>17032.727980142903</v>
      </c>
      <c r="F268" s="131">
        <f t="shared" si="18"/>
        <v>1416712.2565773134</v>
      </c>
    </row>
    <row r="269" spans="1:6" x14ac:dyDescent="0.2">
      <c r="A269" s="134">
        <v>257</v>
      </c>
      <c r="B269" s="131">
        <f t="shared" si="15"/>
        <v>1416712.2565773134</v>
      </c>
      <c r="C269" s="131">
        <f t="shared" si="16"/>
        <v>6280.7576708260895</v>
      </c>
      <c r="D269" s="131">
        <f t="shared" si="19"/>
        <v>10751.970309316814</v>
      </c>
      <c r="E269" s="131">
        <f t="shared" si="17"/>
        <v>17032.727980142903</v>
      </c>
      <c r="F269" s="131">
        <f t="shared" si="18"/>
        <v>1405960.2862679965</v>
      </c>
    </row>
    <row r="270" spans="1:6" x14ac:dyDescent="0.2">
      <c r="A270" s="134">
        <v>258</v>
      </c>
      <c r="B270" s="131">
        <f t="shared" ref="B270:B333" si="20">F269</f>
        <v>1405960.2862679965</v>
      </c>
      <c r="C270" s="131">
        <f t="shared" ref="C270:C333" si="21">($B$3*B270)/$B$6</f>
        <v>6233.0906024547839</v>
      </c>
      <c r="D270" s="131">
        <f t="shared" si="19"/>
        <v>10799.637377688119</v>
      </c>
      <c r="E270" s="131">
        <f t="shared" ref="E270:E333" si="22">$B$7</f>
        <v>17032.727980142903</v>
      </c>
      <c r="F270" s="131">
        <f t="shared" ref="F270:F333" si="23">B270-D270</f>
        <v>1395160.6488903083</v>
      </c>
    </row>
    <row r="271" spans="1:6" x14ac:dyDescent="0.2">
      <c r="A271" s="134">
        <v>259</v>
      </c>
      <c r="B271" s="131">
        <f t="shared" si="20"/>
        <v>1395160.6488903083</v>
      </c>
      <c r="C271" s="131">
        <f t="shared" si="21"/>
        <v>6185.2122100803672</v>
      </c>
      <c r="D271" s="131">
        <f t="shared" ref="D271:D334" si="24">E271-C271</f>
        <v>10847.515770062535</v>
      </c>
      <c r="E271" s="131">
        <f t="shared" si="22"/>
        <v>17032.727980142903</v>
      </c>
      <c r="F271" s="131">
        <f t="shared" si="23"/>
        <v>1384313.1331202458</v>
      </c>
    </row>
    <row r="272" spans="1:6" x14ac:dyDescent="0.2">
      <c r="A272" s="134">
        <v>260</v>
      </c>
      <c r="B272" s="131">
        <f t="shared" si="20"/>
        <v>1384313.1331202458</v>
      </c>
      <c r="C272" s="131">
        <f t="shared" si="21"/>
        <v>6137.121556833089</v>
      </c>
      <c r="D272" s="131">
        <f t="shared" si="24"/>
        <v>10895.606423309815</v>
      </c>
      <c r="E272" s="131">
        <f t="shared" si="22"/>
        <v>17032.727980142903</v>
      </c>
      <c r="F272" s="131">
        <f t="shared" si="23"/>
        <v>1373417.526696936</v>
      </c>
    </row>
    <row r="273" spans="1:6" x14ac:dyDescent="0.2">
      <c r="A273" s="134">
        <v>261</v>
      </c>
      <c r="B273" s="131">
        <f t="shared" si="20"/>
        <v>1373417.526696936</v>
      </c>
      <c r="C273" s="131">
        <f t="shared" si="21"/>
        <v>6088.8177016897498</v>
      </c>
      <c r="D273" s="131">
        <f t="shared" si="24"/>
        <v>10943.910278453153</v>
      </c>
      <c r="E273" s="131">
        <f t="shared" si="22"/>
        <v>17032.727980142903</v>
      </c>
      <c r="F273" s="131">
        <f t="shared" si="23"/>
        <v>1362473.6164184827</v>
      </c>
    </row>
    <row r="274" spans="1:6" x14ac:dyDescent="0.2">
      <c r="A274" s="134">
        <v>262</v>
      </c>
      <c r="B274" s="131">
        <f t="shared" si="20"/>
        <v>1362473.6164184827</v>
      </c>
      <c r="C274" s="131">
        <f t="shared" si="21"/>
        <v>6040.2996994552732</v>
      </c>
      <c r="D274" s="131">
        <f t="shared" si="24"/>
        <v>10992.428280687629</v>
      </c>
      <c r="E274" s="131">
        <f t="shared" si="22"/>
        <v>17032.727980142903</v>
      </c>
      <c r="F274" s="131">
        <f t="shared" si="23"/>
        <v>1351481.1881377951</v>
      </c>
    </row>
    <row r="275" spans="1:6" x14ac:dyDescent="0.2">
      <c r="A275" s="134">
        <v>263</v>
      </c>
      <c r="B275" s="131">
        <f t="shared" si="20"/>
        <v>1351481.1881377951</v>
      </c>
      <c r="C275" s="131">
        <f t="shared" si="21"/>
        <v>5991.5666007442242</v>
      </c>
      <c r="D275" s="131">
        <f t="shared" si="24"/>
        <v>11041.16137939868</v>
      </c>
      <c r="E275" s="131">
        <f t="shared" si="22"/>
        <v>17032.727980142903</v>
      </c>
      <c r="F275" s="131">
        <f t="shared" si="23"/>
        <v>1340440.0267583963</v>
      </c>
    </row>
    <row r="276" spans="1:6" x14ac:dyDescent="0.2">
      <c r="A276" s="134">
        <v>264</v>
      </c>
      <c r="B276" s="131">
        <f t="shared" si="20"/>
        <v>1340440.0267583963</v>
      </c>
      <c r="C276" s="131">
        <f t="shared" si="21"/>
        <v>5942.6174519622227</v>
      </c>
      <c r="D276" s="131">
        <f t="shared" si="24"/>
        <v>11090.110528180681</v>
      </c>
      <c r="E276" s="131">
        <f t="shared" si="22"/>
        <v>17032.727980142903</v>
      </c>
      <c r="F276" s="131">
        <f t="shared" si="23"/>
        <v>1329349.9162302157</v>
      </c>
    </row>
    <row r="277" spans="1:6" x14ac:dyDescent="0.2">
      <c r="A277" s="134">
        <v>265</v>
      </c>
      <c r="B277" s="131">
        <f t="shared" si="20"/>
        <v>1329349.9162302157</v>
      </c>
      <c r="C277" s="131">
        <f t="shared" si="21"/>
        <v>5893.4512952872892</v>
      </c>
      <c r="D277" s="131">
        <f t="shared" si="24"/>
        <v>11139.276684855613</v>
      </c>
      <c r="E277" s="131">
        <f t="shared" si="22"/>
        <v>17032.727980142903</v>
      </c>
      <c r="F277" s="131">
        <f t="shared" si="23"/>
        <v>1318210.6395453601</v>
      </c>
    </row>
    <row r="278" spans="1:6" x14ac:dyDescent="0.2">
      <c r="A278" s="134">
        <v>266</v>
      </c>
      <c r="B278" s="131">
        <f t="shared" si="20"/>
        <v>1318210.6395453601</v>
      </c>
      <c r="C278" s="131">
        <f t="shared" si="21"/>
        <v>5844.0671686510968</v>
      </c>
      <c r="D278" s="131">
        <f t="shared" si="24"/>
        <v>11188.660811491805</v>
      </c>
      <c r="E278" s="131">
        <f t="shared" si="22"/>
        <v>17032.727980142903</v>
      </c>
      <c r="F278" s="131">
        <f t="shared" si="23"/>
        <v>1307021.9787338683</v>
      </c>
    </row>
    <row r="279" spans="1:6" x14ac:dyDescent="0.2">
      <c r="A279" s="134">
        <v>267</v>
      </c>
      <c r="B279" s="131">
        <f t="shared" si="20"/>
        <v>1307021.9787338683</v>
      </c>
      <c r="C279" s="131">
        <f t="shared" si="21"/>
        <v>5794.4641057201488</v>
      </c>
      <c r="D279" s="131">
        <f t="shared" si="24"/>
        <v>11238.263874422755</v>
      </c>
      <c r="E279" s="131">
        <f t="shared" si="22"/>
        <v>17032.727980142903</v>
      </c>
      <c r="F279" s="131">
        <f t="shared" si="23"/>
        <v>1295783.7148594456</v>
      </c>
    </row>
    <row r="280" spans="1:6" x14ac:dyDescent="0.2">
      <c r="A280" s="134">
        <v>268</v>
      </c>
      <c r="B280" s="131">
        <f t="shared" si="20"/>
        <v>1295783.7148594456</v>
      </c>
      <c r="C280" s="131">
        <f t="shared" si="21"/>
        <v>5744.6411358768746</v>
      </c>
      <c r="D280" s="131">
        <f t="shared" si="24"/>
        <v>11288.086844266028</v>
      </c>
      <c r="E280" s="131">
        <f t="shared" si="22"/>
        <v>17032.727980142903</v>
      </c>
      <c r="F280" s="131">
        <f t="shared" si="23"/>
        <v>1284495.6280151797</v>
      </c>
    </row>
    <row r="281" spans="1:6" x14ac:dyDescent="0.2">
      <c r="A281" s="134">
        <v>269</v>
      </c>
      <c r="B281" s="131">
        <f t="shared" si="20"/>
        <v>1284495.6280151797</v>
      </c>
      <c r="C281" s="131">
        <f t="shared" si="21"/>
        <v>5694.5972842006295</v>
      </c>
      <c r="D281" s="131">
        <f t="shared" si="24"/>
        <v>11338.130695942273</v>
      </c>
      <c r="E281" s="131">
        <f t="shared" si="22"/>
        <v>17032.727980142903</v>
      </c>
      <c r="F281" s="131">
        <f t="shared" si="23"/>
        <v>1273157.4973192373</v>
      </c>
    </row>
    <row r="282" spans="1:6" x14ac:dyDescent="0.2">
      <c r="A282" s="134">
        <v>270</v>
      </c>
      <c r="B282" s="131">
        <f t="shared" si="20"/>
        <v>1273157.4973192373</v>
      </c>
      <c r="C282" s="131">
        <f t="shared" si="21"/>
        <v>5644.3315714486189</v>
      </c>
      <c r="D282" s="131">
        <f t="shared" si="24"/>
        <v>11388.396408694283</v>
      </c>
      <c r="E282" s="131">
        <f t="shared" si="22"/>
        <v>17032.727980142903</v>
      </c>
      <c r="F282" s="131">
        <f t="shared" si="23"/>
        <v>1261769.100910543</v>
      </c>
    </row>
    <row r="283" spans="1:6" x14ac:dyDescent="0.2">
      <c r="A283" s="134">
        <v>271</v>
      </c>
      <c r="B283" s="131">
        <f t="shared" si="20"/>
        <v>1261769.100910543</v>
      </c>
      <c r="C283" s="131">
        <f t="shared" si="21"/>
        <v>5593.8430140367409</v>
      </c>
      <c r="D283" s="131">
        <f t="shared" si="24"/>
        <v>11438.884966106161</v>
      </c>
      <c r="E283" s="131">
        <f t="shared" si="22"/>
        <v>17032.727980142903</v>
      </c>
      <c r="F283" s="131">
        <f t="shared" si="23"/>
        <v>1250330.2159444368</v>
      </c>
    </row>
    <row r="284" spans="1:6" x14ac:dyDescent="0.2">
      <c r="A284" s="134">
        <v>272</v>
      </c>
      <c r="B284" s="131">
        <f t="shared" si="20"/>
        <v>1250330.2159444368</v>
      </c>
      <c r="C284" s="131">
        <f t="shared" si="21"/>
        <v>5543.1306240203367</v>
      </c>
      <c r="D284" s="131">
        <f t="shared" si="24"/>
        <v>11489.597356122566</v>
      </c>
      <c r="E284" s="131">
        <f t="shared" si="22"/>
        <v>17032.727980142903</v>
      </c>
      <c r="F284" s="131">
        <f t="shared" si="23"/>
        <v>1238840.6185883144</v>
      </c>
    </row>
    <row r="285" spans="1:6" x14ac:dyDescent="0.2">
      <c r="A285" s="134">
        <v>273</v>
      </c>
      <c r="B285" s="131">
        <f t="shared" si="20"/>
        <v>1238840.6185883144</v>
      </c>
      <c r="C285" s="131">
        <f t="shared" si="21"/>
        <v>5492.1934090748609</v>
      </c>
      <c r="D285" s="131">
        <f t="shared" si="24"/>
        <v>11540.534571068041</v>
      </c>
      <c r="E285" s="131">
        <f t="shared" si="22"/>
        <v>17032.727980142903</v>
      </c>
      <c r="F285" s="131">
        <f t="shared" si="23"/>
        <v>1227300.0840172463</v>
      </c>
    </row>
    <row r="286" spans="1:6" x14ac:dyDescent="0.2">
      <c r="A286" s="134">
        <v>274</v>
      </c>
      <c r="B286" s="131">
        <f t="shared" si="20"/>
        <v>1227300.0840172463</v>
      </c>
      <c r="C286" s="131">
        <f t="shared" si="21"/>
        <v>5441.0303724764581</v>
      </c>
      <c r="D286" s="131">
        <f t="shared" si="24"/>
        <v>11591.697607666445</v>
      </c>
      <c r="E286" s="131">
        <f t="shared" si="22"/>
        <v>17032.727980142903</v>
      </c>
      <c r="F286" s="131">
        <f t="shared" si="23"/>
        <v>1215708.3864095798</v>
      </c>
    </row>
    <row r="287" spans="1:6" x14ac:dyDescent="0.2">
      <c r="A287" s="134">
        <v>275</v>
      </c>
      <c r="B287" s="131">
        <f t="shared" si="20"/>
        <v>1215708.3864095798</v>
      </c>
      <c r="C287" s="131">
        <f t="shared" si="21"/>
        <v>5389.6405130824705</v>
      </c>
      <c r="D287" s="131">
        <f t="shared" si="24"/>
        <v>11643.087467060432</v>
      </c>
      <c r="E287" s="131">
        <f t="shared" si="22"/>
        <v>17032.727980142903</v>
      </c>
      <c r="F287" s="131">
        <f t="shared" si="23"/>
        <v>1204065.2989425194</v>
      </c>
    </row>
    <row r="288" spans="1:6" x14ac:dyDescent="0.2">
      <c r="A288" s="134">
        <v>276</v>
      </c>
      <c r="B288" s="131">
        <f t="shared" si="20"/>
        <v>1204065.2989425194</v>
      </c>
      <c r="C288" s="131">
        <f t="shared" si="21"/>
        <v>5338.0228253118357</v>
      </c>
      <c r="D288" s="131">
        <f t="shared" si="24"/>
        <v>11694.705154831066</v>
      </c>
      <c r="E288" s="131">
        <f t="shared" si="22"/>
        <v>17032.727980142903</v>
      </c>
      <c r="F288" s="131">
        <f t="shared" si="23"/>
        <v>1192370.5937876883</v>
      </c>
    </row>
    <row r="289" spans="1:6" x14ac:dyDescent="0.2">
      <c r="A289" s="134">
        <v>277</v>
      </c>
      <c r="B289" s="131">
        <f t="shared" si="20"/>
        <v>1192370.5937876883</v>
      </c>
      <c r="C289" s="131">
        <f t="shared" si="21"/>
        <v>5286.1762991254172</v>
      </c>
      <c r="D289" s="131">
        <f t="shared" si="24"/>
        <v>11746.551681017485</v>
      </c>
      <c r="E289" s="131">
        <f t="shared" si="22"/>
        <v>17032.727980142903</v>
      </c>
      <c r="F289" s="131">
        <f t="shared" si="23"/>
        <v>1180624.0421066708</v>
      </c>
    </row>
    <row r="290" spans="1:6" x14ac:dyDescent="0.2">
      <c r="A290" s="134">
        <v>278</v>
      </c>
      <c r="B290" s="131">
        <f t="shared" si="20"/>
        <v>1180624.0421066708</v>
      </c>
      <c r="C290" s="131">
        <f t="shared" si="21"/>
        <v>5234.0999200062406</v>
      </c>
      <c r="D290" s="131">
        <f t="shared" si="24"/>
        <v>11798.628060136663</v>
      </c>
      <c r="E290" s="131">
        <f t="shared" si="22"/>
        <v>17032.727980142903</v>
      </c>
      <c r="F290" s="131">
        <f t="shared" si="23"/>
        <v>1168825.4140465341</v>
      </c>
    </row>
    <row r="291" spans="1:6" x14ac:dyDescent="0.2">
      <c r="A291" s="134">
        <v>279</v>
      </c>
      <c r="B291" s="131">
        <f t="shared" si="20"/>
        <v>1168825.4140465341</v>
      </c>
      <c r="C291" s="131">
        <f t="shared" si="21"/>
        <v>5181.7926689396345</v>
      </c>
      <c r="D291" s="131">
        <f t="shared" si="24"/>
        <v>11850.93531120327</v>
      </c>
      <c r="E291" s="131">
        <f t="shared" si="22"/>
        <v>17032.727980142903</v>
      </c>
      <c r="F291" s="131">
        <f t="shared" si="23"/>
        <v>1156974.4787353307</v>
      </c>
    </row>
    <row r="292" spans="1:6" x14ac:dyDescent="0.2">
      <c r="A292" s="134">
        <v>280</v>
      </c>
      <c r="B292" s="131">
        <f t="shared" si="20"/>
        <v>1156974.4787353307</v>
      </c>
      <c r="C292" s="131">
        <f t="shared" si="21"/>
        <v>5129.2535223932991</v>
      </c>
      <c r="D292" s="131">
        <f t="shared" si="24"/>
        <v>11903.474457749604</v>
      </c>
      <c r="E292" s="131">
        <f t="shared" si="22"/>
        <v>17032.727980142903</v>
      </c>
      <c r="F292" s="131">
        <f t="shared" si="23"/>
        <v>1145071.0042775811</v>
      </c>
    </row>
    <row r="293" spans="1:6" x14ac:dyDescent="0.2">
      <c r="A293" s="134">
        <v>281</v>
      </c>
      <c r="B293" s="131">
        <f t="shared" si="20"/>
        <v>1145071.0042775811</v>
      </c>
      <c r="C293" s="131">
        <f t="shared" si="21"/>
        <v>5076.4814522972765</v>
      </c>
      <c r="D293" s="131">
        <f t="shared" si="24"/>
        <v>11956.246527845626</v>
      </c>
      <c r="E293" s="131">
        <f t="shared" si="22"/>
        <v>17032.727980142903</v>
      </c>
      <c r="F293" s="131">
        <f t="shared" si="23"/>
        <v>1133114.7577497354</v>
      </c>
    </row>
    <row r="294" spans="1:6" x14ac:dyDescent="0.2">
      <c r="A294" s="134">
        <v>282</v>
      </c>
      <c r="B294" s="131">
        <f t="shared" si="20"/>
        <v>1133114.7577497354</v>
      </c>
      <c r="C294" s="131">
        <f t="shared" si="21"/>
        <v>5023.4754260238269</v>
      </c>
      <c r="D294" s="131">
        <f t="shared" si="24"/>
        <v>12009.252554119077</v>
      </c>
      <c r="E294" s="131">
        <f t="shared" si="22"/>
        <v>17032.727980142903</v>
      </c>
      <c r="F294" s="131">
        <f t="shared" si="23"/>
        <v>1121105.5051956163</v>
      </c>
    </row>
    <row r="295" spans="1:6" x14ac:dyDescent="0.2">
      <c r="A295" s="134">
        <v>283</v>
      </c>
      <c r="B295" s="131">
        <f t="shared" si="20"/>
        <v>1121105.5051956163</v>
      </c>
      <c r="C295" s="131">
        <f t="shared" si="21"/>
        <v>4970.2344063672317</v>
      </c>
      <c r="D295" s="131">
        <f t="shared" si="24"/>
        <v>12062.493573775671</v>
      </c>
      <c r="E295" s="131">
        <f t="shared" si="22"/>
        <v>17032.727980142903</v>
      </c>
      <c r="F295" s="131">
        <f t="shared" si="23"/>
        <v>1109043.0116218405</v>
      </c>
    </row>
    <row r="296" spans="1:6" x14ac:dyDescent="0.2">
      <c r="A296" s="134">
        <v>284</v>
      </c>
      <c r="B296" s="131">
        <f t="shared" si="20"/>
        <v>1109043.0116218405</v>
      </c>
      <c r="C296" s="131">
        <f t="shared" si="21"/>
        <v>4916.7573515234926</v>
      </c>
      <c r="D296" s="131">
        <f t="shared" si="24"/>
        <v>12115.97062861941</v>
      </c>
      <c r="E296" s="131">
        <f t="shared" si="22"/>
        <v>17032.727980142903</v>
      </c>
      <c r="F296" s="131">
        <f t="shared" si="23"/>
        <v>1096927.0409932211</v>
      </c>
    </row>
    <row r="297" spans="1:6" x14ac:dyDescent="0.2">
      <c r="A297" s="134">
        <v>285</v>
      </c>
      <c r="B297" s="131">
        <f t="shared" si="20"/>
        <v>1096927.0409932211</v>
      </c>
      <c r="C297" s="131">
        <f t="shared" si="21"/>
        <v>4863.0432150699462</v>
      </c>
      <c r="D297" s="131">
        <f t="shared" si="24"/>
        <v>12169.684765072958</v>
      </c>
      <c r="E297" s="131">
        <f t="shared" si="22"/>
        <v>17032.727980142903</v>
      </c>
      <c r="F297" s="131">
        <f t="shared" si="23"/>
        <v>1084757.3562281481</v>
      </c>
    </row>
    <row r="298" spans="1:6" x14ac:dyDescent="0.2">
      <c r="A298" s="134">
        <v>286</v>
      </c>
      <c r="B298" s="131">
        <f t="shared" si="20"/>
        <v>1084757.3562281481</v>
      </c>
      <c r="C298" s="131">
        <f t="shared" si="21"/>
        <v>4809.0909459447894</v>
      </c>
      <c r="D298" s="131">
        <f t="shared" si="24"/>
        <v>12223.637034198113</v>
      </c>
      <c r="E298" s="131">
        <f t="shared" si="22"/>
        <v>17032.727980142903</v>
      </c>
      <c r="F298" s="131">
        <f t="shared" si="23"/>
        <v>1072533.7191939501</v>
      </c>
    </row>
    <row r="299" spans="1:6" x14ac:dyDescent="0.2">
      <c r="A299" s="134">
        <v>287</v>
      </c>
      <c r="B299" s="131">
        <f t="shared" si="20"/>
        <v>1072533.7191939501</v>
      </c>
      <c r="C299" s="131">
        <f t="shared" si="21"/>
        <v>4754.8994884265112</v>
      </c>
      <c r="D299" s="131">
        <f t="shared" si="24"/>
        <v>12277.828491716391</v>
      </c>
      <c r="E299" s="131">
        <f t="shared" si="22"/>
        <v>17032.727980142903</v>
      </c>
      <c r="F299" s="131">
        <f t="shared" si="23"/>
        <v>1060255.8907022336</v>
      </c>
    </row>
    <row r="300" spans="1:6" x14ac:dyDescent="0.2">
      <c r="A300" s="134">
        <v>288</v>
      </c>
      <c r="B300" s="131">
        <f t="shared" si="20"/>
        <v>1060255.8907022336</v>
      </c>
      <c r="C300" s="131">
        <f t="shared" si="21"/>
        <v>4700.4677821132354</v>
      </c>
      <c r="D300" s="131">
        <f t="shared" si="24"/>
        <v>12332.260198029668</v>
      </c>
      <c r="E300" s="131">
        <f t="shared" si="22"/>
        <v>17032.727980142903</v>
      </c>
      <c r="F300" s="131">
        <f t="shared" si="23"/>
        <v>1047923.630504204</v>
      </c>
    </row>
    <row r="301" spans="1:6" x14ac:dyDescent="0.2">
      <c r="A301" s="134">
        <v>289</v>
      </c>
      <c r="B301" s="131">
        <f t="shared" si="20"/>
        <v>1047923.630504204</v>
      </c>
      <c r="C301" s="131">
        <f t="shared" si="21"/>
        <v>4645.7947619019706</v>
      </c>
      <c r="D301" s="131">
        <f t="shared" si="24"/>
        <v>12386.933218240933</v>
      </c>
      <c r="E301" s="131">
        <f t="shared" si="22"/>
        <v>17032.727980142903</v>
      </c>
      <c r="F301" s="131">
        <f t="shared" si="23"/>
        <v>1035536.697285963</v>
      </c>
    </row>
    <row r="302" spans="1:6" x14ac:dyDescent="0.2">
      <c r="A302" s="134">
        <v>290</v>
      </c>
      <c r="B302" s="131">
        <f t="shared" si="20"/>
        <v>1035536.697285963</v>
      </c>
      <c r="C302" s="131">
        <f t="shared" si="21"/>
        <v>4590.8793579677686</v>
      </c>
      <c r="D302" s="131">
        <f t="shared" si="24"/>
        <v>12441.848622175134</v>
      </c>
      <c r="E302" s="131">
        <f t="shared" si="22"/>
        <v>17032.727980142903</v>
      </c>
      <c r="F302" s="131">
        <f t="shared" si="23"/>
        <v>1023094.8486637878</v>
      </c>
    </row>
    <row r="303" spans="1:6" x14ac:dyDescent="0.2">
      <c r="A303" s="134">
        <v>291</v>
      </c>
      <c r="B303" s="131">
        <f t="shared" si="20"/>
        <v>1023094.8486637878</v>
      </c>
      <c r="C303" s="131">
        <f t="shared" si="21"/>
        <v>4535.7204957427921</v>
      </c>
      <c r="D303" s="131">
        <f t="shared" si="24"/>
        <v>12497.00748440011</v>
      </c>
      <c r="E303" s="131">
        <f t="shared" si="22"/>
        <v>17032.727980142903</v>
      </c>
      <c r="F303" s="131">
        <f t="shared" si="23"/>
        <v>1010597.8411793878</v>
      </c>
    </row>
    <row r="304" spans="1:6" x14ac:dyDescent="0.2">
      <c r="A304" s="134">
        <v>292</v>
      </c>
      <c r="B304" s="131">
        <f t="shared" si="20"/>
        <v>1010597.8411793878</v>
      </c>
      <c r="C304" s="131">
        <f t="shared" si="21"/>
        <v>4480.317095895286</v>
      </c>
      <c r="D304" s="131">
        <f t="shared" si="24"/>
        <v>12552.410884247616</v>
      </c>
      <c r="E304" s="131">
        <f t="shared" si="22"/>
        <v>17032.727980142903</v>
      </c>
      <c r="F304" s="131">
        <f t="shared" si="23"/>
        <v>998045.43029514013</v>
      </c>
    </row>
    <row r="305" spans="1:6" x14ac:dyDescent="0.2">
      <c r="A305" s="134">
        <v>293</v>
      </c>
      <c r="B305" s="131">
        <f t="shared" si="20"/>
        <v>998045.43029514013</v>
      </c>
      <c r="C305" s="131">
        <f t="shared" si="21"/>
        <v>4424.6680743084544</v>
      </c>
      <c r="D305" s="131">
        <f t="shared" si="24"/>
        <v>12608.059905834449</v>
      </c>
      <c r="E305" s="131">
        <f t="shared" si="22"/>
        <v>17032.727980142903</v>
      </c>
      <c r="F305" s="131">
        <f t="shared" si="23"/>
        <v>985437.37038930564</v>
      </c>
    </row>
    <row r="306" spans="1:6" x14ac:dyDescent="0.2">
      <c r="A306" s="134">
        <v>294</v>
      </c>
      <c r="B306" s="131">
        <f t="shared" si="20"/>
        <v>985437.37038930564</v>
      </c>
      <c r="C306" s="131">
        <f t="shared" si="21"/>
        <v>4368.7723420592547</v>
      </c>
      <c r="D306" s="131">
        <f t="shared" si="24"/>
        <v>12663.955638083648</v>
      </c>
      <c r="E306" s="131">
        <f t="shared" si="22"/>
        <v>17032.727980142903</v>
      </c>
      <c r="F306" s="131">
        <f t="shared" si="23"/>
        <v>972773.41475122201</v>
      </c>
    </row>
    <row r="307" spans="1:6" x14ac:dyDescent="0.2">
      <c r="A307" s="134">
        <v>295</v>
      </c>
      <c r="B307" s="131">
        <f t="shared" si="20"/>
        <v>972773.41475122201</v>
      </c>
      <c r="C307" s="131">
        <f t="shared" si="21"/>
        <v>4312.6288053970839</v>
      </c>
      <c r="D307" s="131">
        <f t="shared" si="24"/>
        <v>12720.099174745819</v>
      </c>
      <c r="E307" s="131">
        <f t="shared" si="22"/>
        <v>17032.727980142903</v>
      </c>
      <c r="F307" s="131">
        <f t="shared" si="23"/>
        <v>960053.31557647616</v>
      </c>
    </row>
    <row r="308" spans="1:6" x14ac:dyDescent="0.2">
      <c r="A308" s="134">
        <v>296</v>
      </c>
      <c r="B308" s="131">
        <f t="shared" si="20"/>
        <v>960053.31557647616</v>
      </c>
      <c r="C308" s="131">
        <f t="shared" si="21"/>
        <v>4256.2363657223768</v>
      </c>
      <c r="D308" s="131">
        <f t="shared" si="24"/>
        <v>12776.491614420527</v>
      </c>
      <c r="E308" s="131">
        <f t="shared" si="22"/>
        <v>17032.727980142903</v>
      </c>
      <c r="F308" s="131">
        <f t="shared" si="23"/>
        <v>947276.82396205561</v>
      </c>
    </row>
    <row r="309" spans="1:6" x14ac:dyDescent="0.2">
      <c r="A309" s="134">
        <v>297</v>
      </c>
      <c r="B309" s="131">
        <f t="shared" si="20"/>
        <v>947276.82396205561</v>
      </c>
      <c r="C309" s="131">
        <f t="shared" si="21"/>
        <v>4199.5939195651126</v>
      </c>
      <c r="D309" s="131">
        <f t="shared" si="24"/>
        <v>12833.134060577791</v>
      </c>
      <c r="E309" s="131">
        <f t="shared" si="22"/>
        <v>17032.727980142903</v>
      </c>
      <c r="F309" s="131">
        <f t="shared" si="23"/>
        <v>934443.68990147777</v>
      </c>
    </row>
    <row r="310" spans="1:6" x14ac:dyDescent="0.2">
      <c r="A310" s="134">
        <v>298</v>
      </c>
      <c r="B310" s="131">
        <f t="shared" si="20"/>
        <v>934443.68990147777</v>
      </c>
      <c r="C310" s="131">
        <f t="shared" si="21"/>
        <v>4142.7003585632183</v>
      </c>
      <c r="D310" s="131">
        <f t="shared" si="24"/>
        <v>12890.027621579684</v>
      </c>
      <c r="E310" s="131">
        <f t="shared" si="22"/>
        <v>17032.727980142903</v>
      </c>
      <c r="F310" s="131">
        <f t="shared" si="23"/>
        <v>921553.66227989807</v>
      </c>
    </row>
    <row r="311" spans="1:6" x14ac:dyDescent="0.2">
      <c r="A311" s="134">
        <v>299</v>
      </c>
      <c r="B311" s="131">
        <f t="shared" si="20"/>
        <v>921553.66227989807</v>
      </c>
      <c r="C311" s="131">
        <f t="shared" si="21"/>
        <v>4085.5545694408811</v>
      </c>
      <c r="D311" s="131">
        <f t="shared" si="24"/>
        <v>12947.173410702022</v>
      </c>
      <c r="E311" s="131">
        <f t="shared" si="22"/>
        <v>17032.727980142903</v>
      </c>
      <c r="F311" s="131">
        <f t="shared" si="23"/>
        <v>908606.48886919604</v>
      </c>
    </row>
    <row r="312" spans="1:6" x14ac:dyDescent="0.2">
      <c r="A312" s="134">
        <v>300</v>
      </c>
      <c r="B312" s="131">
        <f t="shared" si="20"/>
        <v>908606.48886919604</v>
      </c>
      <c r="C312" s="131">
        <f t="shared" si="21"/>
        <v>4028.1554339867689</v>
      </c>
      <c r="D312" s="131">
        <f t="shared" si="24"/>
        <v>13004.572546156134</v>
      </c>
      <c r="E312" s="131">
        <f t="shared" si="22"/>
        <v>17032.727980142903</v>
      </c>
      <c r="F312" s="131">
        <f t="shared" si="23"/>
        <v>895601.91632303991</v>
      </c>
    </row>
    <row r="313" spans="1:6" x14ac:dyDescent="0.2">
      <c r="A313" s="134">
        <f>A312+1</f>
        <v>301</v>
      </c>
      <c r="B313" s="131">
        <f t="shared" si="20"/>
        <v>895601.91632303991</v>
      </c>
      <c r="C313" s="131">
        <f t="shared" si="21"/>
        <v>3970.5018290321436</v>
      </c>
      <c r="D313" s="131">
        <f t="shared" si="24"/>
        <v>13062.226151110759</v>
      </c>
      <c r="E313" s="131">
        <f t="shared" si="22"/>
        <v>17032.727980142903</v>
      </c>
      <c r="F313" s="131">
        <f t="shared" si="23"/>
        <v>882539.69017192919</v>
      </c>
    </row>
    <row r="314" spans="1:6" x14ac:dyDescent="0.2">
      <c r="A314" s="134">
        <f t="shared" ref="A314:A372" si="25">A313+1</f>
        <v>302</v>
      </c>
      <c r="B314" s="131">
        <f t="shared" si="20"/>
        <v>882539.69017192919</v>
      </c>
      <c r="C314" s="131">
        <f t="shared" si="21"/>
        <v>3912.592626428886</v>
      </c>
      <c r="D314" s="131">
        <f t="shared" si="24"/>
        <v>13120.135353714017</v>
      </c>
      <c r="E314" s="131">
        <f t="shared" si="22"/>
        <v>17032.727980142903</v>
      </c>
      <c r="F314" s="131">
        <f t="shared" si="23"/>
        <v>869419.5548182152</v>
      </c>
    </row>
    <row r="315" spans="1:6" x14ac:dyDescent="0.2">
      <c r="A315" s="134">
        <f t="shared" si="25"/>
        <v>303</v>
      </c>
      <c r="B315" s="131">
        <f t="shared" si="20"/>
        <v>869419.5548182152</v>
      </c>
      <c r="C315" s="131">
        <f t="shared" si="21"/>
        <v>3854.4266930274207</v>
      </c>
      <c r="D315" s="131">
        <f t="shared" si="24"/>
        <v>13178.301287115482</v>
      </c>
      <c r="E315" s="131">
        <f t="shared" si="22"/>
        <v>17032.727980142903</v>
      </c>
      <c r="F315" s="131">
        <f t="shared" si="23"/>
        <v>856241.25353109976</v>
      </c>
    </row>
    <row r="316" spans="1:6" x14ac:dyDescent="0.2">
      <c r="A316" s="134">
        <f t="shared" si="25"/>
        <v>304</v>
      </c>
      <c r="B316" s="131">
        <f t="shared" si="20"/>
        <v>856241.25353109976</v>
      </c>
      <c r="C316" s="131">
        <f t="shared" si="21"/>
        <v>3796.0028906545417</v>
      </c>
      <c r="D316" s="131">
        <f t="shared" si="24"/>
        <v>13236.725089488362</v>
      </c>
      <c r="E316" s="131">
        <f t="shared" si="22"/>
        <v>17032.727980142903</v>
      </c>
      <c r="F316" s="131">
        <f t="shared" si="23"/>
        <v>843004.52844161144</v>
      </c>
    </row>
    <row r="317" spans="1:6" x14ac:dyDescent="0.2">
      <c r="A317" s="134">
        <f t="shared" si="25"/>
        <v>305</v>
      </c>
      <c r="B317" s="131">
        <f t="shared" si="20"/>
        <v>843004.52844161144</v>
      </c>
      <c r="C317" s="131">
        <f t="shared" si="21"/>
        <v>3737.3200760911441</v>
      </c>
      <c r="D317" s="131">
        <f t="shared" si="24"/>
        <v>13295.407904051759</v>
      </c>
      <c r="E317" s="131">
        <f t="shared" si="22"/>
        <v>17032.727980142903</v>
      </c>
      <c r="F317" s="131">
        <f t="shared" si="23"/>
        <v>829709.12053755973</v>
      </c>
    </row>
    <row r="318" spans="1:6" x14ac:dyDescent="0.2">
      <c r="A318" s="134">
        <f t="shared" si="25"/>
        <v>306</v>
      </c>
      <c r="B318" s="131">
        <f t="shared" si="20"/>
        <v>829709.12053755973</v>
      </c>
      <c r="C318" s="131">
        <f t="shared" si="21"/>
        <v>3678.3771010498481</v>
      </c>
      <c r="D318" s="131">
        <f t="shared" si="24"/>
        <v>13354.350879093055</v>
      </c>
      <c r="E318" s="131">
        <f t="shared" si="22"/>
        <v>17032.727980142903</v>
      </c>
      <c r="F318" s="131">
        <f t="shared" si="23"/>
        <v>816354.76965846668</v>
      </c>
    </row>
    <row r="319" spans="1:6" x14ac:dyDescent="0.2">
      <c r="A319" s="134">
        <f t="shared" si="25"/>
        <v>307</v>
      </c>
      <c r="B319" s="131">
        <f t="shared" si="20"/>
        <v>816354.76965846668</v>
      </c>
      <c r="C319" s="131">
        <f t="shared" si="21"/>
        <v>3619.1728121525357</v>
      </c>
      <c r="D319" s="131">
        <f t="shared" si="24"/>
        <v>13413.555167990367</v>
      </c>
      <c r="E319" s="131">
        <f t="shared" si="22"/>
        <v>17032.727980142903</v>
      </c>
      <c r="F319" s="131">
        <f t="shared" si="23"/>
        <v>802941.2144904763</v>
      </c>
    </row>
    <row r="320" spans="1:6" x14ac:dyDescent="0.2">
      <c r="A320" s="134">
        <f t="shared" si="25"/>
        <v>308</v>
      </c>
      <c r="B320" s="131">
        <f t="shared" si="20"/>
        <v>802941.2144904763</v>
      </c>
      <c r="C320" s="131">
        <f t="shared" si="21"/>
        <v>3559.7060509077783</v>
      </c>
      <c r="D320" s="131">
        <f t="shared" si="24"/>
        <v>13473.021929235125</v>
      </c>
      <c r="E320" s="131">
        <f t="shared" si="22"/>
        <v>17032.727980142903</v>
      </c>
      <c r="F320" s="131">
        <f t="shared" si="23"/>
        <v>789468.19256124122</v>
      </c>
    </row>
    <row r="321" spans="1:6" x14ac:dyDescent="0.2">
      <c r="A321" s="134">
        <f t="shared" si="25"/>
        <v>309</v>
      </c>
      <c r="B321" s="131">
        <f t="shared" si="20"/>
        <v>789468.19256124122</v>
      </c>
      <c r="C321" s="131">
        <f t="shared" si="21"/>
        <v>3499.9756536881691</v>
      </c>
      <c r="D321" s="131">
        <f t="shared" si="24"/>
        <v>13532.752326454734</v>
      </c>
      <c r="E321" s="131">
        <f t="shared" si="22"/>
        <v>17032.727980142903</v>
      </c>
      <c r="F321" s="131">
        <f t="shared" si="23"/>
        <v>775935.44023478648</v>
      </c>
    </row>
    <row r="322" spans="1:6" x14ac:dyDescent="0.2">
      <c r="A322" s="134">
        <f t="shared" si="25"/>
        <v>310</v>
      </c>
      <c r="B322" s="131">
        <f t="shared" si="20"/>
        <v>775935.44023478648</v>
      </c>
      <c r="C322" s="131">
        <f t="shared" si="21"/>
        <v>3439.9804517075531</v>
      </c>
      <c r="D322" s="131">
        <f t="shared" si="24"/>
        <v>13592.74752843535</v>
      </c>
      <c r="E322" s="131">
        <f t="shared" si="22"/>
        <v>17032.727980142903</v>
      </c>
      <c r="F322" s="131">
        <f t="shared" si="23"/>
        <v>762342.69270635117</v>
      </c>
    </row>
    <row r="323" spans="1:6" x14ac:dyDescent="0.2">
      <c r="A323" s="134">
        <f t="shared" si="25"/>
        <v>311</v>
      </c>
      <c r="B323" s="131">
        <f t="shared" si="20"/>
        <v>762342.69270635117</v>
      </c>
      <c r="C323" s="131">
        <f t="shared" si="21"/>
        <v>3379.7192709981568</v>
      </c>
      <c r="D323" s="131">
        <f t="shared" si="24"/>
        <v>13653.008709144746</v>
      </c>
      <c r="E323" s="131">
        <f t="shared" si="22"/>
        <v>17032.727980142903</v>
      </c>
      <c r="F323" s="131">
        <f t="shared" si="23"/>
        <v>748689.68399720639</v>
      </c>
    </row>
    <row r="324" spans="1:6" x14ac:dyDescent="0.2">
      <c r="A324" s="134">
        <f t="shared" si="25"/>
        <v>312</v>
      </c>
      <c r="B324" s="131">
        <f t="shared" si="20"/>
        <v>748689.68399720639</v>
      </c>
      <c r="C324" s="131">
        <f t="shared" si="21"/>
        <v>3319.1909323876148</v>
      </c>
      <c r="D324" s="131">
        <f t="shared" si="24"/>
        <v>13713.537047755288</v>
      </c>
      <c r="E324" s="131">
        <f t="shared" si="22"/>
        <v>17032.727980142903</v>
      </c>
      <c r="F324" s="131">
        <f t="shared" si="23"/>
        <v>734976.14694945107</v>
      </c>
    </row>
    <row r="325" spans="1:6" x14ac:dyDescent="0.2">
      <c r="A325" s="134">
        <f t="shared" si="25"/>
        <v>313</v>
      </c>
      <c r="B325" s="131">
        <f t="shared" si="20"/>
        <v>734976.14694945107</v>
      </c>
      <c r="C325" s="131">
        <f t="shared" si="21"/>
        <v>3258.3942514758996</v>
      </c>
      <c r="D325" s="131">
        <f t="shared" si="24"/>
        <v>13774.333728667003</v>
      </c>
      <c r="E325" s="131">
        <f t="shared" si="22"/>
        <v>17032.727980142903</v>
      </c>
      <c r="F325" s="131">
        <f t="shared" si="23"/>
        <v>721201.81322078407</v>
      </c>
    </row>
    <row r="326" spans="1:6" x14ac:dyDescent="0.2">
      <c r="A326" s="134">
        <f t="shared" si="25"/>
        <v>314</v>
      </c>
      <c r="B326" s="131">
        <f t="shared" si="20"/>
        <v>721201.81322078407</v>
      </c>
      <c r="C326" s="131">
        <f t="shared" si="21"/>
        <v>3197.3280386121423</v>
      </c>
      <c r="D326" s="131">
        <f t="shared" si="24"/>
        <v>13835.399941530761</v>
      </c>
      <c r="E326" s="131">
        <f t="shared" si="22"/>
        <v>17032.727980142903</v>
      </c>
      <c r="F326" s="131">
        <f t="shared" si="23"/>
        <v>707366.41327925329</v>
      </c>
    </row>
    <row r="327" spans="1:6" x14ac:dyDescent="0.2">
      <c r="A327" s="134">
        <f t="shared" si="25"/>
        <v>315</v>
      </c>
      <c r="B327" s="131">
        <f t="shared" si="20"/>
        <v>707366.41327925329</v>
      </c>
      <c r="C327" s="131">
        <f t="shared" si="21"/>
        <v>3135.9910988713564</v>
      </c>
      <c r="D327" s="131">
        <f t="shared" si="24"/>
        <v>13896.736881271547</v>
      </c>
      <c r="E327" s="131">
        <f t="shared" si="22"/>
        <v>17032.727980142903</v>
      </c>
      <c r="F327" s="131">
        <f t="shared" si="23"/>
        <v>693469.6763979817</v>
      </c>
    </row>
    <row r="328" spans="1:6" x14ac:dyDescent="0.2">
      <c r="A328" s="134">
        <f t="shared" si="25"/>
        <v>316</v>
      </c>
      <c r="B328" s="131">
        <f t="shared" si="20"/>
        <v>693469.6763979817</v>
      </c>
      <c r="C328" s="131">
        <f t="shared" si="21"/>
        <v>3074.3822320310519</v>
      </c>
      <c r="D328" s="131">
        <f t="shared" si="24"/>
        <v>13958.345748111851</v>
      </c>
      <c r="E328" s="131">
        <f t="shared" si="22"/>
        <v>17032.727980142903</v>
      </c>
      <c r="F328" s="131">
        <f t="shared" si="23"/>
        <v>679511.33064986987</v>
      </c>
    </row>
    <row r="329" spans="1:6" x14ac:dyDescent="0.2">
      <c r="A329" s="134">
        <f t="shared" si="25"/>
        <v>317</v>
      </c>
      <c r="B329" s="131">
        <f t="shared" si="20"/>
        <v>679511.33064986987</v>
      </c>
      <c r="C329" s="131">
        <f t="shared" si="21"/>
        <v>3012.5002325477562</v>
      </c>
      <c r="D329" s="131">
        <f t="shared" si="24"/>
        <v>14020.227747595147</v>
      </c>
      <c r="E329" s="131">
        <f t="shared" si="22"/>
        <v>17032.727980142903</v>
      </c>
      <c r="F329" s="131">
        <f t="shared" si="23"/>
        <v>665491.1029022747</v>
      </c>
    </row>
    <row r="330" spans="1:6" x14ac:dyDescent="0.2">
      <c r="A330" s="134">
        <f t="shared" si="25"/>
        <v>318</v>
      </c>
      <c r="B330" s="131">
        <f t="shared" si="20"/>
        <v>665491.1029022747</v>
      </c>
      <c r="C330" s="131">
        <f t="shared" si="21"/>
        <v>2950.343889533418</v>
      </c>
      <c r="D330" s="131">
        <f t="shared" si="24"/>
        <v>14082.384090609485</v>
      </c>
      <c r="E330" s="131">
        <f t="shared" si="22"/>
        <v>17032.727980142903</v>
      </c>
      <c r="F330" s="131">
        <f t="shared" si="23"/>
        <v>651408.7188116652</v>
      </c>
    </row>
    <row r="331" spans="1:6" x14ac:dyDescent="0.2">
      <c r="A331" s="134">
        <f t="shared" si="25"/>
        <v>319</v>
      </c>
      <c r="B331" s="131">
        <f t="shared" si="20"/>
        <v>651408.7188116652</v>
      </c>
      <c r="C331" s="131">
        <f t="shared" si="21"/>
        <v>2887.9119867317154</v>
      </c>
      <c r="D331" s="131">
        <f t="shared" si="24"/>
        <v>14144.815993411188</v>
      </c>
      <c r="E331" s="131">
        <f t="shared" si="22"/>
        <v>17032.727980142903</v>
      </c>
      <c r="F331" s="131">
        <f t="shared" si="23"/>
        <v>637263.90281825396</v>
      </c>
    </row>
    <row r="332" spans="1:6" x14ac:dyDescent="0.2">
      <c r="A332" s="134">
        <f t="shared" si="25"/>
        <v>320</v>
      </c>
      <c r="B332" s="131">
        <f t="shared" si="20"/>
        <v>637263.90281825396</v>
      </c>
      <c r="C332" s="131">
        <f t="shared" si="21"/>
        <v>2825.2033024942593</v>
      </c>
      <c r="D332" s="131">
        <f t="shared" si="24"/>
        <v>14207.524677648644</v>
      </c>
      <c r="E332" s="131">
        <f t="shared" si="22"/>
        <v>17032.727980142903</v>
      </c>
      <c r="F332" s="131">
        <f t="shared" si="23"/>
        <v>623056.37814060529</v>
      </c>
    </row>
    <row r="333" spans="1:6" x14ac:dyDescent="0.2">
      <c r="A333" s="134">
        <f t="shared" si="25"/>
        <v>321</v>
      </c>
      <c r="B333" s="131">
        <f t="shared" si="20"/>
        <v>623056.37814060529</v>
      </c>
      <c r="C333" s="131">
        <f t="shared" si="21"/>
        <v>2762.2166097566837</v>
      </c>
      <c r="D333" s="131">
        <f t="shared" si="24"/>
        <v>14270.511370386219</v>
      </c>
      <c r="E333" s="131">
        <f t="shared" si="22"/>
        <v>17032.727980142903</v>
      </c>
      <c r="F333" s="131">
        <f t="shared" si="23"/>
        <v>608785.86677021906</v>
      </c>
    </row>
    <row r="334" spans="1:6" x14ac:dyDescent="0.2">
      <c r="A334" s="134">
        <f t="shared" si="25"/>
        <v>322</v>
      </c>
      <c r="B334" s="131">
        <f t="shared" ref="B334:B372" si="26">F333</f>
        <v>608785.86677021906</v>
      </c>
      <c r="C334" s="131">
        <f t="shared" ref="C334:C372" si="27">($B$3*B334)/$B$6</f>
        <v>2698.9506760146378</v>
      </c>
      <c r="D334" s="131">
        <f t="shared" si="24"/>
        <v>14333.777304128265</v>
      </c>
      <c r="E334" s="131">
        <f t="shared" ref="E334:E372" si="28">$B$7</f>
        <v>17032.727980142903</v>
      </c>
      <c r="F334" s="131">
        <f t="shared" ref="F334:F372" si="29">B334-D334</f>
        <v>594452.08946609078</v>
      </c>
    </row>
    <row r="335" spans="1:6" x14ac:dyDescent="0.2">
      <c r="A335" s="134">
        <f t="shared" si="25"/>
        <v>323</v>
      </c>
      <c r="B335" s="131">
        <f t="shared" si="26"/>
        <v>594452.08946609078</v>
      </c>
      <c r="C335" s="131">
        <f t="shared" si="27"/>
        <v>2635.4042632996689</v>
      </c>
      <c r="D335" s="131">
        <f t="shared" ref="D335:D372" si="30">E335-C335</f>
        <v>14397.323716843235</v>
      </c>
      <c r="E335" s="131">
        <f t="shared" si="28"/>
        <v>17032.727980142903</v>
      </c>
      <c r="F335" s="131">
        <f t="shared" si="29"/>
        <v>580054.76574924751</v>
      </c>
    </row>
    <row r="336" spans="1:6" x14ac:dyDescent="0.2">
      <c r="A336" s="134">
        <f t="shared" si="25"/>
        <v>324</v>
      </c>
      <c r="B336" s="131">
        <f t="shared" si="26"/>
        <v>580054.76574924751</v>
      </c>
      <c r="C336" s="131">
        <f t="shared" si="27"/>
        <v>2571.5761281549971</v>
      </c>
      <c r="D336" s="131">
        <f t="shared" si="30"/>
        <v>14461.151851987906</v>
      </c>
      <c r="E336" s="131">
        <f t="shared" si="28"/>
        <v>17032.727980142903</v>
      </c>
      <c r="F336" s="131">
        <f t="shared" si="29"/>
        <v>565593.61389725958</v>
      </c>
    </row>
    <row r="337" spans="1:6" x14ac:dyDescent="0.2">
      <c r="A337" s="134">
        <f t="shared" si="25"/>
        <v>325</v>
      </c>
      <c r="B337" s="131">
        <f t="shared" si="26"/>
        <v>565593.61389725958</v>
      </c>
      <c r="C337" s="131">
        <f t="shared" si="27"/>
        <v>2507.4650216111841</v>
      </c>
      <c r="D337" s="131">
        <f t="shared" si="30"/>
        <v>14525.262958531719</v>
      </c>
      <c r="E337" s="131">
        <f t="shared" si="28"/>
        <v>17032.727980142903</v>
      </c>
      <c r="F337" s="131">
        <f t="shared" si="29"/>
        <v>551068.35093872785</v>
      </c>
    </row>
    <row r="338" spans="1:6" x14ac:dyDescent="0.2">
      <c r="A338" s="134">
        <f t="shared" si="25"/>
        <v>326</v>
      </c>
      <c r="B338" s="131">
        <f t="shared" si="26"/>
        <v>551068.35093872785</v>
      </c>
      <c r="C338" s="131">
        <f t="shared" si="27"/>
        <v>2443.0696891616931</v>
      </c>
      <c r="D338" s="131">
        <f t="shared" si="30"/>
        <v>14589.65829098121</v>
      </c>
      <c r="E338" s="131">
        <f t="shared" si="28"/>
        <v>17032.727980142903</v>
      </c>
      <c r="F338" s="131">
        <f t="shared" si="29"/>
        <v>536478.69264774665</v>
      </c>
    </row>
    <row r="339" spans="1:6" x14ac:dyDescent="0.2">
      <c r="A339" s="134">
        <f t="shared" si="25"/>
        <v>327</v>
      </c>
      <c r="B339" s="131">
        <f t="shared" si="26"/>
        <v>536478.69264774665</v>
      </c>
      <c r="C339" s="131">
        <f t="shared" si="27"/>
        <v>2378.3888707383435</v>
      </c>
      <c r="D339" s="131">
        <f t="shared" si="30"/>
        <v>14654.33910940456</v>
      </c>
      <c r="E339" s="131">
        <f t="shared" si="28"/>
        <v>17032.727980142903</v>
      </c>
      <c r="F339" s="131">
        <f t="shared" si="29"/>
        <v>521824.35353834211</v>
      </c>
    </row>
    <row r="340" spans="1:6" x14ac:dyDescent="0.2">
      <c r="A340" s="134">
        <f t="shared" si="25"/>
        <v>328</v>
      </c>
      <c r="B340" s="131">
        <f t="shared" si="26"/>
        <v>521824.35353834211</v>
      </c>
      <c r="C340" s="131">
        <f t="shared" si="27"/>
        <v>2313.4213006866498</v>
      </c>
      <c r="D340" s="131">
        <f t="shared" si="30"/>
        <v>14719.306679456253</v>
      </c>
      <c r="E340" s="131">
        <f t="shared" si="28"/>
        <v>17032.727980142903</v>
      </c>
      <c r="F340" s="131">
        <f t="shared" si="29"/>
        <v>507105.04685888585</v>
      </c>
    </row>
    <row r="341" spans="1:6" x14ac:dyDescent="0.2">
      <c r="A341" s="134">
        <f t="shared" si="25"/>
        <v>329</v>
      </c>
      <c r="B341" s="131">
        <f t="shared" si="26"/>
        <v>507105.04685888585</v>
      </c>
      <c r="C341" s="131">
        <f t="shared" si="27"/>
        <v>2248.1657077410605</v>
      </c>
      <c r="D341" s="131">
        <f t="shared" si="30"/>
        <v>14784.562272401843</v>
      </c>
      <c r="E341" s="131">
        <f t="shared" si="28"/>
        <v>17032.727980142903</v>
      </c>
      <c r="F341" s="131">
        <f t="shared" si="29"/>
        <v>492320.48458648403</v>
      </c>
    </row>
    <row r="342" spans="1:6" x14ac:dyDescent="0.2">
      <c r="A342" s="134">
        <f t="shared" si="25"/>
        <v>330</v>
      </c>
      <c r="B342" s="131">
        <f t="shared" si="26"/>
        <v>492320.48458648403</v>
      </c>
      <c r="C342" s="131">
        <f t="shared" si="27"/>
        <v>2182.6208150000789</v>
      </c>
      <c r="D342" s="131">
        <f t="shared" si="30"/>
        <v>14850.107165142825</v>
      </c>
      <c r="E342" s="131">
        <f t="shared" si="28"/>
        <v>17032.727980142903</v>
      </c>
      <c r="F342" s="131">
        <f t="shared" si="29"/>
        <v>477470.3774213412</v>
      </c>
    </row>
    <row r="343" spans="1:6" x14ac:dyDescent="0.2">
      <c r="A343" s="134">
        <f t="shared" si="25"/>
        <v>331</v>
      </c>
      <c r="B343" s="131">
        <f t="shared" si="26"/>
        <v>477470.3774213412</v>
      </c>
      <c r="C343" s="131">
        <f t="shared" si="27"/>
        <v>2116.7853399012793</v>
      </c>
      <c r="D343" s="131">
        <f t="shared" si="30"/>
        <v>14915.942640241625</v>
      </c>
      <c r="E343" s="131">
        <f t="shared" si="28"/>
        <v>17032.727980142903</v>
      </c>
      <c r="F343" s="131">
        <f t="shared" si="29"/>
        <v>462554.43478109955</v>
      </c>
    </row>
    <row r="344" spans="1:6" x14ac:dyDescent="0.2">
      <c r="A344" s="134">
        <f t="shared" si="25"/>
        <v>332</v>
      </c>
      <c r="B344" s="131">
        <f t="shared" si="26"/>
        <v>462554.43478109955</v>
      </c>
      <c r="C344" s="131">
        <f t="shared" si="27"/>
        <v>2050.6579941962077</v>
      </c>
      <c r="D344" s="131">
        <f t="shared" si="30"/>
        <v>14982.069985946695</v>
      </c>
      <c r="E344" s="131">
        <f t="shared" si="28"/>
        <v>17032.727980142903</v>
      </c>
      <c r="F344" s="131">
        <f t="shared" si="29"/>
        <v>447572.36479515285</v>
      </c>
    </row>
    <row r="345" spans="1:6" x14ac:dyDescent="0.2">
      <c r="A345" s="134">
        <f t="shared" si="25"/>
        <v>333</v>
      </c>
      <c r="B345" s="131">
        <f t="shared" si="26"/>
        <v>447572.36479515285</v>
      </c>
      <c r="C345" s="131">
        <f t="shared" si="27"/>
        <v>1984.2374839251777</v>
      </c>
      <c r="D345" s="131">
        <f t="shared" si="30"/>
        <v>15048.490496217726</v>
      </c>
      <c r="E345" s="131">
        <f t="shared" si="28"/>
        <v>17032.727980142903</v>
      </c>
      <c r="F345" s="131">
        <f t="shared" si="29"/>
        <v>432523.87429893512</v>
      </c>
    </row>
    <row r="346" spans="1:6" x14ac:dyDescent="0.2">
      <c r="A346" s="134">
        <f t="shared" si="25"/>
        <v>334</v>
      </c>
      <c r="B346" s="131">
        <f t="shared" si="26"/>
        <v>432523.87429893512</v>
      </c>
      <c r="C346" s="131">
        <f t="shared" si="27"/>
        <v>1917.5225093919455</v>
      </c>
      <c r="D346" s="131">
        <f t="shared" si="30"/>
        <v>15115.205470750958</v>
      </c>
      <c r="E346" s="131">
        <f t="shared" si="28"/>
        <v>17032.727980142903</v>
      </c>
      <c r="F346" s="131">
        <f t="shared" si="29"/>
        <v>417408.66882818413</v>
      </c>
    </row>
    <row r="347" spans="1:6" x14ac:dyDescent="0.2">
      <c r="A347" s="134">
        <f t="shared" si="25"/>
        <v>335</v>
      </c>
      <c r="B347" s="131">
        <f t="shared" si="26"/>
        <v>417408.66882818413</v>
      </c>
      <c r="C347" s="131">
        <f t="shared" si="27"/>
        <v>1850.5117651382827</v>
      </c>
      <c r="D347" s="131">
        <f t="shared" si="30"/>
        <v>15182.216215004621</v>
      </c>
      <c r="E347" s="131">
        <f t="shared" si="28"/>
        <v>17032.727980142903</v>
      </c>
      <c r="F347" s="131">
        <f t="shared" si="29"/>
        <v>402226.45261317951</v>
      </c>
    </row>
    <row r="348" spans="1:6" x14ac:dyDescent="0.2">
      <c r="A348" s="134">
        <f t="shared" si="25"/>
        <v>336</v>
      </c>
      <c r="B348" s="131">
        <f t="shared" si="26"/>
        <v>402226.45261317951</v>
      </c>
      <c r="C348" s="131">
        <f t="shared" si="27"/>
        <v>1783.2039399184289</v>
      </c>
      <c r="D348" s="131">
        <f t="shared" si="30"/>
        <v>15249.524040224474</v>
      </c>
      <c r="E348" s="131">
        <f t="shared" si="28"/>
        <v>17032.727980142903</v>
      </c>
      <c r="F348" s="131">
        <f t="shared" si="29"/>
        <v>386976.92857295502</v>
      </c>
    </row>
    <row r="349" spans="1:6" x14ac:dyDescent="0.2">
      <c r="A349" s="134">
        <f t="shared" si="25"/>
        <v>337</v>
      </c>
      <c r="B349" s="131">
        <f t="shared" si="26"/>
        <v>386976.92857295502</v>
      </c>
      <c r="C349" s="131">
        <f t="shared" si="27"/>
        <v>1715.5977166734338</v>
      </c>
      <c r="D349" s="131">
        <f t="shared" si="30"/>
        <v>15317.130263469469</v>
      </c>
      <c r="E349" s="131">
        <f t="shared" si="28"/>
        <v>17032.727980142903</v>
      </c>
      <c r="F349" s="131">
        <f t="shared" si="29"/>
        <v>371659.79830948554</v>
      </c>
    </row>
    <row r="350" spans="1:6" x14ac:dyDescent="0.2">
      <c r="A350" s="134">
        <f t="shared" si="25"/>
        <v>338</v>
      </c>
      <c r="B350" s="131">
        <f t="shared" si="26"/>
        <v>371659.79830948554</v>
      </c>
      <c r="C350" s="131">
        <f t="shared" si="27"/>
        <v>1647.6917725053856</v>
      </c>
      <c r="D350" s="131">
        <f t="shared" si="30"/>
        <v>15385.036207637517</v>
      </c>
      <c r="E350" s="131">
        <f t="shared" si="28"/>
        <v>17032.727980142903</v>
      </c>
      <c r="F350" s="131">
        <f t="shared" si="29"/>
        <v>356274.76210184803</v>
      </c>
    </row>
    <row r="351" spans="1:6" x14ac:dyDescent="0.2">
      <c r="A351" s="134">
        <f t="shared" si="25"/>
        <v>339</v>
      </c>
      <c r="B351" s="131">
        <f t="shared" si="26"/>
        <v>356274.76210184803</v>
      </c>
      <c r="C351" s="131">
        <f t="shared" si="27"/>
        <v>1579.4847786515263</v>
      </c>
      <c r="D351" s="131">
        <f t="shared" si="30"/>
        <v>15453.243201491377</v>
      </c>
      <c r="E351" s="131">
        <f t="shared" si="28"/>
        <v>17032.727980142903</v>
      </c>
      <c r="F351" s="131">
        <f t="shared" si="29"/>
        <v>340821.51890035666</v>
      </c>
    </row>
    <row r="352" spans="1:6" x14ac:dyDescent="0.2">
      <c r="A352" s="134">
        <f t="shared" si="25"/>
        <v>340</v>
      </c>
      <c r="B352" s="131">
        <f t="shared" si="26"/>
        <v>340821.51890035666</v>
      </c>
      <c r="C352" s="131">
        <f t="shared" si="27"/>
        <v>1510.9754004582476</v>
      </c>
      <c r="D352" s="131">
        <f t="shared" si="30"/>
        <v>15521.752579684655</v>
      </c>
      <c r="E352" s="131">
        <f t="shared" si="28"/>
        <v>17032.727980142903</v>
      </c>
      <c r="F352" s="131">
        <f t="shared" si="29"/>
        <v>325299.766320672</v>
      </c>
    </row>
    <row r="353" spans="1:6" x14ac:dyDescent="0.2">
      <c r="A353" s="134">
        <f t="shared" si="25"/>
        <v>341</v>
      </c>
      <c r="B353" s="131">
        <f t="shared" si="26"/>
        <v>325299.766320672</v>
      </c>
      <c r="C353" s="131">
        <f t="shared" si="27"/>
        <v>1442.1622973549793</v>
      </c>
      <c r="D353" s="131">
        <f t="shared" si="30"/>
        <v>15590.565682787925</v>
      </c>
      <c r="E353" s="131">
        <f t="shared" si="28"/>
        <v>17032.727980142903</v>
      </c>
      <c r="F353" s="131">
        <f t="shared" si="29"/>
        <v>309709.20063788409</v>
      </c>
    </row>
    <row r="354" spans="1:6" x14ac:dyDescent="0.2">
      <c r="A354" s="134">
        <f t="shared" si="25"/>
        <v>342</v>
      </c>
      <c r="B354" s="131">
        <f t="shared" si="26"/>
        <v>309709.20063788409</v>
      </c>
      <c r="C354" s="131">
        <f t="shared" si="27"/>
        <v>1373.0441228279526</v>
      </c>
      <c r="D354" s="131">
        <f t="shared" si="30"/>
        <v>15659.683857314951</v>
      </c>
      <c r="E354" s="131">
        <f t="shared" si="28"/>
        <v>17032.727980142903</v>
      </c>
      <c r="F354" s="131">
        <f t="shared" si="29"/>
        <v>294049.51678056916</v>
      </c>
    </row>
    <row r="355" spans="1:6" x14ac:dyDescent="0.2">
      <c r="A355" s="134">
        <f t="shared" si="25"/>
        <v>343</v>
      </c>
      <c r="B355" s="131">
        <f t="shared" si="26"/>
        <v>294049.51678056916</v>
      </c>
      <c r="C355" s="131">
        <f t="shared" si="27"/>
        <v>1303.6195243938566</v>
      </c>
      <c r="D355" s="131">
        <f t="shared" si="30"/>
        <v>15729.108455749047</v>
      </c>
      <c r="E355" s="131">
        <f t="shared" si="28"/>
        <v>17032.727980142903</v>
      </c>
      <c r="F355" s="131">
        <f t="shared" si="29"/>
        <v>278320.40832482011</v>
      </c>
    </row>
    <row r="356" spans="1:6" x14ac:dyDescent="0.2">
      <c r="A356" s="134">
        <f t="shared" si="25"/>
        <v>344</v>
      </c>
      <c r="B356" s="131">
        <f t="shared" si="26"/>
        <v>278320.40832482011</v>
      </c>
      <c r="C356" s="131">
        <f t="shared" si="27"/>
        <v>1233.887143573369</v>
      </c>
      <c r="D356" s="131">
        <f t="shared" si="30"/>
        <v>15798.840836569534</v>
      </c>
      <c r="E356" s="131">
        <f t="shared" si="28"/>
        <v>17032.727980142903</v>
      </c>
      <c r="F356" s="131">
        <f t="shared" si="29"/>
        <v>262521.56748825056</v>
      </c>
    </row>
    <row r="357" spans="1:6" x14ac:dyDescent="0.2">
      <c r="A357" s="134">
        <f t="shared" si="25"/>
        <v>345</v>
      </c>
      <c r="B357" s="131">
        <f t="shared" si="26"/>
        <v>262521.56748825056</v>
      </c>
      <c r="C357" s="131">
        <f t="shared" si="27"/>
        <v>1163.8456158645774</v>
      </c>
      <c r="D357" s="131">
        <f t="shared" si="30"/>
        <v>15868.882364278326</v>
      </c>
      <c r="E357" s="131">
        <f t="shared" si="28"/>
        <v>17032.727980142903</v>
      </c>
      <c r="F357" s="131">
        <f t="shared" si="29"/>
        <v>246652.68512397222</v>
      </c>
    </row>
    <row r="358" spans="1:6" x14ac:dyDescent="0.2">
      <c r="A358" s="134">
        <f t="shared" si="25"/>
        <v>346</v>
      </c>
      <c r="B358" s="131">
        <f t="shared" si="26"/>
        <v>246652.68512397222</v>
      </c>
      <c r="C358" s="131">
        <f t="shared" si="27"/>
        <v>1093.4935707162767</v>
      </c>
      <c r="D358" s="131">
        <f t="shared" si="30"/>
        <v>15939.234409426626</v>
      </c>
      <c r="E358" s="131">
        <f t="shared" si="28"/>
        <v>17032.727980142903</v>
      </c>
      <c r="F358" s="131">
        <f t="shared" si="29"/>
        <v>230713.45071454559</v>
      </c>
    </row>
    <row r="359" spans="1:6" x14ac:dyDescent="0.2">
      <c r="A359" s="134">
        <f t="shared" si="25"/>
        <v>347</v>
      </c>
      <c r="B359" s="131">
        <f t="shared" si="26"/>
        <v>230713.45071454559</v>
      </c>
      <c r="C359" s="131">
        <f t="shared" si="27"/>
        <v>1022.8296315011521</v>
      </c>
      <c r="D359" s="131">
        <f t="shared" si="30"/>
        <v>16009.898348641751</v>
      </c>
      <c r="E359" s="131">
        <f t="shared" si="28"/>
        <v>17032.727980142903</v>
      </c>
      <c r="F359" s="131">
        <f t="shared" si="29"/>
        <v>214703.55236590383</v>
      </c>
    </row>
    <row r="360" spans="1:6" x14ac:dyDescent="0.2">
      <c r="A360" s="134">
        <f t="shared" si="25"/>
        <v>348</v>
      </c>
      <c r="B360" s="131">
        <f t="shared" si="26"/>
        <v>214703.55236590383</v>
      </c>
      <c r="C360" s="131">
        <f t="shared" si="27"/>
        <v>951.85241548884017</v>
      </c>
      <c r="D360" s="131">
        <f t="shared" si="30"/>
        <v>16080.875564654063</v>
      </c>
      <c r="E360" s="131">
        <f t="shared" si="28"/>
        <v>17032.727980142903</v>
      </c>
      <c r="F360" s="131">
        <f t="shared" si="29"/>
        <v>198622.67680124976</v>
      </c>
    </row>
    <row r="361" spans="1:6" x14ac:dyDescent="0.2">
      <c r="A361" s="134">
        <f t="shared" si="25"/>
        <v>349</v>
      </c>
      <c r="B361" s="131">
        <f t="shared" si="26"/>
        <v>198622.67680124976</v>
      </c>
      <c r="C361" s="131">
        <f t="shared" si="27"/>
        <v>880.56053381887386</v>
      </c>
      <c r="D361" s="131">
        <f t="shared" si="30"/>
        <v>16152.167446324029</v>
      </c>
      <c r="E361" s="131">
        <f t="shared" si="28"/>
        <v>17032.727980142903</v>
      </c>
      <c r="F361" s="131">
        <f t="shared" si="29"/>
        <v>182470.50935492574</v>
      </c>
    </row>
    <row r="362" spans="1:6" x14ac:dyDescent="0.2">
      <c r="A362" s="134">
        <f t="shared" si="25"/>
        <v>350</v>
      </c>
      <c r="B362" s="131">
        <f t="shared" si="26"/>
        <v>182470.50935492574</v>
      </c>
      <c r="C362" s="131">
        <f t="shared" si="27"/>
        <v>808.95259147350407</v>
      </c>
      <c r="D362" s="131">
        <f t="shared" si="30"/>
        <v>16223.775388669399</v>
      </c>
      <c r="E362" s="131">
        <f t="shared" si="28"/>
        <v>17032.727980142903</v>
      </c>
      <c r="F362" s="131">
        <f t="shared" si="29"/>
        <v>166246.73396625635</v>
      </c>
    </row>
    <row r="363" spans="1:6" x14ac:dyDescent="0.2">
      <c r="A363" s="134">
        <f t="shared" si="25"/>
        <v>351</v>
      </c>
      <c r="B363" s="131">
        <f t="shared" si="26"/>
        <v>166246.73396625635</v>
      </c>
      <c r="C363" s="131">
        <f t="shared" si="27"/>
        <v>737.02718725040313</v>
      </c>
      <c r="D363" s="131">
        <f t="shared" si="30"/>
        <v>16295.7007928925</v>
      </c>
      <c r="E363" s="131">
        <f t="shared" si="28"/>
        <v>17032.727980142903</v>
      </c>
      <c r="F363" s="131">
        <f t="shared" si="29"/>
        <v>149951.03317336386</v>
      </c>
    </row>
    <row r="364" spans="1:6" x14ac:dyDescent="0.2">
      <c r="A364" s="134">
        <f t="shared" si="25"/>
        <v>352</v>
      </c>
      <c r="B364" s="131">
        <f t="shared" si="26"/>
        <v>149951.03317336386</v>
      </c>
      <c r="C364" s="131">
        <f t="shared" si="27"/>
        <v>664.78291373524644</v>
      </c>
      <c r="D364" s="131">
        <f t="shared" si="30"/>
        <v>16367.945066407658</v>
      </c>
      <c r="E364" s="131">
        <f t="shared" si="28"/>
        <v>17032.727980142903</v>
      </c>
      <c r="F364" s="131">
        <f t="shared" si="29"/>
        <v>133583.08810695622</v>
      </c>
    </row>
    <row r="365" spans="1:6" x14ac:dyDescent="0.2">
      <c r="A365" s="134">
        <f t="shared" si="25"/>
        <v>353</v>
      </c>
      <c r="B365" s="131">
        <f t="shared" si="26"/>
        <v>133583.08810695622</v>
      </c>
      <c r="C365" s="131">
        <f t="shared" si="27"/>
        <v>592.21835727417249</v>
      </c>
      <c r="D365" s="131">
        <f t="shared" si="30"/>
        <v>16440.509622868729</v>
      </c>
      <c r="E365" s="131">
        <f t="shared" si="28"/>
        <v>17032.727980142903</v>
      </c>
      <c r="F365" s="131">
        <f t="shared" si="29"/>
        <v>117142.57848408748</v>
      </c>
    </row>
    <row r="366" spans="1:6" x14ac:dyDescent="0.2">
      <c r="A366" s="134">
        <f t="shared" si="25"/>
        <v>354</v>
      </c>
      <c r="B366" s="131">
        <f t="shared" si="26"/>
        <v>117142.57848408748</v>
      </c>
      <c r="C366" s="131">
        <f t="shared" si="27"/>
        <v>519.33209794612117</v>
      </c>
      <c r="D366" s="131">
        <f t="shared" si="30"/>
        <v>16513.395882196783</v>
      </c>
      <c r="E366" s="131">
        <f t="shared" si="28"/>
        <v>17032.727980142903</v>
      </c>
      <c r="F366" s="131">
        <f t="shared" si="29"/>
        <v>100629.1826018907</v>
      </c>
    </row>
    <row r="367" spans="1:6" x14ac:dyDescent="0.2">
      <c r="A367" s="134">
        <f t="shared" si="25"/>
        <v>355</v>
      </c>
      <c r="B367" s="131">
        <f t="shared" si="26"/>
        <v>100629.1826018907</v>
      </c>
      <c r="C367" s="131">
        <f t="shared" si="27"/>
        <v>446.12270953504873</v>
      </c>
      <c r="D367" s="131">
        <f t="shared" si="30"/>
        <v>16586.605270607855</v>
      </c>
      <c r="E367" s="131">
        <f t="shared" si="28"/>
        <v>17032.727980142903</v>
      </c>
      <c r="F367" s="131">
        <f t="shared" si="29"/>
        <v>84042.577331282839</v>
      </c>
    </row>
    <row r="368" spans="1:6" x14ac:dyDescent="0.2">
      <c r="A368" s="134">
        <f t="shared" si="25"/>
        <v>356</v>
      </c>
      <c r="B368" s="131">
        <f t="shared" si="26"/>
        <v>84042.577331282839</v>
      </c>
      <c r="C368" s="131">
        <f t="shared" si="27"/>
        <v>372.58875950202059</v>
      </c>
      <c r="D368" s="131">
        <f t="shared" si="30"/>
        <v>16660.139220640882</v>
      </c>
      <c r="E368" s="131">
        <f t="shared" si="28"/>
        <v>17032.727980142903</v>
      </c>
      <c r="F368" s="131">
        <f t="shared" si="29"/>
        <v>67382.438110641961</v>
      </c>
    </row>
    <row r="369" spans="1:6" x14ac:dyDescent="0.2">
      <c r="A369" s="134">
        <f t="shared" si="25"/>
        <v>357</v>
      </c>
      <c r="B369" s="131">
        <f t="shared" si="26"/>
        <v>67382.438110641961</v>
      </c>
      <c r="C369" s="131">
        <f t="shared" si="27"/>
        <v>298.72880895717935</v>
      </c>
      <c r="D369" s="131">
        <f t="shared" si="30"/>
        <v>16733.999171185722</v>
      </c>
      <c r="E369" s="131">
        <f t="shared" si="28"/>
        <v>17032.727980142903</v>
      </c>
      <c r="F369" s="131">
        <f t="shared" si="29"/>
        <v>50648.438939456239</v>
      </c>
    </row>
    <row r="370" spans="1:6" x14ac:dyDescent="0.2">
      <c r="A370" s="134">
        <f t="shared" si="25"/>
        <v>358</v>
      </c>
      <c r="B370" s="131">
        <f t="shared" si="26"/>
        <v>50648.438939456239</v>
      </c>
      <c r="C370" s="131">
        <f t="shared" si="27"/>
        <v>224.54141263158931</v>
      </c>
      <c r="D370" s="131">
        <f t="shared" si="30"/>
        <v>16808.186567511315</v>
      </c>
      <c r="E370" s="131">
        <f t="shared" si="28"/>
        <v>17032.727980142903</v>
      </c>
      <c r="F370" s="131">
        <f t="shared" si="29"/>
        <v>33840.252371944924</v>
      </c>
    </row>
    <row r="371" spans="1:6" x14ac:dyDescent="0.2">
      <c r="A371" s="134">
        <f t="shared" si="25"/>
        <v>359</v>
      </c>
      <c r="B371" s="131">
        <f t="shared" si="26"/>
        <v>33840.252371944924</v>
      </c>
      <c r="C371" s="131">
        <f t="shared" si="27"/>
        <v>150.02511884895583</v>
      </c>
      <c r="D371" s="131">
        <f t="shared" si="30"/>
        <v>16882.702861293947</v>
      </c>
      <c r="E371" s="131">
        <f t="shared" si="28"/>
        <v>17032.727980142903</v>
      </c>
      <c r="F371" s="131">
        <f t="shared" si="29"/>
        <v>16957.549510650977</v>
      </c>
    </row>
    <row r="372" spans="1:6" x14ac:dyDescent="0.2">
      <c r="A372" s="135">
        <f t="shared" si="25"/>
        <v>360</v>
      </c>
      <c r="B372" s="131">
        <f t="shared" si="26"/>
        <v>16957.549510650977</v>
      </c>
      <c r="C372" s="131">
        <f t="shared" si="27"/>
        <v>75.178469497219325</v>
      </c>
      <c r="D372" s="131">
        <f t="shared" si="30"/>
        <v>16957.549510645684</v>
      </c>
      <c r="E372" s="131">
        <f t="shared" si="28"/>
        <v>17032.727980142903</v>
      </c>
      <c r="F372" s="131">
        <f t="shared" si="29"/>
        <v>5.2932591643184423E-9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Overview</vt:lpstr>
      <vt:lpstr>Assumptions &amp; Cash Flow</vt:lpstr>
      <vt:lpstr>Rent Roll</vt:lpstr>
      <vt:lpstr>Sources &amp; Uses</vt:lpstr>
      <vt:lpstr>Debt Sizing</vt:lpstr>
      <vt:lpstr>Debt Amortization Schedule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Jake Pesci</dc:creator>
  <cp:lastModifiedBy>Katuwal, Shaira</cp:lastModifiedBy>
  <dcterms:created xsi:type="dcterms:W3CDTF">2023-06-08T12:12:42Z</dcterms:created>
  <dcterms:modified xsi:type="dcterms:W3CDTF">2026-05-29T23:09:36Z</dcterms:modified>
</cp:coreProperties>
</file>