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140" windowWidth="18610" windowHeight="6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3" i="3" l="1"/>
  <c r="B23" i="3"/>
  <c r="C61" i="1" l="1"/>
  <c r="C60" i="1"/>
  <c r="C59" i="1"/>
  <c r="C58" i="1"/>
  <c r="C57" i="1"/>
  <c r="G46" i="1"/>
  <c r="G45" i="1"/>
  <c r="D63" i="2" s="1"/>
  <c r="E63" i="2" s="1"/>
  <c r="G44" i="1"/>
  <c r="D62" i="2" s="1"/>
  <c r="E62" i="2" s="1"/>
  <c r="G43" i="1"/>
  <c r="D61" i="2" s="1"/>
  <c r="E61" i="2" s="1"/>
  <c r="G42" i="1"/>
  <c r="G41" i="1"/>
  <c r="D59" i="2" s="1"/>
  <c r="G37" i="1"/>
  <c r="G36" i="1"/>
  <c r="D50" i="2" s="1"/>
  <c r="E50" i="2" s="1"/>
  <c r="G35" i="1"/>
  <c r="G34" i="1"/>
  <c r="D48" i="2" s="1"/>
  <c r="E48" i="2" s="1"/>
  <c r="G33" i="1"/>
  <c r="D47" i="2" s="1"/>
  <c r="E47" i="2" s="1"/>
  <c r="G32" i="1"/>
  <c r="D46" i="2" s="1"/>
  <c r="G28" i="1"/>
  <c r="D38" i="2" s="1"/>
  <c r="E38" i="2" s="1"/>
  <c r="G27" i="1"/>
  <c r="D37" i="2" s="1"/>
  <c r="E37" i="2" s="1"/>
  <c r="G26" i="1"/>
  <c r="G25" i="1"/>
  <c r="G24" i="1"/>
  <c r="G23" i="1"/>
  <c r="G19" i="1"/>
  <c r="D25" i="2" s="1"/>
  <c r="E25" i="2" s="1"/>
  <c r="G18" i="1"/>
  <c r="D24" i="2" s="1"/>
  <c r="E24" i="2" s="1"/>
  <c r="G17" i="1"/>
  <c r="G16" i="1"/>
  <c r="D22" i="2" s="1"/>
  <c r="E22" i="2" s="1"/>
  <c r="G15" i="1"/>
  <c r="G14" i="1"/>
  <c r="D20" i="2" s="1"/>
  <c r="G10" i="1"/>
  <c r="D11" i="2" s="1"/>
  <c r="E11" i="2" s="1"/>
  <c r="G9" i="1"/>
  <c r="G8" i="1"/>
  <c r="G7" i="1"/>
  <c r="G6" i="1"/>
  <c r="G5" i="1"/>
  <c r="H5" i="1" s="1"/>
  <c r="D12" i="3"/>
  <c r="C18" i="3"/>
  <c r="C19" i="3"/>
  <c r="D13" i="3" s="1"/>
  <c r="C20" i="3"/>
  <c r="D14" i="3" s="1"/>
  <c r="C21" i="3"/>
  <c r="D15" i="3" s="1"/>
  <c r="C17" i="3"/>
  <c r="D11" i="3"/>
  <c r="D3" i="3"/>
  <c r="C3" i="3"/>
  <c r="D60" i="1"/>
  <c r="D61" i="1"/>
  <c r="X64" i="1"/>
  <c r="X49" i="1"/>
  <c r="Y64" i="1"/>
  <c r="Y49" i="1"/>
  <c r="D59" i="1"/>
  <c r="D58" i="1"/>
  <c r="D57" i="1"/>
  <c r="X34" i="1"/>
  <c r="Y34" i="1" s="1"/>
  <c r="X19" i="1"/>
  <c r="Y19" i="1" s="1"/>
  <c r="Y4" i="1"/>
  <c r="X4" i="1"/>
  <c r="C14" i="3"/>
  <c r="C13" i="3"/>
  <c r="C12" i="3"/>
  <c r="C9" i="3"/>
  <c r="C8" i="3"/>
  <c r="C7" i="3"/>
  <c r="C6" i="3"/>
  <c r="C5" i="3"/>
  <c r="C5" i="1"/>
  <c r="C6" i="1"/>
  <c r="C7" i="1"/>
  <c r="C35" i="2" s="1"/>
  <c r="C8" i="1"/>
  <c r="C9" i="1"/>
  <c r="C10" i="1"/>
  <c r="C38" i="2"/>
  <c r="C49" i="2"/>
  <c r="C60" i="2"/>
  <c r="C20" i="2"/>
  <c r="C24" i="2"/>
  <c r="B15" i="3"/>
  <c r="B14" i="3"/>
  <c r="B13" i="3"/>
  <c r="B12" i="3"/>
  <c r="B11" i="3"/>
  <c r="F60" i="2"/>
  <c r="F61" i="2"/>
  <c r="F62" i="2"/>
  <c r="G62" i="2" s="1"/>
  <c r="F63" i="2"/>
  <c r="G63" i="2" s="1"/>
  <c r="F64" i="2"/>
  <c r="G64" i="2" s="1"/>
  <c r="F59" i="2"/>
  <c r="D60" i="2"/>
  <c r="E60" i="2" s="1"/>
  <c r="D64" i="2"/>
  <c r="E64" i="2"/>
  <c r="G61" i="2"/>
  <c r="G60" i="2"/>
  <c r="F47" i="2"/>
  <c r="G47" i="2" s="1"/>
  <c r="F48" i="2"/>
  <c r="G48" i="2" s="1"/>
  <c r="F49" i="2"/>
  <c r="G49" i="2" s="1"/>
  <c r="F50" i="2"/>
  <c r="F51" i="2"/>
  <c r="F46" i="2"/>
  <c r="D49" i="2"/>
  <c r="E49" i="2" s="1"/>
  <c r="D51" i="2"/>
  <c r="E51" i="2" s="1"/>
  <c r="G51" i="2"/>
  <c r="G50" i="2"/>
  <c r="F34" i="2"/>
  <c r="G34" i="2" s="1"/>
  <c r="F35" i="2"/>
  <c r="G35" i="2" s="1"/>
  <c r="F36" i="2"/>
  <c r="F37" i="2"/>
  <c r="G37" i="2" s="1"/>
  <c r="F38" i="2"/>
  <c r="G38" i="2" s="1"/>
  <c r="F33" i="2"/>
  <c r="D34" i="2"/>
  <c r="E34" i="2" s="1"/>
  <c r="D35" i="2"/>
  <c r="E35" i="2" s="1"/>
  <c r="D36" i="2"/>
  <c r="E36" i="2" s="1"/>
  <c r="D33" i="2"/>
  <c r="G36" i="2"/>
  <c r="F25" i="2"/>
  <c r="G25" i="2" s="1"/>
  <c r="F11" i="2"/>
  <c r="G11" i="2" s="1"/>
  <c r="F21" i="2"/>
  <c r="G21" i="2" s="1"/>
  <c r="F22" i="2"/>
  <c r="G22" i="2" s="1"/>
  <c r="F23" i="2"/>
  <c r="G23" i="2" s="1"/>
  <c r="F24" i="2"/>
  <c r="G24" i="2" s="1"/>
  <c r="F20" i="2"/>
  <c r="G20" i="2" s="1"/>
  <c r="D21" i="2"/>
  <c r="E21" i="2" s="1"/>
  <c r="D23" i="2"/>
  <c r="E23" i="2" s="1"/>
  <c r="F7" i="2"/>
  <c r="F8" i="2"/>
  <c r="F9" i="2"/>
  <c r="F10" i="2"/>
  <c r="F6" i="2"/>
  <c r="F12" i="2" s="1"/>
  <c r="K47" i="2" l="1"/>
  <c r="G26" i="2"/>
  <c r="C11" i="3"/>
  <c r="C15" i="3"/>
  <c r="C61" i="2"/>
  <c r="H61" i="2" s="1"/>
  <c r="C11" i="2"/>
  <c r="I11" i="2" s="1"/>
  <c r="C25" i="2"/>
  <c r="H25" i="2" s="1"/>
  <c r="C51" i="2"/>
  <c r="L51" i="2" s="1"/>
  <c r="C64" i="2"/>
  <c r="L64" i="2" s="1"/>
  <c r="C9" i="2"/>
  <c r="C36" i="2"/>
  <c r="C8" i="2"/>
  <c r="C22" i="2"/>
  <c r="L22" i="2" s="1"/>
  <c r="C48" i="2"/>
  <c r="L48" i="2" s="1"/>
  <c r="C7" i="2"/>
  <c r="C21" i="2"/>
  <c r="I21" i="2" s="1"/>
  <c r="C47" i="2"/>
  <c r="L47" i="2" s="1"/>
  <c r="C34" i="2"/>
  <c r="L34" i="2" s="1"/>
  <c r="C33" i="2"/>
  <c r="C46" i="2"/>
  <c r="C59" i="2"/>
  <c r="C63" i="2"/>
  <c r="I63" i="2" s="1"/>
  <c r="C50" i="2"/>
  <c r="H50" i="2" s="1"/>
  <c r="C37" i="2"/>
  <c r="C10" i="2"/>
  <c r="C62" i="2"/>
  <c r="I62" i="2" s="1"/>
  <c r="C23" i="2"/>
  <c r="I23" i="2" s="1"/>
  <c r="I60" i="2"/>
  <c r="C6" i="2"/>
  <c r="H60" i="2"/>
  <c r="F65" i="2"/>
  <c r="D65" i="2"/>
  <c r="K60" i="2"/>
  <c r="J60" i="2"/>
  <c r="L60" i="2"/>
  <c r="K64" i="2"/>
  <c r="J64" i="2"/>
  <c r="K62" i="2"/>
  <c r="J62" i="2"/>
  <c r="J63" i="2"/>
  <c r="K63" i="2"/>
  <c r="K61" i="2"/>
  <c r="J61" i="2"/>
  <c r="E59" i="2"/>
  <c r="G59" i="2"/>
  <c r="L61" i="2"/>
  <c r="F52" i="2"/>
  <c r="I49" i="2"/>
  <c r="D52" i="2"/>
  <c r="K51" i="2"/>
  <c r="J51" i="2"/>
  <c r="J49" i="2"/>
  <c r="K49" i="2"/>
  <c r="K50" i="2"/>
  <c r="J50" i="2"/>
  <c r="K48" i="2"/>
  <c r="J48" i="2"/>
  <c r="L49" i="2"/>
  <c r="E46" i="2"/>
  <c r="H47" i="2"/>
  <c r="G46" i="2"/>
  <c r="G52" i="2" s="1"/>
  <c r="J47" i="2"/>
  <c r="H49" i="2"/>
  <c r="F26" i="2"/>
  <c r="D26" i="2"/>
  <c r="K36" i="2"/>
  <c r="F39" i="2"/>
  <c r="D39" i="2"/>
  <c r="E33" i="2"/>
  <c r="E39" i="2" s="1"/>
  <c r="I24" i="2"/>
  <c r="L36" i="2"/>
  <c r="H38" i="2"/>
  <c r="J38" i="2"/>
  <c r="H35" i="2"/>
  <c r="J35" i="2"/>
  <c r="K34" i="2"/>
  <c r="J34" i="2"/>
  <c r="I38" i="2"/>
  <c r="I35" i="2"/>
  <c r="K38" i="2"/>
  <c r="K35" i="2"/>
  <c r="G33" i="2"/>
  <c r="G39" i="2" s="1"/>
  <c r="L35" i="2"/>
  <c r="L38" i="2"/>
  <c r="H36" i="2"/>
  <c r="J37" i="2"/>
  <c r="K37" i="2"/>
  <c r="J36" i="2"/>
  <c r="K25" i="2"/>
  <c r="J25" i="2"/>
  <c r="L11" i="2"/>
  <c r="K11" i="2"/>
  <c r="J11" i="2"/>
  <c r="J24" i="2"/>
  <c r="H21" i="2"/>
  <c r="H24" i="2"/>
  <c r="J21" i="2"/>
  <c r="L21" i="2"/>
  <c r="K21" i="2"/>
  <c r="J23" i="2"/>
  <c r="K23" i="2"/>
  <c r="H20" i="2"/>
  <c r="J22" i="2"/>
  <c r="K22" i="2"/>
  <c r="I20" i="2"/>
  <c r="K24" i="2"/>
  <c r="L24" i="2"/>
  <c r="E20" i="2"/>
  <c r="I47" i="2" l="1"/>
  <c r="I64" i="2"/>
  <c r="H64" i="2"/>
  <c r="H34" i="2"/>
  <c r="C40" i="2"/>
  <c r="I34" i="2"/>
  <c r="C39" i="2"/>
  <c r="I48" i="2"/>
  <c r="H48" i="2"/>
  <c r="H22" i="2"/>
  <c r="I22" i="2"/>
  <c r="I61" i="2"/>
  <c r="I36" i="2"/>
  <c r="L50" i="2"/>
  <c r="L63" i="2"/>
  <c r="H51" i="2"/>
  <c r="I25" i="2"/>
  <c r="C53" i="2"/>
  <c r="H11" i="2"/>
  <c r="I51" i="2"/>
  <c r="C26" i="2"/>
  <c r="L25" i="2"/>
  <c r="I50" i="2"/>
  <c r="I37" i="2"/>
  <c r="H37" i="2"/>
  <c r="L37" i="2"/>
  <c r="L62" i="2"/>
  <c r="C12" i="2"/>
  <c r="C52" i="2"/>
  <c r="H59" i="2"/>
  <c r="H63" i="2"/>
  <c r="H62" i="2"/>
  <c r="C27" i="2"/>
  <c r="H23" i="2"/>
  <c r="C66" i="2"/>
  <c r="L23" i="2"/>
  <c r="C65" i="2"/>
  <c r="C13" i="2"/>
  <c r="E65" i="2"/>
  <c r="K59" i="2"/>
  <c r="K65" i="2" s="1"/>
  <c r="J59" i="2"/>
  <c r="J65" i="2" s="1"/>
  <c r="I59" i="2"/>
  <c r="G65" i="2"/>
  <c r="L59" i="2"/>
  <c r="L46" i="2"/>
  <c r="I46" i="2"/>
  <c r="H46" i="2"/>
  <c r="E52" i="2"/>
  <c r="K46" i="2"/>
  <c r="K52" i="2" s="1"/>
  <c r="J46" i="2"/>
  <c r="J52" i="2" s="1"/>
  <c r="U43" i="2" s="1"/>
  <c r="L20" i="2"/>
  <c r="E26" i="2"/>
  <c r="H33" i="2"/>
  <c r="H39" i="2" s="1"/>
  <c r="J33" i="2"/>
  <c r="J39" i="2" s="1"/>
  <c r="U30" i="2" s="1"/>
  <c r="K33" i="2"/>
  <c r="K39" i="2" s="1"/>
  <c r="L33" i="2"/>
  <c r="I33" i="2"/>
  <c r="K20" i="2"/>
  <c r="K26" i="2" s="1"/>
  <c r="J20" i="2"/>
  <c r="I26" i="2" l="1"/>
  <c r="P47" i="2"/>
  <c r="P49" i="2"/>
  <c r="P50" i="2"/>
  <c r="P51" i="2"/>
  <c r="Y43" i="2"/>
  <c r="Y44" i="2" s="1"/>
  <c r="G71" i="2" s="1"/>
  <c r="P48" i="2"/>
  <c r="P46" i="2"/>
  <c r="Y30" i="2"/>
  <c r="Y31" i="2" s="1"/>
  <c r="G70" i="2" s="1"/>
  <c r="P36" i="2"/>
  <c r="P37" i="2"/>
  <c r="P38" i="2"/>
  <c r="P35" i="2"/>
  <c r="P34" i="2"/>
  <c r="P33" i="2"/>
  <c r="I65" i="2"/>
  <c r="H26" i="2"/>
  <c r="M26" i="2" s="1"/>
  <c r="N26" i="2" s="1"/>
  <c r="U25" i="2" s="1"/>
  <c r="H52" i="2"/>
  <c r="I52" i="2"/>
  <c r="H65" i="2"/>
  <c r="L65" i="2"/>
  <c r="L52" i="2"/>
  <c r="I39" i="2"/>
  <c r="M39" i="2" s="1"/>
  <c r="N39" i="2" s="1"/>
  <c r="U34" i="2" s="1"/>
  <c r="L39" i="2"/>
  <c r="L26" i="2"/>
  <c r="U56" i="2"/>
  <c r="J26" i="2"/>
  <c r="U17" i="2" s="1"/>
  <c r="Y17" i="2" s="1"/>
  <c r="Y18" i="2" s="1"/>
  <c r="G69" i="2" s="1"/>
  <c r="Y56" i="2" l="1"/>
  <c r="Y57" i="2" s="1"/>
  <c r="G72" i="2" s="1"/>
  <c r="P60" i="2"/>
  <c r="P61" i="2"/>
  <c r="P62" i="2"/>
  <c r="P63" i="2"/>
  <c r="P64" i="2"/>
  <c r="P59" i="2"/>
  <c r="P52" i="2"/>
  <c r="M52" i="2"/>
  <c r="N52" i="2" s="1"/>
  <c r="U51" i="2" s="1"/>
  <c r="M65" i="2"/>
  <c r="N65" i="2" s="1"/>
  <c r="U62" i="2" s="1"/>
  <c r="P25" i="2"/>
  <c r="P23" i="2"/>
  <c r="P22" i="2"/>
  <c r="P21" i="2"/>
  <c r="P24" i="2"/>
  <c r="P20" i="2"/>
  <c r="U38" i="2"/>
  <c r="U36" i="2"/>
  <c r="U32" i="2"/>
  <c r="U21" i="2"/>
  <c r="U19" i="2"/>
  <c r="U23" i="2"/>
  <c r="P65" i="2" l="1"/>
  <c r="U45" i="2"/>
  <c r="U49" i="2"/>
  <c r="U47" i="2"/>
  <c r="U58" i="2"/>
  <c r="O63" i="2" s="1"/>
  <c r="Q63" i="2" s="1"/>
  <c r="U64" i="2"/>
  <c r="U60" i="2"/>
  <c r="O35" i="2"/>
  <c r="Q35" i="2" s="1"/>
  <c r="O36" i="2"/>
  <c r="Q36" i="2" s="1"/>
  <c r="O37" i="2"/>
  <c r="Q37" i="2" s="1"/>
  <c r="O33" i="2"/>
  <c r="O38" i="2"/>
  <c r="Q38" i="2" s="1"/>
  <c r="O34" i="2"/>
  <c r="Q34" i="2" s="1"/>
  <c r="P39" i="2"/>
  <c r="P26" i="2"/>
  <c r="O20" i="2"/>
  <c r="O21" i="2"/>
  <c r="O25" i="2"/>
  <c r="O22" i="2"/>
  <c r="O23" i="2"/>
  <c r="O24" i="2"/>
  <c r="O46" i="2" l="1"/>
  <c r="Q46" i="2" s="1"/>
  <c r="O49" i="2"/>
  <c r="Q49" i="2" s="1"/>
  <c r="O51" i="2"/>
  <c r="Q51" i="2" s="1"/>
  <c r="O50" i="2"/>
  <c r="Q50" i="2" s="1"/>
  <c r="O48" i="2"/>
  <c r="Q48" i="2" s="1"/>
  <c r="O47" i="2"/>
  <c r="Q47" i="2" s="1"/>
  <c r="O62" i="2"/>
  <c r="Q62" i="2" s="1"/>
  <c r="O61" i="2"/>
  <c r="Q61" i="2" s="1"/>
  <c r="O60" i="2"/>
  <c r="Q60" i="2" s="1"/>
  <c r="O64" i="2"/>
  <c r="Q64" i="2" s="1"/>
  <c r="O59" i="2"/>
  <c r="O39" i="2"/>
  <c r="Q33" i="2"/>
  <c r="Q39" i="2" s="1"/>
  <c r="U40" i="2" s="1"/>
  <c r="O26" i="2"/>
  <c r="Q52" i="2" l="1"/>
  <c r="U53" i="2" s="1"/>
  <c r="O52" i="2"/>
  <c r="O65" i="2"/>
  <c r="Q59" i="2"/>
  <c r="Q65" i="2" s="1"/>
  <c r="U66" i="2" s="1"/>
  <c r="T12" i="1" l="1"/>
  <c r="T7" i="1"/>
  <c r="D7" i="2"/>
  <c r="E7" i="2" s="1"/>
  <c r="D8" i="2"/>
  <c r="E8" i="2" s="1"/>
  <c r="D9" i="2"/>
  <c r="E9" i="2" s="1"/>
  <c r="D10" i="2"/>
  <c r="D6" i="2"/>
  <c r="E10" i="2"/>
  <c r="G10" i="2"/>
  <c r="G9" i="2"/>
  <c r="G8" i="2"/>
  <c r="H8" i="2" s="1"/>
  <c r="G7" i="2"/>
  <c r="G6" i="2"/>
  <c r="G12" i="2" l="1"/>
  <c r="E6" i="2"/>
  <c r="E12" i="2" s="1"/>
  <c r="D12" i="2"/>
  <c r="I9" i="2"/>
  <c r="H9" i="2"/>
  <c r="L9" i="2"/>
  <c r="H7" i="2"/>
  <c r="L8" i="2"/>
  <c r="L10" i="2"/>
  <c r="L7" i="2"/>
  <c r="I8" i="2"/>
  <c r="J8" i="2"/>
  <c r="J9" i="2"/>
  <c r="K9" i="2"/>
  <c r="K8" i="2"/>
  <c r="H6" i="2"/>
  <c r="J10" i="2"/>
  <c r="I7" i="2"/>
  <c r="K10" i="2"/>
  <c r="H10" i="2"/>
  <c r="I6" i="2"/>
  <c r="K7" i="2"/>
  <c r="I10" i="2"/>
  <c r="J7" i="2"/>
  <c r="K6" i="2" l="1"/>
  <c r="K12" i="2" s="1"/>
  <c r="H12" i="2"/>
  <c r="L6" i="2"/>
  <c r="L12" i="2" s="1"/>
  <c r="J6" i="2"/>
  <c r="J12" i="2" s="1"/>
  <c r="U4" i="2" s="1"/>
  <c r="Y4" i="2" s="1"/>
  <c r="Y5" i="2" s="1"/>
  <c r="G68" i="2" s="1"/>
  <c r="I12" i="2"/>
  <c r="P11" i="2" l="1"/>
  <c r="P6" i="2"/>
  <c r="P10" i="2"/>
  <c r="P7" i="2"/>
  <c r="P9" i="2"/>
  <c r="P8" i="2"/>
  <c r="M12" i="2"/>
  <c r="N12" i="2" s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6" i="1"/>
  <c r="H46" i="1"/>
  <c r="I45" i="1"/>
  <c r="H45" i="1"/>
  <c r="I44" i="1"/>
  <c r="H44" i="1"/>
  <c r="I43" i="1"/>
  <c r="H43" i="1"/>
  <c r="I42" i="1"/>
  <c r="H42" i="1"/>
  <c r="I41" i="1"/>
  <c r="H41" i="1"/>
  <c r="I37" i="1"/>
  <c r="H37" i="1"/>
  <c r="I36" i="1"/>
  <c r="H36" i="1"/>
  <c r="I35" i="1"/>
  <c r="H35" i="1"/>
  <c r="I34" i="1"/>
  <c r="H34" i="1"/>
  <c r="I33" i="1"/>
  <c r="H33" i="1"/>
  <c r="I32" i="1"/>
  <c r="H32" i="1"/>
  <c r="I28" i="1"/>
  <c r="H28" i="1"/>
  <c r="I27" i="1"/>
  <c r="H27" i="1"/>
  <c r="I26" i="1"/>
  <c r="H26" i="1"/>
  <c r="I25" i="1"/>
  <c r="H25" i="1"/>
  <c r="I24" i="1"/>
  <c r="H24" i="1"/>
  <c r="I23" i="1"/>
  <c r="H23" i="1"/>
  <c r="I19" i="1"/>
  <c r="H19" i="1"/>
  <c r="I18" i="1"/>
  <c r="H18" i="1"/>
  <c r="I17" i="1"/>
  <c r="H17" i="1"/>
  <c r="I16" i="1"/>
  <c r="H16" i="1"/>
  <c r="I15" i="1"/>
  <c r="H15" i="1"/>
  <c r="I14" i="1"/>
  <c r="H14" i="1"/>
  <c r="I6" i="1"/>
  <c r="I7" i="1"/>
  <c r="I8" i="1"/>
  <c r="I9" i="1"/>
  <c r="I10" i="1"/>
  <c r="I5" i="1"/>
  <c r="H6" i="1"/>
  <c r="H7" i="1"/>
  <c r="H8" i="1"/>
  <c r="H9" i="1"/>
  <c r="H10" i="1"/>
  <c r="H38" i="1" l="1"/>
  <c r="I38" i="1"/>
  <c r="H29" i="1"/>
  <c r="I29" i="1"/>
  <c r="H20" i="1"/>
  <c r="I20" i="1"/>
  <c r="P12" i="2"/>
  <c r="H11" i="1"/>
  <c r="I11" i="1"/>
  <c r="U8" i="2"/>
  <c r="U6" i="2"/>
  <c r="U10" i="2"/>
  <c r="U12" i="2"/>
  <c r="G55" i="1"/>
  <c r="G54" i="1"/>
  <c r="G53" i="1"/>
  <c r="G52" i="1"/>
  <c r="G51" i="1"/>
  <c r="G50" i="1"/>
  <c r="Q25" i="2" l="1"/>
  <c r="O11" i="2"/>
  <c r="Q11" i="2" s="1"/>
  <c r="O7" i="2"/>
  <c r="Q7" i="2" s="1"/>
  <c r="O8" i="2"/>
  <c r="Q8" i="2" s="1"/>
  <c r="O10" i="2"/>
  <c r="Q10" i="2" s="1"/>
  <c r="Q23" i="2"/>
  <c r="O6" i="2"/>
  <c r="O9" i="2"/>
  <c r="Q9" i="2" s="1"/>
  <c r="Q22" i="2"/>
  <c r="Q24" i="2"/>
  <c r="Q21" i="2"/>
  <c r="O12" i="2" l="1"/>
  <c r="Q20" i="2"/>
  <c r="Q6" i="2"/>
  <c r="Q12" i="2" l="1"/>
  <c r="U14" i="2" s="1"/>
  <c r="Q26" i="2"/>
  <c r="U27" i="2" s="1"/>
</calcChain>
</file>

<file path=xl/sharedStrings.xml><?xml version="1.0" encoding="utf-8"?>
<sst xmlns="http://schemas.openxmlformats.org/spreadsheetml/2006/main" count="318" uniqueCount="83">
  <si>
    <t>440nm</t>
  </si>
  <si>
    <t>Current (A)</t>
  </si>
  <si>
    <t>Mean Flux Density (mT)</t>
  </si>
  <si>
    <r>
      <rPr>
        <sz val="12"/>
        <color theme="1"/>
        <rFont val="Times New Roman"/>
        <family val="1"/>
      </rPr>
      <t>Δф</t>
    </r>
    <r>
      <rPr>
        <sz val="12"/>
        <color theme="1"/>
        <rFont val="Times New Roman"/>
        <family val="2"/>
      </rPr>
      <t xml:space="preserve"> (°)</t>
    </r>
  </si>
  <si>
    <t>Average Δф (°)</t>
  </si>
  <si>
    <r>
      <t>Δф</t>
    </r>
    <r>
      <rPr>
        <sz val="12"/>
        <color theme="1"/>
        <rFont val="Times New Roman"/>
        <family val="2"/>
      </rPr>
      <t xml:space="preserve"> (°)</t>
    </r>
  </si>
  <si>
    <t>505nm</t>
  </si>
  <si>
    <t>525nm</t>
  </si>
  <si>
    <t>580nm</t>
  </si>
  <si>
    <t>595nm</t>
  </si>
  <si>
    <t>Lenseless</t>
  </si>
  <si>
    <r>
      <t>V(</t>
    </r>
    <r>
      <rPr>
        <sz val="12"/>
        <color theme="1"/>
        <rFont val="Times New Roman"/>
        <family val="2"/>
      </rPr>
      <t>λ) (▫/Tm)</t>
    </r>
  </si>
  <si>
    <r>
      <t>V(</t>
    </r>
    <r>
      <rPr>
        <sz val="12"/>
        <color theme="1"/>
        <rFont val="Times New Roman"/>
        <family val="2"/>
      </rPr>
      <t>λ) (rad/Tm)</t>
    </r>
  </si>
  <si>
    <t>X</t>
  </si>
  <si>
    <t>Y</t>
  </si>
  <si>
    <t>DATA</t>
  </si>
  <si>
    <t>σ</t>
  </si>
  <si>
    <t>Δ</t>
  </si>
  <si>
    <t>1/Δ</t>
  </si>
  <si>
    <t>ŷ</t>
  </si>
  <si>
    <t>#1</t>
  </si>
  <si>
    <t>#2</t>
  </si>
  <si>
    <t>#3</t>
  </si>
  <si>
    <t>#4</t>
  </si>
  <si>
    <t>#5</t>
  </si>
  <si>
    <t>SUM</t>
  </si>
  <si>
    <t>Number of data:</t>
  </si>
  <si>
    <t>Mean-Flux Density</t>
  </si>
  <si>
    <t>(mT)</t>
  </si>
  <si>
    <t>Δф</t>
  </si>
  <si>
    <t>(▫)</t>
  </si>
  <si>
    <t>Resolution of equipment:</t>
  </si>
  <si>
    <t>Probability distribution:</t>
  </si>
  <si>
    <t>Triangular</t>
  </si>
  <si>
    <t>Type B standard uncertainty of resolutiont:</t>
  </si>
  <si>
    <t>▫</t>
  </si>
  <si>
    <r>
      <t xml:space="preserve">Used analogue protractor to measure value of </t>
    </r>
    <r>
      <rPr>
        <sz val="12"/>
        <color theme="1"/>
        <rFont val="Times New Roman"/>
        <family val="1"/>
      </rPr>
      <t>Δф</t>
    </r>
  </si>
  <si>
    <t>Used graph to obtain values of mT</t>
  </si>
  <si>
    <t>mT</t>
  </si>
  <si>
    <t>Mean of data y:</t>
  </si>
  <si>
    <t>Gradient of best fit line:</t>
  </si>
  <si>
    <t>m=</t>
  </si>
  <si>
    <t>Standard uncertainty of m:</t>
  </si>
  <si>
    <r>
      <t>u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=</t>
    </r>
  </si>
  <si>
    <t>y-intercept of best line:</t>
  </si>
  <si>
    <t>c=</t>
  </si>
  <si>
    <t>Standard uncertainty of c</t>
  </si>
  <si>
    <r>
      <t>u</t>
    </r>
    <r>
      <rPr>
        <vertAlign val="subscript"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>=</t>
    </r>
  </si>
  <si>
    <t>Coefficient of determination: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</si>
  <si>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=</t>
    </r>
  </si>
  <si>
    <t>=</t>
  </si>
  <si>
    <r>
      <t>▫m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T</t>
    </r>
    <r>
      <rPr>
        <vertAlign val="superscript"/>
        <sz val="12"/>
        <color theme="1"/>
        <rFont val="Times New Roman"/>
        <family val="1"/>
      </rPr>
      <t>-1</t>
    </r>
  </si>
  <si>
    <t>#6</t>
  </si>
  <si>
    <t>V(λ)</t>
  </si>
  <si>
    <r>
      <t>1/σ</t>
    </r>
    <r>
      <rPr>
        <vertAlign val="superscript"/>
        <sz val="12"/>
        <color theme="1"/>
        <rFont val="Times New Roman"/>
        <family val="1"/>
      </rPr>
      <t>2</t>
    </r>
  </si>
  <si>
    <r>
      <t>x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</si>
  <si>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r>
      <t>x</t>
    </r>
    <r>
      <rPr>
        <vertAlign val="subscript"/>
        <sz val="12"/>
        <color theme="1"/>
        <rFont val="Times New Roman"/>
        <family val="1"/>
      </rPr>
      <t>i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</si>
  <si>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r>
      <t>y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</si>
  <si>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r>
      <t>y</t>
    </r>
    <r>
      <rPr>
        <vertAlign val="subscript"/>
        <sz val="12"/>
        <color theme="1"/>
        <rFont val="Times New Roman"/>
        <family val="1"/>
      </rPr>
      <t>i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</si>
  <si>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r>
      <t>x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y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</si>
  <si>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r>
      <t>(y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-ȳ)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</si>
  <si>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r>
      <t>(y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-ŷ)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</si>
  <si>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t>ȳ=</t>
  </si>
  <si>
    <t>Constant</t>
  </si>
  <si>
    <t>Value</t>
  </si>
  <si>
    <t>A</t>
  </si>
  <si>
    <t>B</t>
  </si>
  <si>
    <r>
      <rPr>
        <sz val="12"/>
        <color theme="1"/>
        <rFont val="Times New Roman"/>
        <family val="1"/>
      </rPr>
      <t>λ</t>
    </r>
    <r>
      <rPr>
        <vertAlign val="subscript"/>
        <sz val="12"/>
        <color theme="1"/>
        <rFont val="Times New Roman"/>
        <family val="1"/>
      </rPr>
      <t>0</t>
    </r>
  </si>
  <si>
    <r>
      <t>B</t>
    </r>
    <r>
      <rPr>
        <vertAlign val="subscript"/>
        <sz val="12"/>
        <color theme="1"/>
        <rFont val="Times New Roman"/>
        <family val="1"/>
      </rPr>
      <t>1</t>
    </r>
  </si>
  <si>
    <r>
      <t>B</t>
    </r>
    <r>
      <rPr>
        <vertAlign val="subscript"/>
        <sz val="12"/>
        <color theme="1"/>
        <rFont val="Times New Roman"/>
        <family val="1"/>
      </rPr>
      <t>2</t>
    </r>
  </si>
  <si>
    <r>
      <t>B</t>
    </r>
    <r>
      <rPr>
        <vertAlign val="subscript"/>
        <sz val="12"/>
        <color theme="1"/>
        <rFont val="Times New Roman"/>
        <family val="1"/>
      </rPr>
      <t>3</t>
    </r>
  </si>
  <si>
    <r>
      <t>C</t>
    </r>
    <r>
      <rPr>
        <vertAlign val="subscript"/>
        <sz val="12"/>
        <color theme="1"/>
        <rFont val="Times New Roman"/>
        <family val="1"/>
      </rPr>
      <t>1</t>
    </r>
  </si>
  <si>
    <r>
      <t>C</t>
    </r>
    <r>
      <rPr>
        <vertAlign val="subscript"/>
        <sz val="12"/>
        <color theme="1"/>
        <rFont val="Times New Roman"/>
        <family val="1"/>
      </rPr>
      <t>2</t>
    </r>
  </si>
  <si>
    <r>
      <t>C</t>
    </r>
    <r>
      <rPr>
        <vertAlign val="subscript"/>
        <sz val="12"/>
        <color theme="1"/>
        <rFont val="Times New Roman"/>
        <family val="1"/>
      </rPr>
      <t>3</t>
    </r>
  </si>
  <si>
    <t>n(440)</t>
  </si>
  <si>
    <t>n(505)</t>
  </si>
  <si>
    <t>n(525)</t>
  </si>
  <si>
    <t>n(580)</t>
  </si>
  <si>
    <t>n(595)</t>
  </si>
  <si>
    <r>
      <t>V(</t>
    </r>
    <r>
      <rPr>
        <sz val="12"/>
        <color theme="1"/>
        <rFont val="Times New Roman"/>
        <family val="1"/>
      </rPr>
      <t>λ</t>
    </r>
    <r>
      <rPr>
        <sz val="10.199999999999999"/>
        <color theme="1"/>
        <rFont val="Times New Roman"/>
        <family val="2"/>
      </rPr>
      <t>)</t>
    </r>
  </si>
  <si>
    <t>Wavelength</t>
  </si>
  <si>
    <t>Uncertainty (rad/Tm)</t>
  </si>
  <si>
    <t>Theoretical Value of V(λ) (rad/Tm)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</si>
</sst>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Times New Roman"/>
      <family val="2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.199999999999999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1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0307305336832895E-2"/>
                  <c:y val="0.25079687955672209"/>
                </c:manualLayout>
              </c:layout>
              <c:numFmt formatCode="General" sourceLinked="0"/>
            </c:trendlineLbl>
          </c:trendline>
          <c:xVal>
            <c:numRef>
              <c:f>Sheet1!$C$5:$C$10</c:f>
              <c:numCache>
                <c:formatCode>0.0</c:formatCode>
                <c:ptCount val="6"/>
                <c:pt idx="0">
                  <c:v>80.900000000000006</c:v>
                </c:pt>
                <c:pt idx="1">
                  <c:v>91.8</c:v>
                </c:pt>
                <c:pt idx="2">
                  <c:v>104.5</c:v>
                </c:pt>
                <c:pt idx="3">
                  <c:v>114</c:v>
                </c:pt>
                <c:pt idx="4">
                  <c:v>124</c:v>
                </c:pt>
                <c:pt idx="5">
                  <c:v>133.1</c:v>
                </c:pt>
              </c:numCache>
            </c:numRef>
          </c:xVal>
          <c:yVal>
            <c:numRef>
              <c:f>Sheet1!$G$5:$G$10</c:f>
              <c:numCache>
                <c:formatCode>0.0</c:formatCode>
                <c:ptCount val="6"/>
                <c:pt idx="0">
                  <c:v>9.3333333333333339</c:v>
                </c:pt>
                <c:pt idx="1">
                  <c:v>11.333333333333334</c:v>
                </c:pt>
                <c:pt idx="2">
                  <c:v>12.799999999999999</c:v>
                </c:pt>
                <c:pt idx="3">
                  <c:v>13.466666666666667</c:v>
                </c:pt>
                <c:pt idx="4">
                  <c:v>14.266666666666666</c:v>
                </c:pt>
                <c:pt idx="5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2080"/>
        <c:axId val="198784512"/>
      </c:scatterChart>
      <c:valAx>
        <c:axId val="198942080"/>
        <c:scaling>
          <c:orientation val="minMax"/>
          <c:max val="135"/>
          <c:min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Flux</a:t>
                </a:r>
                <a:r>
                  <a:rPr lang="en-US" baseline="0"/>
                  <a:t> Density (mT)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8784512"/>
        <c:crosses val="autoZero"/>
        <c:crossBetween val="midCat"/>
      </c:valAx>
      <c:valAx>
        <c:axId val="1987845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az-Cyrl-AZ"/>
                  <a:t>ф (°)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894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440nm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Sheet2!$F$6:$F$11</c:f>
                <c:numCache>
                  <c:formatCode>General</c:formatCode>
                  <c:ptCount val="6"/>
                  <c:pt idx="0">
                    <c:v>6.9721668877839704E-2</c:v>
                  </c:pt>
                  <c:pt idx="1">
                    <c:v>6.9721668877839704E-2</c:v>
                  </c:pt>
                  <c:pt idx="2">
                    <c:v>0.4168333000133268</c:v>
                  </c:pt>
                  <c:pt idx="3">
                    <c:v>0.86690701795393077</c:v>
                  </c:pt>
                  <c:pt idx="4">
                    <c:v>0.37174513371992424</c:v>
                  </c:pt>
                  <c:pt idx="5">
                    <c:v>0.30618621784789724</c:v>
                  </c:pt>
                </c:numCache>
              </c:numRef>
            </c:plus>
            <c:minus>
              <c:numRef>
                <c:f>Sheet2!$F$6:$F$11</c:f>
                <c:numCache>
                  <c:formatCode>General</c:formatCode>
                  <c:ptCount val="6"/>
                  <c:pt idx="0">
                    <c:v>6.9721668877839704E-2</c:v>
                  </c:pt>
                  <c:pt idx="1">
                    <c:v>6.9721668877839704E-2</c:v>
                  </c:pt>
                  <c:pt idx="2">
                    <c:v>0.4168333000133268</c:v>
                  </c:pt>
                  <c:pt idx="3">
                    <c:v>0.86690701795393077</c:v>
                  </c:pt>
                  <c:pt idx="4">
                    <c:v>0.37174513371992424</c:v>
                  </c:pt>
                  <c:pt idx="5">
                    <c:v>0.30618621784789724</c:v>
                  </c:pt>
                </c:numCache>
              </c:numRef>
            </c:minus>
          </c:errBars>
          <c:xVal>
            <c:numRef>
              <c:f>Sheet1!$B$5:$B$10</c:f>
              <c:numCache>
                <c:formatCode>0.00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Sheet1!$G$5:$G$10</c:f>
              <c:numCache>
                <c:formatCode>0.0</c:formatCode>
                <c:ptCount val="6"/>
                <c:pt idx="0">
                  <c:v>9.3333333333333339</c:v>
                </c:pt>
                <c:pt idx="1">
                  <c:v>11.333333333333334</c:v>
                </c:pt>
                <c:pt idx="2">
                  <c:v>12.799999999999999</c:v>
                </c:pt>
                <c:pt idx="3">
                  <c:v>13.466666666666667</c:v>
                </c:pt>
                <c:pt idx="4">
                  <c:v>14.266666666666666</c:v>
                </c:pt>
                <c:pt idx="5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37664"/>
        <c:axId val="162070912"/>
      </c:scatterChart>
      <c:valAx>
        <c:axId val="16193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Mean-Flux Density (mT)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62070912"/>
        <c:crosses val="autoZero"/>
        <c:crossBetween val="midCat"/>
      </c:valAx>
      <c:valAx>
        <c:axId val="162070912"/>
        <c:scaling>
          <c:orientation val="minMax"/>
          <c:max val="17"/>
          <c:min val="9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  <a:cs typeface="Times New Roman" pitchFamily="18" charset="0"/>
                  </a:rPr>
                  <a:t>2</a:t>
                </a:r>
                <a:r>
                  <a:rPr lang="el-GR" sz="1000" b="1" i="0" baseline="0">
                    <a:effectLst/>
                    <a:latin typeface="+mn-lt"/>
                    <a:cs typeface="Times New Roman" pitchFamily="18" charset="0"/>
                  </a:rPr>
                  <a:t>Δ</a:t>
                </a:r>
                <a:r>
                  <a:rPr lang="az-Cyrl-AZ" sz="1000" b="1" i="0" baseline="0">
                    <a:effectLst/>
                    <a:latin typeface="+mn-lt"/>
                    <a:cs typeface="Times New Roman" pitchFamily="18" charset="0"/>
                  </a:rPr>
                  <a:t>ф (°)</a:t>
                </a:r>
                <a:endParaRPr lang="en-US" sz="1000">
                  <a:effectLst/>
                  <a:latin typeface="+mn-lt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6193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505nm</c:v>
          </c:tx>
          <c:spPr>
            <a:ln w="28575">
              <a:noFill/>
            </a:ln>
          </c:spPr>
          <c:marker>
            <c:spPr>
              <a:noFill/>
            </c:spPr>
          </c:marke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Sheet2!$F$20:$F$25</c:f>
                <c:numCache>
                  <c:formatCode>General</c:formatCode>
                  <c:ptCount val="6"/>
                  <c:pt idx="0">
                    <c:v>0.24123524710216901</c:v>
                  </c:pt>
                  <c:pt idx="1">
                    <c:v>0.24123524710216876</c:v>
                  </c:pt>
                  <c:pt idx="2">
                    <c:v>0.13488678380198854</c:v>
                  </c:pt>
                  <c:pt idx="3">
                    <c:v>0.29130930488247558</c:v>
                  </c:pt>
                  <c:pt idx="4">
                    <c:v>0.50373604199024713</c:v>
                  </c:pt>
                  <c:pt idx="5">
                    <c:v>0.59289778020985873</c:v>
                  </c:pt>
                </c:numCache>
              </c:numRef>
            </c:plus>
            <c:minus>
              <c:numRef>
                <c:f>Sheet2!$F$20:$F$25</c:f>
                <c:numCache>
                  <c:formatCode>General</c:formatCode>
                  <c:ptCount val="6"/>
                  <c:pt idx="0">
                    <c:v>0.24123524710216901</c:v>
                  </c:pt>
                  <c:pt idx="1">
                    <c:v>0.24123524710216876</c:v>
                  </c:pt>
                  <c:pt idx="2">
                    <c:v>0.13488678380198854</c:v>
                  </c:pt>
                  <c:pt idx="3">
                    <c:v>0.29130930488247558</c:v>
                  </c:pt>
                  <c:pt idx="4">
                    <c:v>0.50373604199024713</c:v>
                  </c:pt>
                  <c:pt idx="5">
                    <c:v>0.59289778020985873</c:v>
                  </c:pt>
                </c:numCache>
              </c:numRef>
            </c:minus>
          </c:errBars>
          <c:xVal>
            <c:numRef>
              <c:f>Sheet1!$B$14:$B$19</c:f>
              <c:numCache>
                <c:formatCode>0.00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Sheet1!$G$14:$G$19</c:f>
              <c:numCache>
                <c:formatCode>0.0</c:formatCode>
                <c:ptCount val="6"/>
                <c:pt idx="0">
                  <c:v>10.133333333333335</c:v>
                </c:pt>
                <c:pt idx="1">
                  <c:v>12.666666666666666</c:v>
                </c:pt>
                <c:pt idx="2">
                  <c:v>15.333333333333334</c:v>
                </c:pt>
                <c:pt idx="3">
                  <c:v>18.133333333333336</c:v>
                </c:pt>
                <c:pt idx="4">
                  <c:v>19.2</c:v>
                </c:pt>
                <c:pt idx="5">
                  <c:v>21.333333333333332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48128"/>
        <c:axId val="162450048"/>
      </c:scatterChart>
      <c:valAx>
        <c:axId val="16244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Mean-Flux Density (mT)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62450048"/>
        <c:crosses val="autoZero"/>
        <c:crossBetween val="midCat"/>
      </c:valAx>
      <c:valAx>
        <c:axId val="162450048"/>
        <c:scaling>
          <c:orientation val="minMax"/>
          <c:max val="23"/>
          <c:min val="9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  <a:cs typeface="Times New Roman" pitchFamily="18" charset="0"/>
                  </a:rPr>
                  <a:t>2</a:t>
                </a:r>
                <a:r>
                  <a:rPr lang="el-GR" sz="1000" b="1" i="0" baseline="0">
                    <a:effectLst/>
                    <a:latin typeface="+mn-lt"/>
                    <a:cs typeface="Times New Roman" pitchFamily="18" charset="0"/>
                  </a:rPr>
                  <a:t>Δ</a:t>
                </a:r>
                <a:r>
                  <a:rPr lang="az-Cyrl-AZ" sz="1000" b="1" i="0" baseline="0">
                    <a:effectLst/>
                    <a:latin typeface="+mn-lt"/>
                    <a:cs typeface="Times New Roman" pitchFamily="18" charset="0"/>
                  </a:rPr>
                  <a:t>ф (°)</a:t>
                </a:r>
                <a:endParaRPr lang="en-US" sz="1000">
                  <a:effectLst/>
                  <a:latin typeface="+mn-lt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62448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580nm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Sheet2!$F$46:$F$51</c:f>
                <c:numCache>
                  <c:formatCode>General</c:formatCode>
                  <c:ptCount val="6"/>
                  <c:pt idx="0">
                    <c:v>0.33395774849189797</c:v>
                  </c:pt>
                  <c:pt idx="1">
                    <c:v>0.17756063127218782</c:v>
                  </c:pt>
                  <c:pt idx="2">
                    <c:v>0.26744677559802021</c:v>
                  </c:pt>
                  <c:pt idx="3">
                    <c:v>0.24123524710216881</c:v>
                  </c:pt>
                  <c:pt idx="4">
                    <c:v>2.0412414523193152E-2</c:v>
                  </c:pt>
                  <c:pt idx="5">
                    <c:v>0.86690701795393077</c:v>
                  </c:pt>
                </c:numCache>
              </c:numRef>
            </c:plus>
            <c:minus>
              <c:numRef>
                <c:f>Sheet2!$F$46:$F$51</c:f>
                <c:numCache>
                  <c:formatCode>General</c:formatCode>
                  <c:ptCount val="6"/>
                  <c:pt idx="0">
                    <c:v>0.33395774849189797</c:v>
                  </c:pt>
                  <c:pt idx="1">
                    <c:v>0.17756063127218782</c:v>
                  </c:pt>
                  <c:pt idx="2">
                    <c:v>0.26744677559802021</c:v>
                  </c:pt>
                  <c:pt idx="3">
                    <c:v>0.24123524710216881</c:v>
                  </c:pt>
                  <c:pt idx="4">
                    <c:v>2.0412414523193152E-2</c:v>
                  </c:pt>
                  <c:pt idx="5">
                    <c:v>0.86690701795393077</c:v>
                  </c:pt>
                </c:numCache>
              </c:numRef>
            </c:minus>
          </c:errBars>
          <c:xVal>
            <c:numRef>
              <c:f>Sheet1!$B$32:$B$37</c:f>
              <c:numCache>
                <c:formatCode>0.00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Sheet1!$G$32:$G$37</c:f>
              <c:numCache>
                <c:formatCode>0.0</c:formatCode>
                <c:ptCount val="6"/>
                <c:pt idx="0">
                  <c:v>10.133333333333335</c:v>
                </c:pt>
                <c:pt idx="1">
                  <c:v>12.266666666666666</c:v>
                </c:pt>
                <c:pt idx="2">
                  <c:v>14.133333333333333</c:v>
                </c:pt>
                <c:pt idx="3">
                  <c:v>14.533333333333331</c:v>
                </c:pt>
                <c:pt idx="4">
                  <c:v>16.399999999999999</c:v>
                </c:pt>
                <c:pt idx="5">
                  <c:v>18.533333333333335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32896"/>
        <c:axId val="137007872"/>
      </c:scatterChart>
      <c:valAx>
        <c:axId val="13683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Mean-Flux Density (mT)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7007872"/>
        <c:crosses val="autoZero"/>
        <c:crossBetween val="midCat"/>
      </c:valAx>
      <c:valAx>
        <c:axId val="137007872"/>
        <c:scaling>
          <c:orientation val="minMax"/>
          <c:max val="21"/>
          <c:min val="9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  <a:cs typeface="Times New Roman" pitchFamily="18" charset="0"/>
                  </a:rPr>
                  <a:t>2</a:t>
                </a:r>
                <a:r>
                  <a:rPr lang="el-GR" sz="1000" b="1" i="0" baseline="0">
                    <a:effectLst/>
                    <a:latin typeface="+mn-lt"/>
                    <a:cs typeface="Times New Roman" pitchFamily="18" charset="0"/>
                  </a:rPr>
                  <a:t>Δ</a:t>
                </a:r>
                <a:r>
                  <a:rPr lang="az-Cyrl-AZ" sz="1000" b="1" i="0" baseline="0">
                    <a:effectLst/>
                    <a:latin typeface="+mn-lt"/>
                    <a:cs typeface="Times New Roman" pitchFamily="18" charset="0"/>
                  </a:rPr>
                  <a:t>ф (°)</a:t>
                </a:r>
                <a:endParaRPr lang="en-US" sz="1000">
                  <a:effectLst/>
                  <a:latin typeface="+mn-lt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3683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595nm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Sheet2!$F$59:$F$64</c:f>
                <c:numCache>
                  <c:formatCode>General</c:formatCode>
                  <c:ptCount val="6"/>
                  <c:pt idx="0">
                    <c:v>0.13488678380198854</c:v>
                  </c:pt>
                  <c:pt idx="1">
                    <c:v>6.9721668877839704E-2</c:v>
                  </c:pt>
                  <c:pt idx="2">
                    <c:v>0.41683330001332664</c:v>
                  </c:pt>
                  <c:pt idx="3">
                    <c:v>6.9721668877839704E-2</c:v>
                  </c:pt>
                  <c:pt idx="4">
                    <c:v>0.17756063127218757</c:v>
                  </c:pt>
                  <c:pt idx="5">
                    <c:v>0.29130930488247592</c:v>
                  </c:pt>
                </c:numCache>
              </c:numRef>
            </c:plus>
            <c:minus>
              <c:numRef>
                <c:f>Sheet2!$F$59:$F$64</c:f>
                <c:numCache>
                  <c:formatCode>General</c:formatCode>
                  <c:ptCount val="6"/>
                  <c:pt idx="0">
                    <c:v>0.13488678380198854</c:v>
                  </c:pt>
                  <c:pt idx="1">
                    <c:v>6.9721668877839704E-2</c:v>
                  </c:pt>
                  <c:pt idx="2">
                    <c:v>0.41683330001332664</c:v>
                  </c:pt>
                  <c:pt idx="3">
                    <c:v>6.9721668877839704E-2</c:v>
                  </c:pt>
                  <c:pt idx="4">
                    <c:v>0.17756063127218757</c:v>
                  </c:pt>
                  <c:pt idx="5">
                    <c:v>0.29130930488247592</c:v>
                  </c:pt>
                </c:numCache>
              </c:numRef>
            </c:minus>
          </c:errBars>
          <c:xVal>
            <c:numRef>
              <c:f>Sheet1!$B$41:$B$46</c:f>
              <c:numCache>
                <c:formatCode>0.00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Sheet1!$G$41:$G$46</c:f>
              <c:numCache>
                <c:formatCode>0.0</c:formatCode>
                <c:ptCount val="6"/>
                <c:pt idx="0">
                  <c:v>9.0666666666666664</c:v>
                </c:pt>
                <c:pt idx="1">
                  <c:v>10.666666666666666</c:v>
                </c:pt>
                <c:pt idx="2">
                  <c:v>12</c:v>
                </c:pt>
                <c:pt idx="3">
                  <c:v>13.333333333333334</c:v>
                </c:pt>
                <c:pt idx="4">
                  <c:v>14.533333333333331</c:v>
                </c:pt>
                <c:pt idx="5">
                  <c:v>16.533333333333335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78400"/>
        <c:axId val="129160320"/>
      </c:scatterChart>
      <c:valAx>
        <c:axId val="12907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Mean-Flux Density (mT)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9160320"/>
        <c:crosses val="autoZero"/>
        <c:crossBetween val="midCat"/>
      </c:valAx>
      <c:valAx>
        <c:axId val="129160320"/>
        <c:scaling>
          <c:orientation val="minMax"/>
          <c:max val="17"/>
          <c:min val="8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  <a:cs typeface="Times New Roman" pitchFamily="18" charset="0"/>
                  </a:rPr>
                  <a:t>2</a:t>
                </a:r>
                <a:r>
                  <a:rPr lang="el-GR" sz="1000" b="1" i="0" baseline="0">
                    <a:effectLst/>
                    <a:latin typeface="+mn-lt"/>
                    <a:cs typeface="Times New Roman" pitchFamily="18" charset="0"/>
                  </a:rPr>
                  <a:t>Δ</a:t>
                </a:r>
                <a:r>
                  <a:rPr lang="az-Cyrl-AZ" sz="1000" b="1" i="0" baseline="0">
                    <a:effectLst/>
                    <a:latin typeface="+mn-lt"/>
                    <a:cs typeface="Times New Roman" pitchFamily="18" charset="0"/>
                  </a:rPr>
                  <a:t>ф (°)</a:t>
                </a:r>
                <a:endParaRPr lang="en-US" sz="1000">
                  <a:effectLst/>
                  <a:latin typeface="+mn-lt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2907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Sheet2!$F$68:$F$72</c:f>
              <c:numCache>
                <c:formatCode>General</c:formatCode>
                <c:ptCount val="5"/>
                <c:pt idx="0">
                  <c:v>440</c:v>
                </c:pt>
                <c:pt idx="1">
                  <c:v>505</c:v>
                </c:pt>
                <c:pt idx="2">
                  <c:v>525</c:v>
                </c:pt>
                <c:pt idx="3">
                  <c:v>580</c:v>
                </c:pt>
                <c:pt idx="4">
                  <c:v>595</c:v>
                </c:pt>
              </c:numCache>
            </c:numRef>
          </c:xVal>
          <c:yVal>
            <c:numRef>
              <c:f>Sheet2!$G$68:$G$72</c:f>
              <c:numCache>
                <c:formatCode>General</c:formatCode>
                <c:ptCount val="5"/>
                <c:pt idx="0">
                  <c:v>56.961517741147169</c:v>
                </c:pt>
                <c:pt idx="1">
                  <c:v>82.917332981726474</c:v>
                </c:pt>
                <c:pt idx="2">
                  <c:v>94.519733154467048</c:v>
                </c:pt>
                <c:pt idx="3">
                  <c:v>92.029735656328995</c:v>
                </c:pt>
                <c:pt idx="4">
                  <c:v>67.452917341577844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72384"/>
        <c:axId val="199090560"/>
      </c:scatterChart>
      <c:valAx>
        <c:axId val="199072384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99090560"/>
        <c:crosses val="autoZero"/>
        <c:crossBetween val="midCat"/>
      </c:valAx>
      <c:valAx>
        <c:axId val="1990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72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Experimental Values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Sheet1!$E$57:$E$61</c:f>
                <c:numCache>
                  <c:formatCode>General</c:formatCode>
                  <c:ptCount val="5"/>
                  <c:pt idx="0">
                    <c:v>2.7</c:v>
                  </c:pt>
                  <c:pt idx="1">
                    <c:v>4.5999999999999996</c:v>
                  </c:pt>
                  <c:pt idx="2">
                    <c:v>8.1</c:v>
                  </c:pt>
                  <c:pt idx="3">
                    <c:v>2.5</c:v>
                  </c:pt>
                  <c:pt idx="4">
                    <c:v>1.8</c:v>
                  </c:pt>
                </c:numCache>
              </c:numRef>
            </c:plus>
            <c:minus>
              <c:numRef>
                <c:f>Sheet1!$E$57:$E$61</c:f>
                <c:numCache>
                  <c:formatCode>General</c:formatCode>
                  <c:ptCount val="5"/>
                  <c:pt idx="0">
                    <c:v>2.7</c:v>
                  </c:pt>
                  <c:pt idx="1">
                    <c:v>4.5999999999999996</c:v>
                  </c:pt>
                  <c:pt idx="2">
                    <c:v>8.1</c:v>
                  </c:pt>
                  <c:pt idx="3">
                    <c:v>2.5</c:v>
                  </c:pt>
                  <c:pt idx="4">
                    <c:v>1.8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Sheet3!$B$11:$B$16</c:f>
              <c:numCache>
                <c:formatCode>General</c:formatCode>
                <c:ptCount val="6"/>
                <c:pt idx="0">
                  <c:v>440</c:v>
                </c:pt>
                <c:pt idx="1">
                  <c:v>505</c:v>
                </c:pt>
                <c:pt idx="2">
                  <c:v>525</c:v>
                </c:pt>
                <c:pt idx="3">
                  <c:v>580</c:v>
                </c:pt>
                <c:pt idx="4">
                  <c:v>595</c:v>
                </c:pt>
              </c:numCache>
            </c:numRef>
          </c:xVal>
          <c:yVal>
            <c:numRef>
              <c:f>Sheet1!$D$57:$D$61</c:f>
              <c:numCache>
                <c:formatCode>0.0</c:formatCode>
                <c:ptCount val="5"/>
                <c:pt idx="0">
                  <c:v>33.975742772156281</c:v>
                </c:pt>
                <c:pt idx="1">
                  <c:v>62.250076654464429</c:v>
                </c:pt>
                <c:pt idx="2">
                  <c:v>51.661745859032166</c:v>
                </c:pt>
                <c:pt idx="3">
                  <c:v>43.342343091192518</c:v>
                </c:pt>
                <c:pt idx="4">
                  <c:v>39.618974020271281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1216"/>
        <c:axId val="199003136"/>
      </c:scatterChart>
      <c:scatterChart>
        <c:scatterStyle val="smoothMarker"/>
        <c:varyColors val="0"/>
        <c:ser>
          <c:idx val="0"/>
          <c:order val="0"/>
          <c:tx>
            <c:v>Theoretical Values</c:v>
          </c:tx>
          <c:marker>
            <c:symbol val="none"/>
          </c:marker>
          <c:xVal>
            <c:numRef>
              <c:f>Sheet3!$B$11:$B$15</c:f>
              <c:numCache>
                <c:formatCode>General</c:formatCode>
                <c:ptCount val="5"/>
                <c:pt idx="0">
                  <c:v>440</c:v>
                </c:pt>
                <c:pt idx="1">
                  <c:v>505</c:v>
                </c:pt>
                <c:pt idx="2">
                  <c:v>525</c:v>
                </c:pt>
                <c:pt idx="3">
                  <c:v>580</c:v>
                </c:pt>
                <c:pt idx="4">
                  <c:v>595</c:v>
                </c:pt>
              </c:numCache>
            </c:numRef>
          </c:xVal>
          <c:yVal>
            <c:numRef>
              <c:f>Sheet3!$C$11:$C$15</c:f>
              <c:numCache>
                <c:formatCode>0.0</c:formatCode>
                <c:ptCount val="5"/>
                <c:pt idx="0">
                  <c:v>49.512802949396196</c:v>
                </c:pt>
                <c:pt idx="1">
                  <c:v>34.243403078964199</c:v>
                </c:pt>
                <c:pt idx="2">
                  <c:v>31.058777776784037</c:v>
                </c:pt>
                <c:pt idx="3">
                  <c:v>24.460499623682001</c:v>
                </c:pt>
                <c:pt idx="4">
                  <c:v>23.067053614456988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1216"/>
        <c:axId val="199003136"/>
      </c:scatterChart>
      <c:valAx>
        <c:axId val="199001216"/>
        <c:scaling>
          <c:orientation val="minMax"/>
          <c:max val="63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003136"/>
        <c:crosses val="autoZero"/>
        <c:crossBetween val="midCat"/>
      </c:valAx>
      <c:valAx>
        <c:axId val="199003136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Verdet's</a:t>
                </a:r>
                <a:r>
                  <a:rPr lang="en-US" baseline="0"/>
                  <a:t> Constant (rad m</a:t>
                </a:r>
                <a:r>
                  <a:rPr lang="en-US" baseline="30000"/>
                  <a:t>-1</a:t>
                </a:r>
                <a:r>
                  <a:rPr lang="en-US" baseline="0"/>
                  <a:t>T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9001216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0307305336832895E-2"/>
                  <c:y val="0.25079687955672209"/>
                </c:manualLayout>
              </c:layout>
              <c:numFmt formatCode="General" sourceLinked="0"/>
            </c:trendlineLbl>
          </c:trendline>
          <c:xVal>
            <c:numRef>
              <c:f>Sheet1!$C$5:$C$10</c:f>
              <c:numCache>
                <c:formatCode>0.0</c:formatCode>
                <c:ptCount val="6"/>
                <c:pt idx="0">
                  <c:v>80.900000000000006</c:v>
                </c:pt>
                <c:pt idx="1">
                  <c:v>91.8</c:v>
                </c:pt>
                <c:pt idx="2">
                  <c:v>104.5</c:v>
                </c:pt>
                <c:pt idx="3">
                  <c:v>114</c:v>
                </c:pt>
                <c:pt idx="4">
                  <c:v>124</c:v>
                </c:pt>
                <c:pt idx="5">
                  <c:v>133.1</c:v>
                </c:pt>
              </c:numCache>
            </c:numRef>
          </c:xVal>
          <c:yVal>
            <c:numRef>
              <c:f>Sheet1!$G$14:$G$19</c:f>
              <c:numCache>
                <c:formatCode>0.0</c:formatCode>
                <c:ptCount val="6"/>
                <c:pt idx="0">
                  <c:v>10.133333333333335</c:v>
                </c:pt>
                <c:pt idx="1">
                  <c:v>12.666666666666666</c:v>
                </c:pt>
                <c:pt idx="2">
                  <c:v>15.333333333333334</c:v>
                </c:pt>
                <c:pt idx="3">
                  <c:v>18.133333333333336</c:v>
                </c:pt>
                <c:pt idx="4">
                  <c:v>19.2</c:v>
                </c:pt>
                <c:pt idx="5">
                  <c:v>21.333333333333332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09472"/>
        <c:axId val="198811648"/>
      </c:scatterChart>
      <c:valAx>
        <c:axId val="198809472"/>
        <c:scaling>
          <c:orientation val="minMax"/>
          <c:max val="135"/>
          <c:min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Flux</a:t>
                </a:r>
                <a:r>
                  <a:rPr lang="en-US" baseline="0"/>
                  <a:t> Density (mT)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8811648"/>
        <c:crosses val="autoZero"/>
        <c:crossBetween val="midCat"/>
      </c:valAx>
      <c:valAx>
        <c:axId val="1988116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az-Cyrl-AZ"/>
                  <a:t>ф (°)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880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0307305336832895E-2"/>
                  <c:y val="0.25079687955672209"/>
                </c:manualLayout>
              </c:layout>
              <c:numFmt formatCode="General" sourceLinked="0"/>
            </c:trendlineLbl>
          </c:trendline>
          <c:xVal>
            <c:numRef>
              <c:f>Sheet1!$C$5:$C$10</c:f>
              <c:numCache>
                <c:formatCode>0.0</c:formatCode>
                <c:ptCount val="6"/>
                <c:pt idx="0">
                  <c:v>80.900000000000006</c:v>
                </c:pt>
                <c:pt idx="1">
                  <c:v>91.8</c:v>
                </c:pt>
                <c:pt idx="2">
                  <c:v>104.5</c:v>
                </c:pt>
                <c:pt idx="3">
                  <c:v>114</c:v>
                </c:pt>
                <c:pt idx="4">
                  <c:v>124</c:v>
                </c:pt>
                <c:pt idx="5">
                  <c:v>133.1</c:v>
                </c:pt>
              </c:numCache>
            </c:numRef>
          </c:xVal>
          <c:yVal>
            <c:numRef>
              <c:f>Sheet1!$G$23:$G$28</c:f>
              <c:numCache>
                <c:formatCode>0.0</c:formatCode>
                <c:ptCount val="6"/>
                <c:pt idx="0">
                  <c:v>12.799999999999999</c:v>
                </c:pt>
                <c:pt idx="1">
                  <c:v>14.666666666666666</c:v>
                </c:pt>
                <c:pt idx="2">
                  <c:v>15.733333333333334</c:v>
                </c:pt>
                <c:pt idx="3">
                  <c:v>17.066666666666666</c:v>
                </c:pt>
                <c:pt idx="4">
                  <c:v>20.399999999999999</c:v>
                </c:pt>
                <c:pt idx="5">
                  <c:v>22.266666666666666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9456"/>
        <c:axId val="199301376"/>
      </c:scatterChart>
      <c:valAx>
        <c:axId val="199299456"/>
        <c:scaling>
          <c:orientation val="minMax"/>
          <c:max val="135"/>
          <c:min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Flux</a:t>
                </a:r>
                <a:r>
                  <a:rPr lang="en-US" baseline="0"/>
                  <a:t> Density (mT)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9301376"/>
        <c:crosses val="autoZero"/>
        <c:crossBetween val="midCat"/>
      </c:valAx>
      <c:valAx>
        <c:axId val="1993013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az-Cyrl-AZ"/>
                  <a:t>ф (°)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9299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0307305336832895E-2"/>
                  <c:y val="0.25079687955672209"/>
                </c:manualLayout>
              </c:layout>
              <c:numFmt formatCode="General" sourceLinked="0"/>
            </c:trendlineLbl>
          </c:trendline>
          <c:xVal>
            <c:numRef>
              <c:f>Sheet1!$C$5:$C$10</c:f>
              <c:numCache>
                <c:formatCode>0.0</c:formatCode>
                <c:ptCount val="6"/>
                <c:pt idx="0">
                  <c:v>80.900000000000006</c:v>
                </c:pt>
                <c:pt idx="1">
                  <c:v>91.8</c:v>
                </c:pt>
                <c:pt idx="2">
                  <c:v>104.5</c:v>
                </c:pt>
                <c:pt idx="3">
                  <c:v>114</c:v>
                </c:pt>
                <c:pt idx="4">
                  <c:v>124</c:v>
                </c:pt>
                <c:pt idx="5">
                  <c:v>133.1</c:v>
                </c:pt>
              </c:numCache>
            </c:numRef>
          </c:xVal>
          <c:yVal>
            <c:numRef>
              <c:f>Sheet1!$G$32:$G$37</c:f>
              <c:numCache>
                <c:formatCode>0.0</c:formatCode>
                <c:ptCount val="6"/>
                <c:pt idx="0">
                  <c:v>10.133333333333335</c:v>
                </c:pt>
                <c:pt idx="1">
                  <c:v>12.266666666666666</c:v>
                </c:pt>
                <c:pt idx="2">
                  <c:v>14.133333333333333</c:v>
                </c:pt>
                <c:pt idx="3">
                  <c:v>14.533333333333331</c:v>
                </c:pt>
                <c:pt idx="4">
                  <c:v>16.399999999999999</c:v>
                </c:pt>
                <c:pt idx="5">
                  <c:v>18.533333333333335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0416"/>
        <c:axId val="199342336"/>
      </c:scatterChart>
      <c:valAx>
        <c:axId val="199340416"/>
        <c:scaling>
          <c:orientation val="minMax"/>
          <c:max val="135"/>
          <c:min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Flux</a:t>
                </a:r>
                <a:r>
                  <a:rPr lang="en-US" baseline="0"/>
                  <a:t> Density (mT)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9342336"/>
        <c:crosses val="autoZero"/>
        <c:crossBetween val="midCat"/>
      </c:valAx>
      <c:valAx>
        <c:axId val="1993423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az-Cyrl-AZ"/>
                  <a:t>ф (°)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9340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0307305336832895E-2"/>
                  <c:y val="0.25079687955672209"/>
                </c:manualLayout>
              </c:layout>
              <c:numFmt formatCode="General" sourceLinked="0"/>
            </c:trendlineLbl>
          </c:trendline>
          <c:xVal>
            <c:numRef>
              <c:f>Sheet1!$C$5:$C$10</c:f>
              <c:numCache>
                <c:formatCode>0.0</c:formatCode>
                <c:ptCount val="6"/>
                <c:pt idx="0">
                  <c:v>80.900000000000006</c:v>
                </c:pt>
                <c:pt idx="1">
                  <c:v>91.8</c:v>
                </c:pt>
                <c:pt idx="2">
                  <c:v>104.5</c:v>
                </c:pt>
                <c:pt idx="3">
                  <c:v>114</c:v>
                </c:pt>
                <c:pt idx="4">
                  <c:v>124</c:v>
                </c:pt>
                <c:pt idx="5">
                  <c:v>133.1</c:v>
                </c:pt>
              </c:numCache>
            </c:numRef>
          </c:xVal>
          <c:yVal>
            <c:numRef>
              <c:f>Sheet1!$G$41:$G$46</c:f>
              <c:numCache>
                <c:formatCode>0.0</c:formatCode>
                <c:ptCount val="6"/>
                <c:pt idx="0">
                  <c:v>9.0666666666666664</c:v>
                </c:pt>
                <c:pt idx="1">
                  <c:v>10.666666666666666</c:v>
                </c:pt>
                <c:pt idx="2">
                  <c:v>12</c:v>
                </c:pt>
                <c:pt idx="3">
                  <c:v>13.333333333333334</c:v>
                </c:pt>
                <c:pt idx="4">
                  <c:v>14.533333333333331</c:v>
                </c:pt>
                <c:pt idx="5">
                  <c:v>16.533333333333335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26048"/>
        <c:axId val="199832320"/>
      </c:scatterChart>
      <c:valAx>
        <c:axId val="199826048"/>
        <c:scaling>
          <c:orientation val="minMax"/>
          <c:max val="135"/>
          <c:min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Flux</a:t>
                </a:r>
                <a:r>
                  <a:rPr lang="en-US" baseline="0"/>
                  <a:t> Density (mT)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9832320"/>
        <c:crosses val="autoZero"/>
        <c:crossBetween val="midCat"/>
      </c:valAx>
      <c:valAx>
        <c:axId val="1998323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az-Cyrl-AZ"/>
                  <a:t>ф (°)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9826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0307305336832895E-2"/>
                  <c:y val="0.25079687955672209"/>
                </c:manualLayout>
              </c:layout>
              <c:numFmt formatCode="General" sourceLinked="0"/>
            </c:trendlineLbl>
          </c:trendline>
          <c:xVal>
            <c:numRef>
              <c:f>Sheet1!$C$5:$C$10</c:f>
              <c:numCache>
                <c:formatCode>0.0</c:formatCode>
                <c:ptCount val="6"/>
                <c:pt idx="0">
                  <c:v>80.900000000000006</c:v>
                </c:pt>
                <c:pt idx="1">
                  <c:v>91.8</c:v>
                </c:pt>
                <c:pt idx="2">
                  <c:v>104.5</c:v>
                </c:pt>
                <c:pt idx="3">
                  <c:v>114</c:v>
                </c:pt>
                <c:pt idx="4">
                  <c:v>124</c:v>
                </c:pt>
                <c:pt idx="5">
                  <c:v>133.1</c:v>
                </c:pt>
              </c:numCache>
            </c:numRef>
          </c:xVal>
          <c:yVal>
            <c:numRef>
              <c:f>Sheet1!$G$50:$G$55</c:f>
              <c:numCache>
                <c:formatCode>0.0</c:formatCode>
                <c:ptCount val="6"/>
                <c:pt idx="0">
                  <c:v>5.0666666666666664</c:v>
                </c:pt>
                <c:pt idx="1">
                  <c:v>5.666666666666667</c:v>
                </c:pt>
                <c:pt idx="2">
                  <c:v>6.4000000000000012</c:v>
                </c:pt>
                <c:pt idx="3">
                  <c:v>7.4666666666666659</c:v>
                </c:pt>
                <c:pt idx="4">
                  <c:v>8.5333333333333332</c:v>
                </c:pt>
                <c:pt idx="5">
                  <c:v>9.2000000000000011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86336"/>
        <c:axId val="199888256"/>
      </c:scatterChart>
      <c:valAx>
        <c:axId val="199886336"/>
        <c:scaling>
          <c:orientation val="minMax"/>
          <c:max val="135"/>
          <c:min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Flux</a:t>
                </a:r>
                <a:r>
                  <a:rPr lang="en-US" baseline="0"/>
                  <a:t> Density (mT)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9888256"/>
        <c:crosses val="autoZero"/>
        <c:crossBetween val="midCat"/>
      </c:valAx>
      <c:valAx>
        <c:axId val="1998882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az-Cyrl-AZ"/>
                  <a:t>ф (°)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988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Sheet1!$E$57:$E$61</c:f>
                <c:numCache>
                  <c:formatCode>General</c:formatCode>
                  <c:ptCount val="5"/>
                  <c:pt idx="0">
                    <c:v>2.7</c:v>
                  </c:pt>
                  <c:pt idx="1">
                    <c:v>4.5999999999999996</c:v>
                  </c:pt>
                  <c:pt idx="2">
                    <c:v>8.1</c:v>
                  </c:pt>
                  <c:pt idx="3">
                    <c:v>2.5</c:v>
                  </c:pt>
                  <c:pt idx="4">
                    <c:v>1.8</c:v>
                  </c:pt>
                </c:numCache>
              </c:numRef>
            </c:plus>
            <c:minus>
              <c:numRef>
                <c:f>Sheet1!$E$57:$E$61</c:f>
                <c:numCache>
                  <c:formatCode>General</c:formatCode>
                  <c:ptCount val="5"/>
                  <c:pt idx="0">
                    <c:v>2.7</c:v>
                  </c:pt>
                  <c:pt idx="1">
                    <c:v>4.5999999999999996</c:v>
                  </c:pt>
                  <c:pt idx="2">
                    <c:v>8.1</c:v>
                  </c:pt>
                  <c:pt idx="3">
                    <c:v>2.5</c:v>
                  </c:pt>
                  <c:pt idx="4">
                    <c:v>1.8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Sheet1!$B$57:$B$61</c:f>
              <c:numCache>
                <c:formatCode>General</c:formatCode>
                <c:ptCount val="5"/>
                <c:pt idx="0">
                  <c:v>440</c:v>
                </c:pt>
                <c:pt idx="1">
                  <c:v>505</c:v>
                </c:pt>
                <c:pt idx="2">
                  <c:v>525</c:v>
                </c:pt>
                <c:pt idx="3">
                  <c:v>580</c:v>
                </c:pt>
                <c:pt idx="4">
                  <c:v>595</c:v>
                </c:pt>
              </c:numCache>
            </c:numRef>
          </c:xVal>
          <c:yVal>
            <c:numRef>
              <c:f>Sheet1!$D$57:$D$61</c:f>
              <c:numCache>
                <c:formatCode>0.0</c:formatCode>
                <c:ptCount val="5"/>
                <c:pt idx="0">
                  <c:v>33.975742772156281</c:v>
                </c:pt>
                <c:pt idx="1">
                  <c:v>62.250076654464429</c:v>
                </c:pt>
                <c:pt idx="2">
                  <c:v>51.661745859032166</c:v>
                </c:pt>
                <c:pt idx="3">
                  <c:v>43.342343091192518</c:v>
                </c:pt>
                <c:pt idx="4">
                  <c:v>39.618974020271281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7568"/>
        <c:axId val="199919488"/>
      </c:scatterChart>
      <c:valAx>
        <c:axId val="199917568"/>
        <c:scaling>
          <c:orientation val="minMax"/>
          <c:max val="63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919488"/>
        <c:crosses val="autoZero"/>
        <c:crossBetween val="midCat"/>
      </c:valAx>
      <c:valAx>
        <c:axId val="199919488"/>
        <c:scaling>
          <c:orientation val="minMax"/>
          <c:max val="70"/>
          <c:min val="3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Verdet's Constant (rad m-1T-1)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9917568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525nm</c:v>
          </c:tx>
          <c:spPr>
            <a:ln w="28575">
              <a:noFill/>
            </a:ln>
          </c:spPr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Sheet2!$F$33:$F$38</c:f>
                <c:numCache>
                  <c:formatCode>General</c:formatCode>
                  <c:ptCount val="6"/>
                  <c:pt idx="0">
                    <c:v>0.60034712181093075</c:v>
                  </c:pt>
                  <c:pt idx="1">
                    <c:v>0.63628697229403719</c:v>
                  </c:pt>
                  <c:pt idx="2">
                    <c:v>0.37174513371992424</c:v>
                  </c:pt>
                  <c:pt idx="3">
                    <c:v>0.48117333444173505</c:v>
                  </c:pt>
                  <c:pt idx="4">
                    <c:v>0.80854808143981316</c:v>
                  </c:pt>
                  <c:pt idx="5">
                    <c:v>0.58154487741226346</c:v>
                  </c:pt>
                </c:numCache>
              </c:numRef>
            </c:plus>
            <c:minus>
              <c:numRef>
                <c:f>Sheet2!$F$33:$F$38</c:f>
                <c:numCache>
                  <c:formatCode>General</c:formatCode>
                  <c:ptCount val="6"/>
                  <c:pt idx="0">
                    <c:v>0.60034712181093075</c:v>
                  </c:pt>
                  <c:pt idx="1">
                    <c:v>0.63628697229403719</c:v>
                  </c:pt>
                  <c:pt idx="2">
                    <c:v>0.37174513371992424</c:v>
                  </c:pt>
                  <c:pt idx="3">
                    <c:v>0.48117333444173505</c:v>
                  </c:pt>
                  <c:pt idx="4">
                    <c:v>0.80854808143981316</c:v>
                  </c:pt>
                  <c:pt idx="5">
                    <c:v>0.58154487741226346</c:v>
                  </c:pt>
                </c:numCache>
              </c:numRef>
            </c:minus>
          </c:errBars>
          <c:xVal>
            <c:numRef>
              <c:f>Sheet1!$C$23:$C$28</c:f>
              <c:numCache>
                <c:formatCode>0.0</c:formatCode>
                <c:ptCount val="6"/>
                <c:pt idx="0">
                  <c:v>80.900000000000006</c:v>
                </c:pt>
                <c:pt idx="1">
                  <c:v>91.8</c:v>
                </c:pt>
                <c:pt idx="2">
                  <c:v>104.5</c:v>
                </c:pt>
                <c:pt idx="3">
                  <c:v>114</c:v>
                </c:pt>
                <c:pt idx="4">
                  <c:v>124</c:v>
                </c:pt>
                <c:pt idx="5">
                  <c:v>133.1</c:v>
                </c:pt>
              </c:numCache>
            </c:numRef>
          </c:xVal>
          <c:yVal>
            <c:numRef>
              <c:f>Sheet1!$G$23:$G$28</c:f>
              <c:numCache>
                <c:formatCode>0.0</c:formatCode>
                <c:ptCount val="6"/>
                <c:pt idx="0">
                  <c:v>12.799999999999999</c:v>
                </c:pt>
                <c:pt idx="1">
                  <c:v>14.666666666666666</c:v>
                </c:pt>
                <c:pt idx="2">
                  <c:v>15.733333333333334</c:v>
                </c:pt>
                <c:pt idx="3">
                  <c:v>17.066666666666666</c:v>
                </c:pt>
                <c:pt idx="4">
                  <c:v>20.399999999999999</c:v>
                </c:pt>
                <c:pt idx="5">
                  <c:v>22.266666666666666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73888"/>
        <c:axId val="199984256"/>
      </c:scatterChart>
      <c:valAx>
        <c:axId val="199973888"/>
        <c:scaling>
          <c:orientation val="minMax"/>
          <c:max val="140"/>
          <c:min val="7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Mean-flux Density (mT)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9984256"/>
        <c:crosses val="autoZero"/>
        <c:crossBetween val="midCat"/>
        <c:majorUnit val="10"/>
        <c:minorUnit val="1"/>
      </c:valAx>
      <c:valAx>
        <c:axId val="199984256"/>
        <c:scaling>
          <c:orientation val="minMax"/>
          <c:max val="23"/>
          <c:min val="1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2</a:t>
                </a:r>
                <a:r>
                  <a:rPr lang="el-GR"/>
                  <a:t>Δ</a:t>
                </a:r>
                <a:r>
                  <a:rPr lang="az-Cyrl-AZ"/>
                  <a:t>ф (°)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9973888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440nm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Sheet2!$F$6:$F$11</c:f>
                <c:numCache>
                  <c:formatCode>General</c:formatCode>
                  <c:ptCount val="6"/>
                  <c:pt idx="0">
                    <c:v>6.9721668877839704E-2</c:v>
                  </c:pt>
                  <c:pt idx="1">
                    <c:v>6.9721668877839704E-2</c:v>
                  </c:pt>
                  <c:pt idx="2">
                    <c:v>0.4168333000133268</c:v>
                  </c:pt>
                  <c:pt idx="3">
                    <c:v>0.86690701795393077</c:v>
                  </c:pt>
                  <c:pt idx="4">
                    <c:v>0.37174513371992424</c:v>
                  </c:pt>
                  <c:pt idx="5">
                    <c:v>0.30618621784789724</c:v>
                  </c:pt>
                </c:numCache>
              </c:numRef>
            </c:plus>
            <c:minus>
              <c:numRef>
                <c:f>Sheet2!$F$6:$F$11</c:f>
                <c:numCache>
                  <c:formatCode>General</c:formatCode>
                  <c:ptCount val="6"/>
                  <c:pt idx="0">
                    <c:v>6.9721668877839704E-2</c:v>
                  </c:pt>
                  <c:pt idx="1">
                    <c:v>6.9721668877839704E-2</c:v>
                  </c:pt>
                  <c:pt idx="2">
                    <c:v>0.4168333000133268</c:v>
                  </c:pt>
                  <c:pt idx="3">
                    <c:v>0.86690701795393077</c:v>
                  </c:pt>
                  <c:pt idx="4">
                    <c:v>0.37174513371992424</c:v>
                  </c:pt>
                  <c:pt idx="5">
                    <c:v>0.30618621784789724</c:v>
                  </c:pt>
                </c:numCache>
              </c:numRef>
            </c:minus>
          </c:errBars>
          <c:xVal>
            <c:numRef>
              <c:f>Sheet1!$B$5:$B$10</c:f>
              <c:numCache>
                <c:formatCode>0.00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Sheet1!$G$5:$G$10</c:f>
              <c:numCache>
                <c:formatCode>0.0</c:formatCode>
                <c:ptCount val="6"/>
                <c:pt idx="0">
                  <c:v>9.3333333333333339</c:v>
                </c:pt>
                <c:pt idx="1">
                  <c:v>11.333333333333334</c:v>
                </c:pt>
                <c:pt idx="2">
                  <c:v>12.799999999999999</c:v>
                </c:pt>
                <c:pt idx="3">
                  <c:v>13.466666666666667</c:v>
                </c:pt>
                <c:pt idx="4">
                  <c:v>14.266666666666666</c:v>
                </c:pt>
                <c:pt idx="5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v>505nm</c:v>
          </c:tx>
          <c:spPr>
            <a:ln w="28575">
              <a:noFill/>
            </a:ln>
          </c:spPr>
          <c:marker>
            <c:spPr>
              <a:noFill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Sheet2!$F$20:$F$25</c:f>
                <c:numCache>
                  <c:formatCode>General</c:formatCode>
                  <c:ptCount val="6"/>
                  <c:pt idx="0">
                    <c:v>0.24123524710216901</c:v>
                  </c:pt>
                  <c:pt idx="1">
                    <c:v>0.24123524710216876</c:v>
                  </c:pt>
                  <c:pt idx="2">
                    <c:v>0.13488678380198854</c:v>
                  </c:pt>
                  <c:pt idx="3">
                    <c:v>0.29130930488247558</c:v>
                  </c:pt>
                  <c:pt idx="4">
                    <c:v>0.50373604199024713</c:v>
                  </c:pt>
                  <c:pt idx="5">
                    <c:v>0.59289778020985873</c:v>
                  </c:pt>
                </c:numCache>
              </c:numRef>
            </c:plus>
            <c:minus>
              <c:numRef>
                <c:f>Sheet2!$F$20:$F$25</c:f>
                <c:numCache>
                  <c:formatCode>General</c:formatCode>
                  <c:ptCount val="6"/>
                  <c:pt idx="0">
                    <c:v>0.24123524710216901</c:v>
                  </c:pt>
                  <c:pt idx="1">
                    <c:v>0.24123524710216876</c:v>
                  </c:pt>
                  <c:pt idx="2">
                    <c:v>0.13488678380198854</c:v>
                  </c:pt>
                  <c:pt idx="3">
                    <c:v>0.29130930488247558</c:v>
                  </c:pt>
                  <c:pt idx="4">
                    <c:v>0.50373604199024713</c:v>
                  </c:pt>
                  <c:pt idx="5">
                    <c:v>0.59289778020985873</c:v>
                  </c:pt>
                </c:numCache>
              </c:numRef>
            </c:minus>
          </c:errBars>
          <c:xVal>
            <c:numRef>
              <c:f>Sheet1!$B$14:$B$19</c:f>
              <c:numCache>
                <c:formatCode>0.00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Sheet1!$G$14:$G$19</c:f>
              <c:numCache>
                <c:formatCode>0.0</c:formatCode>
                <c:ptCount val="6"/>
                <c:pt idx="0">
                  <c:v>10.133333333333335</c:v>
                </c:pt>
                <c:pt idx="1">
                  <c:v>12.666666666666666</c:v>
                </c:pt>
                <c:pt idx="2">
                  <c:v>15.333333333333334</c:v>
                </c:pt>
                <c:pt idx="3">
                  <c:v>18.133333333333336</c:v>
                </c:pt>
                <c:pt idx="4">
                  <c:v>19.2</c:v>
                </c:pt>
                <c:pt idx="5">
                  <c:v>21.333333333333332</c:v>
                </c:pt>
              </c:numCache>
            </c:numRef>
          </c:yVal>
          <c:smooth val="0"/>
        </c:ser>
        <c:ser>
          <c:idx val="2"/>
          <c:order val="2"/>
          <c:tx>
            <c:v>525nm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Sheet2!$F$33:$F$38</c:f>
                <c:numCache>
                  <c:formatCode>General</c:formatCode>
                  <c:ptCount val="6"/>
                  <c:pt idx="0">
                    <c:v>0.60034712181093075</c:v>
                  </c:pt>
                  <c:pt idx="1">
                    <c:v>0.63628697229403719</c:v>
                  </c:pt>
                  <c:pt idx="2">
                    <c:v>0.37174513371992424</c:v>
                  </c:pt>
                  <c:pt idx="3">
                    <c:v>0.48117333444173505</c:v>
                  </c:pt>
                  <c:pt idx="4">
                    <c:v>0.80854808143981316</c:v>
                  </c:pt>
                  <c:pt idx="5">
                    <c:v>0.58154487741226346</c:v>
                  </c:pt>
                </c:numCache>
              </c:numRef>
            </c:plus>
            <c:minus>
              <c:numRef>
                <c:f>Sheet2!$F$33:$F$38</c:f>
                <c:numCache>
                  <c:formatCode>General</c:formatCode>
                  <c:ptCount val="6"/>
                  <c:pt idx="0">
                    <c:v>0.60034712181093075</c:v>
                  </c:pt>
                  <c:pt idx="1">
                    <c:v>0.63628697229403719</c:v>
                  </c:pt>
                  <c:pt idx="2">
                    <c:v>0.37174513371992424</c:v>
                  </c:pt>
                  <c:pt idx="3">
                    <c:v>0.48117333444173505</c:v>
                  </c:pt>
                  <c:pt idx="4">
                    <c:v>0.80854808143981316</c:v>
                  </c:pt>
                  <c:pt idx="5">
                    <c:v>0.58154487741226346</c:v>
                  </c:pt>
                </c:numCache>
              </c:numRef>
            </c:minus>
          </c:errBars>
          <c:xVal>
            <c:numRef>
              <c:f>Sheet1!$B$23:$B$28</c:f>
              <c:numCache>
                <c:formatCode>0.00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Sheet1!$G$23:$G$28</c:f>
              <c:numCache>
                <c:formatCode>0.0</c:formatCode>
                <c:ptCount val="6"/>
                <c:pt idx="0">
                  <c:v>12.799999999999999</c:v>
                </c:pt>
                <c:pt idx="1">
                  <c:v>14.666666666666666</c:v>
                </c:pt>
                <c:pt idx="2">
                  <c:v>15.733333333333334</c:v>
                </c:pt>
                <c:pt idx="3">
                  <c:v>17.066666666666666</c:v>
                </c:pt>
                <c:pt idx="4">
                  <c:v>20.399999999999999</c:v>
                </c:pt>
                <c:pt idx="5">
                  <c:v>22.266666666666666</c:v>
                </c:pt>
              </c:numCache>
            </c:numRef>
          </c:yVal>
          <c:smooth val="0"/>
        </c:ser>
        <c:ser>
          <c:idx val="3"/>
          <c:order val="3"/>
          <c:tx>
            <c:v>580nm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Sheet2!$F$46:$F$51</c:f>
                <c:numCache>
                  <c:formatCode>General</c:formatCode>
                  <c:ptCount val="6"/>
                  <c:pt idx="0">
                    <c:v>0.33395774849189797</c:v>
                  </c:pt>
                  <c:pt idx="1">
                    <c:v>0.17756063127218782</c:v>
                  </c:pt>
                  <c:pt idx="2">
                    <c:v>0.26744677559802021</c:v>
                  </c:pt>
                  <c:pt idx="3">
                    <c:v>0.24123524710216881</c:v>
                  </c:pt>
                  <c:pt idx="4">
                    <c:v>2.0412414523193152E-2</c:v>
                  </c:pt>
                  <c:pt idx="5">
                    <c:v>0.86690701795393077</c:v>
                  </c:pt>
                </c:numCache>
              </c:numRef>
            </c:plus>
            <c:minus>
              <c:numRef>
                <c:f>Sheet2!$F$46:$F$51</c:f>
                <c:numCache>
                  <c:formatCode>General</c:formatCode>
                  <c:ptCount val="6"/>
                  <c:pt idx="0">
                    <c:v>0.33395774849189797</c:v>
                  </c:pt>
                  <c:pt idx="1">
                    <c:v>0.17756063127218782</c:v>
                  </c:pt>
                  <c:pt idx="2">
                    <c:v>0.26744677559802021</c:v>
                  </c:pt>
                  <c:pt idx="3">
                    <c:v>0.24123524710216881</c:v>
                  </c:pt>
                  <c:pt idx="4">
                    <c:v>2.0412414523193152E-2</c:v>
                  </c:pt>
                  <c:pt idx="5">
                    <c:v>0.86690701795393077</c:v>
                  </c:pt>
                </c:numCache>
              </c:numRef>
            </c:minus>
          </c:errBars>
          <c:xVal>
            <c:numRef>
              <c:f>Sheet1!$B$32:$B$37</c:f>
              <c:numCache>
                <c:formatCode>0.00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Sheet1!$G$32:$G$37</c:f>
              <c:numCache>
                <c:formatCode>0.0</c:formatCode>
                <c:ptCount val="6"/>
                <c:pt idx="0">
                  <c:v>10.133333333333335</c:v>
                </c:pt>
                <c:pt idx="1">
                  <c:v>12.266666666666666</c:v>
                </c:pt>
                <c:pt idx="2">
                  <c:v>14.133333333333333</c:v>
                </c:pt>
                <c:pt idx="3">
                  <c:v>14.533333333333331</c:v>
                </c:pt>
                <c:pt idx="4">
                  <c:v>16.399999999999999</c:v>
                </c:pt>
                <c:pt idx="5">
                  <c:v>18.533333333333335</c:v>
                </c:pt>
              </c:numCache>
            </c:numRef>
          </c:yVal>
          <c:smooth val="0"/>
        </c:ser>
        <c:ser>
          <c:idx val="4"/>
          <c:order val="4"/>
          <c:tx>
            <c:v>595nm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Sheet2!$F$59:$F$64</c:f>
                <c:numCache>
                  <c:formatCode>General</c:formatCode>
                  <c:ptCount val="6"/>
                  <c:pt idx="0">
                    <c:v>0.13488678380198854</c:v>
                  </c:pt>
                  <c:pt idx="1">
                    <c:v>6.9721668877839704E-2</c:v>
                  </c:pt>
                  <c:pt idx="2">
                    <c:v>0.41683330001332664</c:v>
                  </c:pt>
                  <c:pt idx="3">
                    <c:v>6.9721668877839704E-2</c:v>
                  </c:pt>
                  <c:pt idx="4">
                    <c:v>0.17756063127218757</c:v>
                  </c:pt>
                  <c:pt idx="5">
                    <c:v>0.29130930488247592</c:v>
                  </c:pt>
                </c:numCache>
              </c:numRef>
            </c:plus>
            <c:minus>
              <c:numRef>
                <c:f>Sheet2!$F$59:$F$64</c:f>
                <c:numCache>
                  <c:formatCode>General</c:formatCode>
                  <c:ptCount val="6"/>
                  <c:pt idx="0">
                    <c:v>0.13488678380198854</c:v>
                  </c:pt>
                  <c:pt idx="1">
                    <c:v>6.9721668877839704E-2</c:v>
                  </c:pt>
                  <c:pt idx="2">
                    <c:v>0.41683330001332664</c:v>
                  </c:pt>
                  <c:pt idx="3">
                    <c:v>6.9721668877839704E-2</c:v>
                  </c:pt>
                  <c:pt idx="4">
                    <c:v>0.17756063127218757</c:v>
                  </c:pt>
                  <c:pt idx="5">
                    <c:v>0.29130930488247592</c:v>
                  </c:pt>
                </c:numCache>
              </c:numRef>
            </c:minus>
          </c:errBars>
          <c:xVal>
            <c:numRef>
              <c:f>Sheet1!$B$41:$B$46</c:f>
              <c:numCache>
                <c:formatCode>0.00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Sheet1!$G$41:$G$46</c:f>
              <c:numCache>
                <c:formatCode>0.0</c:formatCode>
                <c:ptCount val="6"/>
                <c:pt idx="0">
                  <c:v>9.0666666666666664</c:v>
                </c:pt>
                <c:pt idx="1">
                  <c:v>10.666666666666666</c:v>
                </c:pt>
                <c:pt idx="2">
                  <c:v>12</c:v>
                </c:pt>
                <c:pt idx="3">
                  <c:v>13.333333333333334</c:v>
                </c:pt>
                <c:pt idx="4">
                  <c:v>14.533333333333331</c:v>
                </c:pt>
                <c:pt idx="5">
                  <c:v>16.533333333333335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30912"/>
        <c:axId val="224995584"/>
      </c:scatterChart>
      <c:valAx>
        <c:axId val="22503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Mean-Flux Density (mT)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24995584"/>
        <c:crosses val="autoZero"/>
        <c:crossBetween val="midCat"/>
      </c:valAx>
      <c:valAx>
        <c:axId val="224995584"/>
        <c:scaling>
          <c:orientation val="minMax"/>
          <c:max val="23"/>
          <c:min val="7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  <a:cs typeface="Times New Roman" pitchFamily="18" charset="0"/>
                  </a:rPr>
                  <a:t>2</a:t>
                </a:r>
                <a:r>
                  <a:rPr lang="el-GR" sz="1000" b="1" i="0" baseline="0">
                    <a:effectLst/>
                    <a:latin typeface="+mn-lt"/>
                    <a:cs typeface="Times New Roman" pitchFamily="18" charset="0"/>
                  </a:rPr>
                  <a:t>Δ</a:t>
                </a:r>
                <a:r>
                  <a:rPr lang="az-Cyrl-AZ" sz="1000" b="1" i="0" baseline="0">
                    <a:effectLst/>
                    <a:latin typeface="+mn-lt"/>
                    <a:cs typeface="Times New Roman" pitchFamily="18" charset="0"/>
                  </a:rPr>
                  <a:t>ф (°)</a:t>
                </a:r>
                <a:endParaRPr lang="en-US" sz="1000">
                  <a:effectLst/>
                  <a:latin typeface="+mn-lt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25030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</xdr:colOff>
      <xdr:row>3</xdr:row>
      <xdr:rowOff>19050</xdr:rowOff>
    </xdr:from>
    <xdr:to>
      <xdr:col>16</xdr:col>
      <xdr:colOff>612775</xdr:colOff>
      <xdr:row>17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16</xdr:col>
      <xdr:colOff>609600</xdr:colOff>
      <xdr:row>31</xdr:row>
      <xdr:rowOff>184150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33</xdr:row>
      <xdr:rowOff>6350</xdr:rowOff>
    </xdr:from>
    <xdr:to>
      <xdr:col>16</xdr:col>
      <xdr:colOff>622300</xdr:colOff>
      <xdr:row>47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16</xdr:col>
      <xdr:colOff>609600</xdr:colOff>
      <xdr:row>61</xdr:row>
      <xdr:rowOff>184150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63</xdr:row>
      <xdr:rowOff>0</xdr:rowOff>
    </xdr:from>
    <xdr:to>
      <xdr:col>16</xdr:col>
      <xdr:colOff>609600</xdr:colOff>
      <xdr:row>76</xdr:row>
      <xdr:rowOff>184150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22412</xdr:colOff>
      <xdr:row>77</xdr:row>
      <xdr:rowOff>146488</xdr:rowOff>
    </xdr:from>
    <xdr:to>
      <xdr:col>16</xdr:col>
      <xdr:colOff>632011</xdr:colOff>
      <xdr:row>91</xdr:row>
      <xdr:rowOff>131856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33617</xdr:colOff>
      <xdr:row>62</xdr:row>
      <xdr:rowOff>25400</xdr:rowOff>
    </xdr:from>
    <xdr:to>
      <xdr:col>7</xdr:col>
      <xdr:colOff>145676</xdr:colOff>
      <xdr:row>76</xdr:row>
      <xdr:rowOff>49306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652318</xdr:colOff>
      <xdr:row>3</xdr:row>
      <xdr:rowOff>13855</xdr:rowOff>
    </xdr:from>
    <xdr:to>
      <xdr:col>32</xdr:col>
      <xdr:colOff>617682</xdr:colOff>
      <xdr:row>17</xdr:row>
      <xdr:rowOff>9237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17318</xdr:colOff>
      <xdr:row>18</xdr:row>
      <xdr:rowOff>13854</xdr:rowOff>
    </xdr:from>
    <xdr:to>
      <xdr:col>32</xdr:col>
      <xdr:colOff>640773</xdr:colOff>
      <xdr:row>32</xdr:row>
      <xdr:rowOff>9236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33</xdr:row>
      <xdr:rowOff>0</xdr:rowOff>
    </xdr:from>
    <xdr:to>
      <xdr:col>32</xdr:col>
      <xdr:colOff>623455</xdr:colOff>
      <xdr:row>46</xdr:row>
      <xdr:rowOff>194953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32</xdr:col>
      <xdr:colOff>623455</xdr:colOff>
      <xdr:row>61</xdr:row>
      <xdr:rowOff>191655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63</xdr:row>
      <xdr:rowOff>0</xdr:rowOff>
    </xdr:from>
    <xdr:to>
      <xdr:col>32</xdr:col>
      <xdr:colOff>623455</xdr:colOff>
      <xdr:row>76</xdr:row>
      <xdr:rowOff>194164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77</xdr:row>
      <xdr:rowOff>198782</xdr:rowOff>
    </xdr:from>
    <xdr:to>
      <xdr:col>32</xdr:col>
      <xdr:colOff>623455</xdr:colOff>
      <xdr:row>91</xdr:row>
      <xdr:rowOff>194164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658813</xdr:colOff>
      <xdr:row>66</xdr:row>
      <xdr:rowOff>168275</xdr:rowOff>
    </xdr:from>
    <xdr:to>
      <xdr:col>4</xdr:col>
      <xdr:colOff>658813</xdr:colOff>
      <xdr:row>81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25400</xdr:rowOff>
    </xdr:from>
    <xdr:to>
      <xdr:col>11</xdr:col>
      <xdr:colOff>85725</xdr:colOff>
      <xdr:row>18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2"/>
  <sheetViews>
    <sheetView tabSelected="1" topLeftCell="U78" zoomScale="115" zoomScaleNormal="115" workbookViewId="0">
      <selection activeCell="AH91" sqref="AH91"/>
    </sheetView>
  </sheetViews>
  <sheetFormatPr defaultRowHeight="15.5" x14ac:dyDescent="0.35"/>
  <cols>
    <col min="2" max="2" width="10.4140625" bestFit="1" customWidth="1"/>
    <col min="3" max="3" width="11.75" customWidth="1"/>
    <col min="4" max="4" width="12.08203125" customWidth="1"/>
    <col min="5" max="5" width="18" customWidth="1"/>
    <col min="6" max="6" width="4.25" customWidth="1"/>
    <col min="7" max="7" width="13.25" bestFit="1" customWidth="1"/>
    <col min="8" max="8" width="10.25" bestFit="1" customWidth="1"/>
  </cols>
  <sheetData>
    <row r="1" spans="1:28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35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3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5">
      <c r="A4" s="1"/>
      <c r="B4" s="3" t="s">
        <v>1</v>
      </c>
      <c r="C4" s="4" t="s">
        <v>2</v>
      </c>
      <c r="D4" s="24" t="s">
        <v>5</v>
      </c>
      <c r="E4" s="24"/>
      <c r="F4" s="24"/>
      <c r="G4" s="4" t="s">
        <v>4</v>
      </c>
      <c r="H4" s="9" t="s">
        <v>11</v>
      </c>
      <c r="I4" s="9" t="s">
        <v>12</v>
      </c>
      <c r="J4" s="1"/>
      <c r="K4" s="1"/>
      <c r="L4" s="1"/>
      <c r="M4" s="1"/>
      <c r="N4" s="1"/>
      <c r="O4" s="1"/>
      <c r="P4" s="1"/>
      <c r="Q4" s="1"/>
      <c r="R4" s="1"/>
      <c r="S4" s="12" t="s">
        <v>36</v>
      </c>
      <c r="T4" s="1"/>
      <c r="V4" s="1" t="s">
        <v>79</v>
      </c>
      <c r="W4" s="1" t="s">
        <v>50</v>
      </c>
      <c r="X4" s="1">
        <f>(0.0584/(0.03))*1000</f>
        <v>1946.6666666666667</v>
      </c>
      <c r="Y4" s="1">
        <f>X4*(PI()/180)</f>
        <v>33.975742772156281</v>
      </c>
      <c r="Z4" s="1"/>
      <c r="AA4" s="1"/>
      <c r="AB4" s="1"/>
    </row>
    <row r="5" spans="1:28" x14ac:dyDescent="0.35">
      <c r="A5" s="1"/>
      <c r="B5" s="6">
        <v>0.5</v>
      </c>
      <c r="C5" s="7">
        <f>80.9</f>
        <v>80.900000000000006</v>
      </c>
      <c r="D5" s="7">
        <v>4.5999999999999996</v>
      </c>
      <c r="E5" s="7">
        <v>4.5999999999999996</v>
      </c>
      <c r="F5" s="7">
        <v>4.8</v>
      </c>
      <c r="G5" s="7">
        <f t="shared" ref="G5:G10" si="0">2*AVERAGE(D5:F5)</f>
        <v>9.3333333333333339</v>
      </c>
      <c r="H5" s="1">
        <f t="shared" ref="H5:H10" si="1">G5/((30*10^-3)*(C5*10^-3))</f>
        <v>3845.6256008789996</v>
      </c>
      <c r="I5" s="1">
        <f t="shared" ref="I5:I10" si="2">(G5*(PI()/180))/((30*10^-3)*(C5*10^-3))</f>
        <v>67.118828534323896</v>
      </c>
      <c r="J5" s="1"/>
      <c r="K5" s="1"/>
      <c r="L5" s="1"/>
      <c r="M5" s="1"/>
      <c r="N5" s="1"/>
      <c r="O5" s="1"/>
      <c r="P5" s="1"/>
      <c r="Q5" s="1"/>
      <c r="R5" s="9"/>
      <c r="S5" s="12" t="s">
        <v>31</v>
      </c>
      <c r="T5" s="1">
        <v>0.1</v>
      </c>
      <c r="U5" s="13" t="s">
        <v>35</v>
      </c>
      <c r="V5" s="1"/>
      <c r="W5" s="9"/>
      <c r="X5" s="1"/>
      <c r="Y5" s="1"/>
      <c r="Z5" s="1"/>
      <c r="AA5" s="1"/>
      <c r="AB5" s="1"/>
    </row>
    <row r="6" spans="1:28" x14ac:dyDescent="0.35">
      <c r="A6" s="1"/>
      <c r="B6" s="6">
        <v>1</v>
      </c>
      <c r="C6" s="7">
        <f>91.8</f>
        <v>91.8</v>
      </c>
      <c r="D6" s="7">
        <v>5.8</v>
      </c>
      <c r="E6" s="7">
        <v>5.6</v>
      </c>
      <c r="F6" s="7">
        <v>5.6</v>
      </c>
      <c r="G6" s="7">
        <f t="shared" si="0"/>
        <v>11.333333333333334</v>
      </c>
      <c r="H6" s="1">
        <f t="shared" si="1"/>
        <v>4115.226337448561</v>
      </c>
      <c r="I6" s="1">
        <f t="shared" si="2"/>
        <v>71.824249053264609</v>
      </c>
      <c r="J6" s="1"/>
      <c r="K6" s="1"/>
      <c r="L6" s="1"/>
      <c r="M6" s="1"/>
      <c r="N6" s="1"/>
      <c r="O6" s="1"/>
      <c r="P6" s="1"/>
      <c r="Q6" s="1"/>
      <c r="R6" s="1"/>
      <c r="S6" s="12" t="s">
        <v>32</v>
      </c>
      <c r="T6" s="1" t="s">
        <v>33</v>
      </c>
      <c r="V6" s="1"/>
      <c r="W6" s="1"/>
      <c r="X6" s="1"/>
      <c r="Y6" s="1"/>
      <c r="Z6" s="1"/>
      <c r="AA6" s="1"/>
      <c r="AB6" s="1"/>
    </row>
    <row r="7" spans="1:28" x14ac:dyDescent="0.35">
      <c r="A7" s="1"/>
      <c r="B7" s="6">
        <v>1.5</v>
      </c>
      <c r="C7" s="7">
        <f>104.5</f>
        <v>104.5</v>
      </c>
      <c r="D7" s="7">
        <v>7</v>
      </c>
      <c r="E7" s="7">
        <v>6.6</v>
      </c>
      <c r="F7" s="7">
        <v>5.6</v>
      </c>
      <c r="G7" s="7">
        <f t="shared" si="0"/>
        <v>12.799999999999999</v>
      </c>
      <c r="H7" s="1">
        <f t="shared" si="1"/>
        <v>4082.9346092503988</v>
      </c>
      <c r="I7" s="1">
        <f t="shared" si="2"/>
        <v>71.260652075047588</v>
      </c>
      <c r="J7" s="1"/>
      <c r="K7" s="1"/>
      <c r="L7" s="1"/>
      <c r="M7" s="1"/>
      <c r="N7" s="1"/>
      <c r="O7" s="1"/>
      <c r="P7" s="1"/>
      <c r="Q7" s="1"/>
      <c r="R7" s="1"/>
      <c r="S7" s="12" t="s">
        <v>34</v>
      </c>
      <c r="T7" s="1">
        <f>(T5/2)/(SQRT(6))</f>
        <v>2.0412414523193152E-2</v>
      </c>
      <c r="U7" s="13" t="s">
        <v>35</v>
      </c>
      <c r="V7" s="1"/>
      <c r="W7" s="1"/>
      <c r="X7" s="1"/>
      <c r="Y7" s="1"/>
      <c r="Z7" s="1"/>
      <c r="AA7" s="1"/>
      <c r="AB7" s="1"/>
    </row>
    <row r="8" spans="1:28" x14ac:dyDescent="0.35">
      <c r="A8" s="1"/>
      <c r="B8" s="6">
        <v>2</v>
      </c>
      <c r="C8" s="7">
        <f>114</f>
        <v>114</v>
      </c>
      <c r="D8" s="7">
        <v>5.2</v>
      </c>
      <c r="E8" s="7">
        <v>8.1999999999999993</v>
      </c>
      <c r="F8" s="7">
        <v>6.8</v>
      </c>
      <c r="G8" s="7">
        <f t="shared" si="0"/>
        <v>13.466666666666667</v>
      </c>
      <c r="H8" s="1">
        <f t="shared" si="1"/>
        <v>3937.6218323586745</v>
      </c>
      <c r="I8" s="1">
        <f t="shared" si="2"/>
        <v>68.724465673071066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5">
      <c r="A9" s="1"/>
      <c r="B9" s="6">
        <v>2.5</v>
      </c>
      <c r="C9" s="7">
        <f>124</f>
        <v>124</v>
      </c>
      <c r="D9" s="7">
        <v>7.6</v>
      </c>
      <c r="E9" s="7">
        <v>7.4</v>
      </c>
      <c r="F9" s="7">
        <v>6.4</v>
      </c>
      <c r="G9" s="7">
        <f t="shared" si="0"/>
        <v>14.266666666666666</v>
      </c>
      <c r="H9" s="1">
        <f t="shared" si="1"/>
        <v>3835.1254480286739</v>
      </c>
      <c r="I9" s="1">
        <f t="shared" si="2"/>
        <v>66.935566295123024</v>
      </c>
      <c r="J9" s="1"/>
      <c r="K9" s="1"/>
      <c r="L9" s="1"/>
      <c r="M9" s="1"/>
      <c r="N9" s="1"/>
      <c r="O9" s="1"/>
      <c r="P9" s="1"/>
      <c r="Q9" s="1"/>
      <c r="R9" s="1"/>
      <c r="S9" s="12" t="s">
        <v>37</v>
      </c>
      <c r="T9" s="1"/>
      <c r="V9" s="1"/>
      <c r="W9" s="1"/>
      <c r="X9" s="1"/>
      <c r="Y9" s="1"/>
      <c r="Z9" s="1"/>
      <c r="AA9" s="1"/>
      <c r="AB9" s="1"/>
    </row>
    <row r="10" spans="1:28" x14ac:dyDescent="0.35">
      <c r="A10" s="1"/>
      <c r="B10" s="6">
        <v>3</v>
      </c>
      <c r="C10" s="7">
        <f>133.1</f>
        <v>133.1</v>
      </c>
      <c r="D10" s="7">
        <v>7.8</v>
      </c>
      <c r="E10" s="7">
        <v>7.6</v>
      </c>
      <c r="F10" s="7">
        <v>8.6</v>
      </c>
      <c r="G10" s="7">
        <f t="shared" si="0"/>
        <v>16</v>
      </c>
      <c r="H10" s="1">
        <f t="shared" si="1"/>
        <v>4007.0122714750814</v>
      </c>
      <c r="I10" s="1">
        <f t="shared" si="2"/>
        <v>69.935557305057031</v>
      </c>
      <c r="J10" s="1"/>
      <c r="K10" s="1"/>
      <c r="L10" s="1"/>
      <c r="M10" s="1"/>
      <c r="N10" s="1"/>
      <c r="O10" s="1"/>
      <c r="P10" s="1"/>
      <c r="Q10" s="1"/>
      <c r="R10" s="1"/>
      <c r="S10" s="12" t="s">
        <v>31</v>
      </c>
      <c r="T10" s="1">
        <v>0.1</v>
      </c>
      <c r="U10" s="13" t="s">
        <v>38</v>
      </c>
      <c r="V10" s="1"/>
      <c r="W10" s="1"/>
      <c r="X10" s="1"/>
      <c r="Y10" s="1"/>
      <c r="Z10" s="1"/>
      <c r="AA10" s="1"/>
      <c r="AB10" s="1"/>
    </row>
    <row r="11" spans="1:28" x14ac:dyDescent="0.35">
      <c r="A11" s="1"/>
      <c r="B11" s="1"/>
      <c r="C11" s="1"/>
      <c r="D11" s="1"/>
      <c r="E11" s="1"/>
      <c r="F11" s="1"/>
      <c r="G11" s="1"/>
      <c r="H11" s="1">
        <f>AVERAGE(H5:H10)</f>
        <v>3970.5910165733985</v>
      </c>
      <c r="I11" s="1">
        <f>AVERAGE(I5:I10)</f>
        <v>69.299886489314531</v>
      </c>
      <c r="J11" s="1"/>
      <c r="K11" s="1"/>
      <c r="L11" s="1"/>
      <c r="M11" s="1"/>
      <c r="N11" s="1"/>
      <c r="O11" s="1"/>
      <c r="P11" s="1"/>
      <c r="Q11" s="1"/>
      <c r="R11" s="1"/>
      <c r="S11" s="12" t="s">
        <v>32</v>
      </c>
      <c r="T11" s="1" t="s">
        <v>33</v>
      </c>
      <c r="V11" s="1"/>
      <c r="W11" s="1"/>
      <c r="X11" s="1"/>
      <c r="Y11" s="1"/>
      <c r="Z11" s="1"/>
      <c r="AA11" s="1"/>
      <c r="AB11" s="1"/>
    </row>
    <row r="12" spans="1:28" x14ac:dyDescent="0.35">
      <c r="A12" s="1"/>
      <c r="B12" s="2" t="s">
        <v>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2" t="s">
        <v>34</v>
      </c>
      <c r="T12" s="1">
        <f>(T10/2)/(SQRT(6))</f>
        <v>2.0412414523193152E-2</v>
      </c>
      <c r="U12" s="13" t="s">
        <v>38</v>
      </c>
      <c r="V12" s="1"/>
      <c r="W12" s="1"/>
      <c r="X12" s="1"/>
      <c r="Y12" s="1"/>
      <c r="Z12" s="1"/>
      <c r="AA12" s="1"/>
      <c r="AB12" s="1"/>
    </row>
    <row r="13" spans="1:28" x14ac:dyDescent="0.35">
      <c r="A13" s="1"/>
      <c r="B13" s="3" t="s">
        <v>1</v>
      </c>
      <c r="C13" s="4" t="s">
        <v>2</v>
      </c>
      <c r="D13" s="24" t="s">
        <v>3</v>
      </c>
      <c r="E13" s="24"/>
      <c r="F13" s="24"/>
      <c r="G13" s="4" t="s">
        <v>4</v>
      </c>
      <c r="H13" s="9" t="s">
        <v>11</v>
      </c>
      <c r="I13" s="9" t="s">
        <v>12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5">
      <c r="A14" s="1"/>
      <c r="B14" s="6">
        <v>0.5</v>
      </c>
      <c r="C14" s="7">
        <v>80.900000000000006</v>
      </c>
      <c r="D14" s="7">
        <v>5.2</v>
      </c>
      <c r="E14" s="7">
        <v>4.5999999999999996</v>
      </c>
      <c r="F14" s="7">
        <v>5.4</v>
      </c>
      <c r="G14" s="7">
        <f t="shared" ref="G14:G19" si="3">2*AVERAGE(D14:F14)</f>
        <v>10.133333333333335</v>
      </c>
      <c r="H14" s="1">
        <f t="shared" ref="H14:H19" si="4">G14/((30*10^-3)*(C14*10^-3))</f>
        <v>4175.2506523829143</v>
      </c>
      <c r="I14" s="1">
        <f t="shared" ref="I14:I19" si="5">(G14*(PI()/180))/((30*10^-3)*(C14*10^-3))</f>
        <v>72.871870980123091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35">
      <c r="A15" s="1"/>
      <c r="B15" s="6">
        <v>1</v>
      </c>
      <c r="C15" s="7">
        <v>91.8</v>
      </c>
      <c r="D15" s="7">
        <v>6.8</v>
      </c>
      <c r="E15" s="7">
        <v>6</v>
      </c>
      <c r="F15" s="7">
        <v>6.2</v>
      </c>
      <c r="G15" s="7">
        <f t="shared" si="3"/>
        <v>12.666666666666666</v>
      </c>
      <c r="H15" s="1">
        <f t="shared" si="4"/>
        <v>4599.3706124425089</v>
      </c>
      <c r="I15" s="1">
        <f t="shared" si="5"/>
        <v>80.274160706589853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35">
      <c r="A16" s="1"/>
      <c r="B16" s="6">
        <v>1.5</v>
      </c>
      <c r="C16" s="7">
        <v>104.5</v>
      </c>
      <c r="D16" s="7">
        <v>7.8</v>
      </c>
      <c r="E16" s="7">
        <v>7.4</v>
      </c>
      <c r="F16" s="7">
        <v>7.8</v>
      </c>
      <c r="G16" s="7">
        <f t="shared" si="3"/>
        <v>15.333333333333334</v>
      </c>
      <c r="H16" s="1">
        <f t="shared" si="4"/>
        <v>4891.0154173312076</v>
      </c>
      <c r="I16" s="1">
        <f t="shared" si="5"/>
        <v>85.364322798234099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35">
      <c r="A17" s="1"/>
      <c r="B17" s="6">
        <v>2</v>
      </c>
      <c r="C17" s="7">
        <v>114</v>
      </c>
      <c r="D17" s="7">
        <v>9</v>
      </c>
      <c r="E17" s="7">
        <v>9.6</v>
      </c>
      <c r="F17" s="7">
        <v>8.6</v>
      </c>
      <c r="G17" s="7">
        <f t="shared" si="3"/>
        <v>18.133333333333336</v>
      </c>
      <c r="H17" s="1">
        <f t="shared" si="4"/>
        <v>5302.1442495126721</v>
      </c>
      <c r="I17" s="1">
        <f t="shared" si="5"/>
        <v>92.539874569679867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35">
      <c r="A18" s="1"/>
      <c r="B18" s="6">
        <v>2.5</v>
      </c>
      <c r="C18" s="7">
        <v>124</v>
      </c>
      <c r="D18" s="7">
        <v>9</v>
      </c>
      <c r="E18" s="7">
        <v>10.6</v>
      </c>
      <c r="F18" s="7">
        <v>9.1999999999999993</v>
      </c>
      <c r="G18" s="7">
        <f t="shared" si="3"/>
        <v>19.2</v>
      </c>
      <c r="H18" s="1">
        <f t="shared" si="4"/>
        <v>5161.2903225806449</v>
      </c>
      <c r="I18" s="1">
        <f t="shared" si="5"/>
        <v>90.081509780352491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35">
      <c r="A19" s="1"/>
      <c r="B19" s="6">
        <v>3</v>
      </c>
      <c r="C19" s="7">
        <v>133.1</v>
      </c>
      <c r="D19" s="7">
        <v>10.4</v>
      </c>
      <c r="E19" s="7">
        <v>9.8000000000000007</v>
      </c>
      <c r="F19" s="7">
        <v>11.8</v>
      </c>
      <c r="G19" s="7">
        <f t="shared" si="3"/>
        <v>21.333333333333332</v>
      </c>
      <c r="H19" s="1">
        <f t="shared" si="4"/>
        <v>5342.6830286334416</v>
      </c>
      <c r="I19" s="1">
        <f t="shared" si="5"/>
        <v>93.247409740076037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79</v>
      </c>
      <c r="W19" s="1" t="s">
        <v>50</v>
      </c>
      <c r="X19" s="1">
        <f>(0.107/(0.03))*1000</f>
        <v>3566.666666666667</v>
      </c>
      <c r="Y19" s="1">
        <f>X19*(PI()/180)</f>
        <v>62.250076654464429</v>
      </c>
      <c r="Z19" s="1"/>
      <c r="AA19" s="1"/>
      <c r="AB19" s="1"/>
    </row>
    <row r="20" spans="1:28" x14ac:dyDescent="0.35">
      <c r="A20" s="1"/>
      <c r="B20" s="1"/>
      <c r="C20" s="1"/>
      <c r="D20" s="1"/>
      <c r="E20" s="1"/>
      <c r="F20" s="1"/>
      <c r="G20" s="1"/>
      <c r="H20" s="1">
        <f>AVERAGE(H14:H19)</f>
        <v>4911.9590471472311</v>
      </c>
      <c r="I20" s="1">
        <f>AVERAGE(I14:I19)</f>
        <v>85.729858095842573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35">
      <c r="A21" s="1"/>
      <c r="B21" s="2" t="s">
        <v>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5">
      <c r="A22" s="1"/>
      <c r="B22" s="5" t="s">
        <v>1</v>
      </c>
      <c r="C22" s="4" t="s">
        <v>2</v>
      </c>
      <c r="D22" s="25" t="s">
        <v>3</v>
      </c>
      <c r="E22" s="26"/>
      <c r="F22" s="27"/>
      <c r="G22" s="4" t="s">
        <v>4</v>
      </c>
      <c r="H22" s="9" t="s">
        <v>11</v>
      </c>
      <c r="I22" s="9" t="s">
        <v>12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35">
      <c r="A23" s="1"/>
      <c r="B23" s="6">
        <v>0.5</v>
      </c>
      <c r="C23" s="7">
        <v>80.900000000000006</v>
      </c>
      <c r="D23" s="7">
        <v>7.6</v>
      </c>
      <c r="E23" s="7">
        <v>5.8</v>
      </c>
      <c r="F23" s="7">
        <v>5.8</v>
      </c>
      <c r="G23" s="7">
        <f t="shared" ref="G23:G28" si="6">2*AVERAGE(D23:F23)</f>
        <v>12.799999999999999</v>
      </c>
      <c r="H23" s="1">
        <f t="shared" ref="H23:H28" si="7">G23/((30*10^-3)*(C23*10^-3))</f>
        <v>5274.0008240626275</v>
      </c>
      <c r="I23" s="1">
        <f t="shared" ref="I23:I28" si="8">(G23*(PI()/180))/((30*10^-3)*(C23*10^-3))</f>
        <v>92.048679132787029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35">
      <c r="A24" s="1"/>
      <c r="B24" s="6">
        <v>1</v>
      </c>
      <c r="C24" s="7">
        <v>91.8</v>
      </c>
      <c r="D24" s="7">
        <v>8.4</v>
      </c>
      <c r="E24" s="7">
        <v>7.4</v>
      </c>
      <c r="F24" s="7">
        <v>6.2</v>
      </c>
      <c r="G24" s="7">
        <f t="shared" si="6"/>
        <v>14.666666666666666</v>
      </c>
      <c r="H24" s="1">
        <f t="shared" si="7"/>
        <v>5325.5870249334312</v>
      </c>
      <c r="I24" s="1">
        <f t="shared" si="8"/>
        <v>92.949028186577721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35">
      <c r="A25" s="1"/>
      <c r="B25" s="6">
        <v>1.5</v>
      </c>
      <c r="C25" s="7">
        <v>104.5</v>
      </c>
      <c r="D25" s="7">
        <v>7.6</v>
      </c>
      <c r="E25" s="7">
        <v>7.4</v>
      </c>
      <c r="F25" s="7">
        <v>8.6</v>
      </c>
      <c r="G25" s="7">
        <f t="shared" si="6"/>
        <v>15.733333333333334</v>
      </c>
      <c r="H25" s="1">
        <f t="shared" si="7"/>
        <v>5018.6071238702825</v>
      </c>
      <c r="I25" s="1">
        <f t="shared" si="8"/>
        <v>87.591218175579343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35">
      <c r="A26" s="1"/>
      <c r="B26" s="6">
        <v>2</v>
      </c>
      <c r="C26" s="7">
        <v>114</v>
      </c>
      <c r="D26" s="7">
        <v>9.1999999999999993</v>
      </c>
      <c r="E26" s="7">
        <v>7.6</v>
      </c>
      <c r="F26" s="7">
        <v>8.8000000000000007</v>
      </c>
      <c r="G26" s="7">
        <f t="shared" si="6"/>
        <v>17.066666666666666</v>
      </c>
      <c r="H26" s="1">
        <f t="shared" si="7"/>
        <v>4990.2534113060428</v>
      </c>
      <c r="I26" s="1">
        <f t="shared" si="8"/>
        <v>87.096352536169277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35">
      <c r="A27" s="1"/>
      <c r="B27" s="6">
        <v>2.5</v>
      </c>
      <c r="C27" s="7">
        <v>124</v>
      </c>
      <c r="D27" s="7">
        <v>9.6</v>
      </c>
      <c r="E27" s="7">
        <v>11.8</v>
      </c>
      <c r="F27" s="7">
        <v>9.1999999999999993</v>
      </c>
      <c r="G27" s="7">
        <f t="shared" si="6"/>
        <v>20.399999999999999</v>
      </c>
      <c r="H27" s="1">
        <f t="shared" si="7"/>
        <v>5483.8709677419356</v>
      </c>
      <c r="I27" s="1">
        <f t="shared" si="8"/>
        <v>95.711604141624534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5">
      <c r="A28" s="1"/>
      <c r="B28" s="6">
        <v>3</v>
      </c>
      <c r="C28" s="7">
        <v>133.1</v>
      </c>
      <c r="D28" s="7">
        <v>11</v>
      </c>
      <c r="E28" s="7">
        <v>12.2</v>
      </c>
      <c r="F28" s="7">
        <v>10.199999999999999</v>
      </c>
      <c r="G28" s="7">
        <f t="shared" si="6"/>
        <v>22.266666666666666</v>
      </c>
      <c r="H28" s="1">
        <f t="shared" si="7"/>
        <v>5576.4254111361543</v>
      </c>
      <c r="I28" s="1">
        <f t="shared" si="8"/>
        <v>97.32698391620437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35">
      <c r="A29" s="1"/>
      <c r="B29" s="1"/>
      <c r="C29" s="1"/>
      <c r="D29" s="1"/>
      <c r="E29" s="1"/>
      <c r="F29" s="1"/>
      <c r="G29" s="1"/>
      <c r="H29" s="1">
        <f>AVERAGE(H23:H28)</f>
        <v>5278.1241271750796</v>
      </c>
      <c r="I29" s="1">
        <f>AVERAGE(I23:I28)</f>
        <v>92.120644348157043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5">
      <c r="A30" s="1"/>
      <c r="B30" s="2" t="s">
        <v>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35">
      <c r="A31" s="1"/>
      <c r="B31" s="5" t="s">
        <v>1</v>
      </c>
      <c r="C31" s="4" t="s">
        <v>2</v>
      </c>
      <c r="D31" s="24" t="s">
        <v>3</v>
      </c>
      <c r="E31" s="24"/>
      <c r="F31" s="24"/>
      <c r="G31" s="4" t="s">
        <v>4</v>
      </c>
      <c r="H31" s="9" t="s">
        <v>11</v>
      </c>
      <c r="I31" s="9" t="s">
        <v>12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5">
      <c r="A32" s="1"/>
      <c r="B32" s="6">
        <v>0.5</v>
      </c>
      <c r="C32" s="7">
        <v>80.900000000000006</v>
      </c>
      <c r="D32" s="7">
        <v>4.4000000000000004</v>
      </c>
      <c r="E32" s="7">
        <v>5.4</v>
      </c>
      <c r="F32" s="7">
        <v>5.4</v>
      </c>
      <c r="G32" s="7">
        <f t="shared" ref="G32:G37" si="9">2*AVERAGE(D32:F32)</f>
        <v>10.133333333333335</v>
      </c>
      <c r="H32" s="1">
        <f t="shared" ref="H32:H37" si="10">G32/((30*10^-3)*(C32*10^-3))</f>
        <v>4175.2506523829143</v>
      </c>
      <c r="I32" s="1">
        <f t="shared" ref="I32:I37" si="11">(G32*(PI()/180))/((30*10^-3)*(C32*10^-3))</f>
        <v>72.871870980123091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35">
      <c r="A33" s="1"/>
      <c r="B33" s="6">
        <v>1</v>
      </c>
      <c r="C33" s="7">
        <v>91.8</v>
      </c>
      <c r="D33" s="7">
        <v>5.8</v>
      </c>
      <c r="E33" s="7">
        <v>6.4</v>
      </c>
      <c r="F33" s="7">
        <v>6.2</v>
      </c>
      <c r="G33" s="7">
        <f t="shared" si="9"/>
        <v>12.266666666666666</v>
      </c>
      <c r="H33" s="1">
        <f t="shared" si="10"/>
        <v>4454.1273299443237</v>
      </c>
      <c r="I33" s="1">
        <f t="shared" si="11"/>
        <v>77.739187210592277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5">
      <c r="A34" s="1"/>
      <c r="B34" s="6">
        <v>1.5</v>
      </c>
      <c r="C34" s="7">
        <v>104.5</v>
      </c>
      <c r="D34" s="7">
        <v>6.8</v>
      </c>
      <c r="E34" s="7">
        <v>6.8</v>
      </c>
      <c r="F34" s="7">
        <v>7.6</v>
      </c>
      <c r="G34" s="7">
        <f t="shared" si="9"/>
        <v>14.133333333333333</v>
      </c>
      <c r="H34" s="1">
        <f t="shared" si="10"/>
        <v>4508.2402977139818</v>
      </c>
      <c r="I34" s="1">
        <f t="shared" si="11"/>
        <v>78.683636666198382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 t="s">
        <v>79</v>
      </c>
      <c r="W34" s="1" t="s">
        <v>50</v>
      </c>
      <c r="X34" s="1">
        <f>(0.0888/(0.03))*1000</f>
        <v>2960.0000000000005</v>
      </c>
      <c r="Y34" s="1">
        <f>X34*(PI()/180)</f>
        <v>51.661745859032166</v>
      </c>
      <c r="Z34" s="1"/>
      <c r="AA34" s="1"/>
      <c r="AB34" s="1"/>
    </row>
    <row r="35" spans="1:28" x14ac:dyDescent="0.35">
      <c r="A35" s="1"/>
      <c r="B35" s="6">
        <v>2</v>
      </c>
      <c r="C35" s="7">
        <v>114</v>
      </c>
      <c r="D35" s="7">
        <v>6.8</v>
      </c>
      <c r="E35" s="7">
        <v>7.4</v>
      </c>
      <c r="F35" s="7">
        <v>7.6</v>
      </c>
      <c r="G35" s="7">
        <f t="shared" si="9"/>
        <v>14.533333333333331</v>
      </c>
      <c r="H35" s="1">
        <f t="shared" si="10"/>
        <v>4249.512670565302</v>
      </c>
      <c r="I35" s="1">
        <f t="shared" si="11"/>
        <v>74.167987706581627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5">
      <c r="A36" s="1"/>
      <c r="B36" s="6">
        <v>2.5</v>
      </c>
      <c r="C36" s="7">
        <v>124</v>
      </c>
      <c r="D36" s="7">
        <v>8.1999999999999993</v>
      </c>
      <c r="E36" s="7">
        <v>8.1999999999999993</v>
      </c>
      <c r="F36" s="7">
        <v>8.1999999999999993</v>
      </c>
      <c r="G36" s="7">
        <f t="shared" si="9"/>
        <v>16.399999999999999</v>
      </c>
      <c r="H36" s="1">
        <f t="shared" si="10"/>
        <v>4408.6021505376339</v>
      </c>
      <c r="I36" s="1">
        <f t="shared" si="11"/>
        <v>76.944622937384409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5">
      <c r="A37" s="1"/>
      <c r="B37" s="6">
        <v>3</v>
      </c>
      <c r="C37" s="7">
        <v>133.1</v>
      </c>
      <c r="D37" s="7">
        <v>9.1999999999999993</v>
      </c>
      <c r="E37" s="7">
        <v>7.8</v>
      </c>
      <c r="F37" s="7">
        <v>10.8</v>
      </c>
      <c r="G37" s="7">
        <f t="shared" si="9"/>
        <v>18.533333333333335</v>
      </c>
      <c r="H37" s="1">
        <f t="shared" si="10"/>
        <v>4641.4558811253028</v>
      </c>
      <c r="I37" s="1">
        <f t="shared" si="11"/>
        <v>81.008687211691068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5">
      <c r="A38" s="1"/>
      <c r="H38" s="1">
        <f>AVERAGE(H32:H37)</f>
        <v>4406.1981637115759</v>
      </c>
      <c r="I38" s="1">
        <f>AVERAGE(I32:I37)</f>
        <v>76.90266545209515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35">
      <c r="A39" s="1"/>
      <c r="B39" s="2" t="s">
        <v>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35">
      <c r="A40" s="1"/>
      <c r="B40" s="5" t="s">
        <v>1</v>
      </c>
      <c r="C40" s="4" t="s">
        <v>2</v>
      </c>
      <c r="D40" s="24" t="s">
        <v>3</v>
      </c>
      <c r="E40" s="24"/>
      <c r="F40" s="24"/>
      <c r="G40" s="4" t="s">
        <v>4</v>
      </c>
      <c r="H40" s="9" t="s">
        <v>11</v>
      </c>
      <c r="I40" s="9" t="s">
        <v>12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35">
      <c r="A41" s="1"/>
      <c r="B41" s="6">
        <v>0.5</v>
      </c>
      <c r="C41" s="7">
        <v>80.900000000000006</v>
      </c>
      <c r="D41" s="7">
        <v>4.8</v>
      </c>
      <c r="E41" s="7">
        <v>4.4000000000000004</v>
      </c>
      <c r="F41" s="7">
        <v>4.4000000000000004</v>
      </c>
      <c r="G41" s="7">
        <f t="shared" ref="G41:G46" si="12">2*AVERAGE(D41:F41)</f>
        <v>9.0666666666666664</v>
      </c>
      <c r="H41" s="1">
        <f t="shared" ref="H41:H46" si="13">G41/((30*10^-3)*(C41*10^-3))</f>
        <v>3735.750583711028</v>
      </c>
      <c r="I41" s="1">
        <f t="shared" ref="I41:I46" si="14">(G41*(PI()/180))/((30*10^-3)*(C41*10^-3))</f>
        <v>65.201147719057488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35">
      <c r="A42" s="1"/>
      <c r="B42" s="6">
        <v>1</v>
      </c>
      <c r="C42" s="7">
        <v>91.8</v>
      </c>
      <c r="D42" s="7">
        <v>5.2</v>
      </c>
      <c r="E42" s="7">
        <v>5.4</v>
      </c>
      <c r="F42" s="7">
        <v>5.4</v>
      </c>
      <c r="G42" s="7">
        <f t="shared" si="12"/>
        <v>10.666666666666666</v>
      </c>
      <c r="H42" s="1">
        <f t="shared" si="13"/>
        <v>3873.1541999515862</v>
      </c>
      <c r="I42" s="1">
        <f t="shared" si="14"/>
        <v>67.599293226601986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35">
      <c r="A43" s="1"/>
      <c r="B43" s="6">
        <v>1.5</v>
      </c>
      <c r="C43" s="7">
        <v>104.5</v>
      </c>
      <c r="D43" s="7">
        <v>6.2</v>
      </c>
      <c r="E43" s="7">
        <v>5.2</v>
      </c>
      <c r="F43" s="7">
        <v>6.6</v>
      </c>
      <c r="G43" s="7">
        <f t="shared" si="12"/>
        <v>12</v>
      </c>
      <c r="H43" s="1">
        <f t="shared" si="13"/>
        <v>3827.7511961722489</v>
      </c>
      <c r="I43" s="1">
        <f t="shared" si="14"/>
        <v>66.806861320357115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35">
      <c r="A44" s="1"/>
      <c r="B44" s="6">
        <v>2</v>
      </c>
      <c r="C44" s="7">
        <v>114</v>
      </c>
      <c r="D44" s="7">
        <v>6.8</v>
      </c>
      <c r="E44" s="7">
        <v>6.6</v>
      </c>
      <c r="F44" s="7">
        <v>6.6</v>
      </c>
      <c r="G44" s="7">
        <f t="shared" si="12"/>
        <v>13.333333333333334</v>
      </c>
      <c r="H44" s="1">
        <f t="shared" si="13"/>
        <v>3898.6354775828463</v>
      </c>
      <c r="I44" s="1">
        <f t="shared" si="14"/>
        <v>68.044025418882242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35">
      <c r="A45" s="1"/>
      <c r="B45" s="6">
        <v>2.5</v>
      </c>
      <c r="C45" s="7">
        <v>124</v>
      </c>
      <c r="D45" s="7">
        <v>7.2</v>
      </c>
      <c r="E45" s="7">
        <v>7</v>
      </c>
      <c r="F45" s="7">
        <v>7.6</v>
      </c>
      <c r="G45" s="7">
        <f t="shared" si="12"/>
        <v>14.533333333333331</v>
      </c>
      <c r="H45" s="1">
        <f t="shared" si="13"/>
        <v>3906.8100358422935</v>
      </c>
      <c r="I45" s="1">
        <f t="shared" si="14"/>
        <v>68.186698375405697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35">
      <c r="A46" s="1"/>
      <c r="B46" s="6">
        <v>3</v>
      </c>
      <c r="C46" s="7">
        <v>133.1</v>
      </c>
      <c r="D46" s="7">
        <v>8.8000000000000007</v>
      </c>
      <c r="E46" s="7">
        <v>8.1999999999999993</v>
      </c>
      <c r="F46" s="7">
        <v>7.8</v>
      </c>
      <c r="G46" s="7">
        <f t="shared" si="12"/>
        <v>16.533333333333335</v>
      </c>
      <c r="H46" s="1">
        <f t="shared" si="13"/>
        <v>4140.5793471909183</v>
      </c>
      <c r="I46" s="1">
        <f t="shared" si="14"/>
        <v>72.266742548558952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35">
      <c r="A48" s="1"/>
      <c r="B48" s="2" t="s">
        <v>10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35">
      <c r="A49" s="1"/>
      <c r="B49" s="5" t="s">
        <v>1</v>
      </c>
      <c r="C49" s="4" t="s">
        <v>2</v>
      </c>
      <c r="D49" s="24" t="s">
        <v>3</v>
      </c>
      <c r="E49" s="24"/>
      <c r="F49" s="24"/>
      <c r="G49" s="4" t="s">
        <v>4</v>
      </c>
      <c r="H49" s="9" t="s">
        <v>11</v>
      </c>
      <c r="I49" s="9" t="s">
        <v>12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 t="s">
        <v>79</v>
      </c>
      <c r="W49" s="1" t="s">
        <v>50</v>
      </c>
      <c r="X49" s="1">
        <f>(0.0745/(0.03))*1000</f>
        <v>2483.3333333333335</v>
      </c>
      <c r="Y49" s="1">
        <f>X49*(PI()/180)</f>
        <v>43.342343091192518</v>
      </c>
      <c r="Z49" s="1"/>
      <c r="AA49" s="1"/>
      <c r="AB49" s="1"/>
    </row>
    <row r="50" spans="1:28" x14ac:dyDescent="0.35">
      <c r="A50" s="1"/>
      <c r="B50" s="6">
        <v>0.5</v>
      </c>
      <c r="C50" s="7">
        <v>80.900000000000006</v>
      </c>
      <c r="D50" s="7">
        <v>5</v>
      </c>
      <c r="E50" s="7">
        <v>5.2</v>
      </c>
      <c r="F50" s="7">
        <v>5</v>
      </c>
      <c r="G50" s="7">
        <f t="shared" ref="G50:G55" si="15">AVERAGE(D50:F50)</f>
        <v>5.0666666666666664</v>
      </c>
      <c r="H50" s="1">
        <f t="shared" ref="H50:H55" si="16">G50/((30*10^-3)*(C50*10^-3))</f>
        <v>2087.6253261914567</v>
      </c>
      <c r="I50" s="1">
        <f t="shared" ref="I50:I55" si="17">(G50*(PI()/180))/((30*10^-3)*(C50*10^-3))</f>
        <v>36.435935490061539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35">
      <c r="A51" s="1"/>
      <c r="B51" s="6">
        <v>1</v>
      </c>
      <c r="C51" s="7">
        <v>91.8</v>
      </c>
      <c r="D51" s="7">
        <v>5.8</v>
      </c>
      <c r="E51" s="7">
        <v>5.4</v>
      </c>
      <c r="F51" s="7">
        <v>5.8</v>
      </c>
      <c r="G51" s="7">
        <f t="shared" si="15"/>
        <v>5.666666666666667</v>
      </c>
      <c r="H51" s="1">
        <f t="shared" si="16"/>
        <v>2057.6131687242805</v>
      </c>
      <c r="I51" s="1">
        <f t="shared" si="17"/>
        <v>35.912124526632304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35">
      <c r="A52" s="1"/>
      <c r="B52" s="6">
        <v>1.5</v>
      </c>
      <c r="C52" s="7">
        <v>104.5</v>
      </c>
      <c r="D52" s="7">
        <v>6.2</v>
      </c>
      <c r="E52" s="7">
        <v>6.4</v>
      </c>
      <c r="F52" s="7">
        <v>6.6</v>
      </c>
      <c r="G52" s="7">
        <f t="shared" si="15"/>
        <v>6.4000000000000012</v>
      </c>
      <c r="H52" s="1">
        <f t="shared" si="16"/>
        <v>2041.4673046251999</v>
      </c>
      <c r="I52" s="1">
        <f t="shared" si="17"/>
        <v>35.630326037523801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35">
      <c r="A53" s="1"/>
      <c r="B53" s="6">
        <v>2</v>
      </c>
      <c r="C53" s="7">
        <v>114</v>
      </c>
      <c r="D53" s="7">
        <v>7.6</v>
      </c>
      <c r="E53" s="7">
        <v>7.6</v>
      </c>
      <c r="F53" s="7">
        <v>7.2</v>
      </c>
      <c r="G53" s="7">
        <f t="shared" si="15"/>
        <v>7.4666666666666659</v>
      </c>
      <c r="H53" s="1">
        <f t="shared" si="16"/>
        <v>2183.2358674463935</v>
      </c>
      <c r="I53" s="1">
        <f t="shared" si="17"/>
        <v>38.104654234574049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35">
      <c r="A54" s="1"/>
      <c r="B54" s="6">
        <v>2.5</v>
      </c>
      <c r="C54" s="7">
        <v>124</v>
      </c>
      <c r="D54" s="7">
        <v>8.1999999999999993</v>
      </c>
      <c r="E54" s="7">
        <v>8.6</v>
      </c>
      <c r="F54" s="7">
        <v>8.8000000000000007</v>
      </c>
      <c r="G54" s="7">
        <f t="shared" si="15"/>
        <v>8.5333333333333332</v>
      </c>
      <c r="H54" s="1">
        <f t="shared" si="16"/>
        <v>2293.9068100358422</v>
      </c>
      <c r="I54" s="1">
        <f t="shared" si="17"/>
        <v>40.036226569045553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35">
      <c r="A55" s="1"/>
      <c r="B55" s="6">
        <v>3</v>
      </c>
      <c r="C55" s="7">
        <v>133.1</v>
      </c>
      <c r="D55" s="7">
        <v>9</v>
      </c>
      <c r="E55" s="7">
        <v>9.1999999999999993</v>
      </c>
      <c r="F55" s="7">
        <v>9.4</v>
      </c>
      <c r="G55" s="7">
        <f t="shared" si="15"/>
        <v>9.2000000000000011</v>
      </c>
      <c r="H55" s="1">
        <f t="shared" si="16"/>
        <v>2304.0320560981722</v>
      </c>
      <c r="I55" s="1">
        <f t="shared" si="17"/>
        <v>40.212945450407801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35">
      <c r="A56" s="1"/>
      <c r="B56" s="4" t="s">
        <v>80</v>
      </c>
      <c r="C56" s="10" t="s">
        <v>11</v>
      </c>
      <c r="D56" s="10" t="s">
        <v>12</v>
      </c>
      <c r="E56" s="4" t="s">
        <v>81</v>
      </c>
      <c r="F56" s="1"/>
      <c r="G56" s="1"/>
      <c r="H56" s="1">
        <f>AVERAGE(H50:H55)</f>
        <v>2161.3134221868909</v>
      </c>
      <c r="I56" s="1">
        <f>AVERAGE(I50:I55)</f>
        <v>37.72203538470751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35">
      <c r="A57" s="1"/>
      <c r="B57" s="4">
        <v>440</v>
      </c>
      <c r="C57" s="7">
        <f>X4</f>
        <v>1946.6666666666667</v>
      </c>
      <c r="D57" s="7">
        <f>Y4</f>
        <v>33.975742772156281</v>
      </c>
      <c r="E57" s="4">
        <v>2.7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35">
      <c r="A58" s="1"/>
      <c r="B58" s="4">
        <v>505</v>
      </c>
      <c r="C58" s="7">
        <f>X19</f>
        <v>3566.666666666667</v>
      </c>
      <c r="D58" s="7">
        <f>Y19</f>
        <v>62.250076654464429</v>
      </c>
      <c r="E58" s="4">
        <v>4.5999999999999996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35">
      <c r="A59" s="1"/>
      <c r="B59" s="4">
        <v>525</v>
      </c>
      <c r="C59" s="7">
        <f>X34</f>
        <v>2960.0000000000005</v>
      </c>
      <c r="D59" s="7">
        <f>Y34</f>
        <v>51.661745859032166</v>
      </c>
      <c r="E59" s="4">
        <v>8.1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35">
      <c r="A60" s="1"/>
      <c r="B60" s="4">
        <v>580</v>
      </c>
      <c r="C60" s="7">
        <f>X49</f>
        <v>2483.3333333333335</v>
      </c>
      <c r="D60" s="7">
        <f>Y49</f>
        <v>43.342343091192518</v>
      </c>
      <c r="E60" s="4">
        <v>2.5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35">
      <c r="A61" s="1"/>
      <c r="B61" s="4">
        <v>595</v>
      </c>
      <c r="C61" s="7">
        <f>X64</f>
        <v>2270</v>
      </c>
      <c r="D61" s="7">
        <f>Y64</f>
        <v>39.618974020271281</v>
      </c>
      <c r="E61" s="4">
        <v>1.8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 t="s">
        <v>79</v>
      </c>
      <c r="W64" s="1" t="s">
        <v>50</v>
      </c>
      <c r="X64" s="1">
        <f>(0.0681/(0.03))*1000</f>
        <v>2270</v>
      </c>
      <c r="Y64" s="1">
        <f>X64*(PI()/180)</f>
        <v>39.618974020271281</v>
      </c>
      <c r="Z64" s="1"/>
      <c r="AA64" s="1"/>
      <c r="AB64" s="1"/>
    </row>
    <row r="65" spans="1:28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</sheetData>
  <mergeCells count="6">
    <mergeCell ref="D40:F40"/>
    <mergeCell ref="D49:F49"/>
    <mergeCell ref="D4:F4"/>
    <mergeCell ref="D13:F13"/>
    <mergeCell ref="D22:F22"/>
    <mergeCell ref="D31:F3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72"/>
  <sheetViews>
    <sheetView topLeftCell="A35" zoomScale="55" zoomScaleNormal="55" workbookViewId="0">
      <selection activeCell="A57" sqref="A57"/>
    </sheetView>
  </sheetViews>
  <sheetFormatPr defaultRowHeight="15.5" x14ac:dyDescent="0.35"/>
  <cols>
    <col min="2" max="2" width="16.75" bestFit="1" customWidth="1"/>
    <col min="3" max="3" width="19.5" bestFit="1" customWidth="1"/>
    <col min="4" max="5" width="15.08203125" customWidth="1"/>
    <col min="6" max="17" width="15.08203125" bestFit="1" customWidth="1"/>
    <col min="19" max="19" width="35.5" bestFit="1" customWidth="1"/>
    <col min="20" max="20" width="5.08203125" bestFit="1" customWidth="1"/>
    <col min="21" max="21" width="16.1640625" bestFit="1" customWidth="1"/>
    <col min="23" max="23" width="5.08203125" customWidth="1"/>
    <col min="24" max="24" width="2.58203125" customWidth="1"/>
    <col min="25" max="25" width="15.08203125" bestFit="1" customWidth="1"/>
    <col min="26" max="26" width="7.58203125" customWidth="1"/>
    <col min="28" max="28" width="8.6640625" customWidth="1"/>
  </cols>
  <sheetData>
    <row r="2" spans="2:26" x14ac:dyDescent="0.35">
      <c r="B2" s="2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2:26" x14ac:dyDescent="0.35">
      <c r="B3" s="14"/>
      <c r="C3" s="8" t="s">
        <v>13</v>
      </c>
      <c r="D3" s="17"/>
      <c r="E3" s="8" t="s">
        <v>14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2:26" ht="18.5" x14ac:dyDescent="0.35">
      <c r="B4" s="24" t="s">
        <v>15</v>
      </c>
      <c r="C4" s="8" t="s">
        <v>27</v>
      </c>
      <c r="D4" s="8" t="s">
        <v>29</v>
      </c>
      <c r="E4" s="30" t="s">
        <v>30</v>
      </c>
      <c r="F4" s="28" t="s">
        <v>16</v>
      </c>
      <c r="G4" s="28" t="s">
        <v>54</v>
      </c>
      <c r="H4" s="28" t="s">
        <v>55</v>
      </c>
      <c r="I4" s="28" t="s">
        <v>56</v>
      </c>
      <c r="J4" s="28" t="s">
        <v>57</v>
      </c>
      <c r="K4" s="28" t="s">
        <v>58</v>
      </c>
      <c r="L4" s="28" t="s">
        <v>59</v>
      </c>
      <c r="M4" s="32" t="s">
        <v>17</v>
      </c>
      <c r="N4" s="32" t="s">
        <v>18</v>
      </c>
      <c r="O4" s="30" t="s">
        <v>19</v>
      </c>
      <c r="P4" s="28" t="s">
        <v>60</v>
      </c>
      <c r="Q4" s="28" t="s">
        <v>61</v>
      </c>
      <c r="R4" s="14"/>
      <c r="S4" s="21" t="s">
        <v>39</v>
      </c>
      <c r="T4" s="22" t="s">
        <v>62</v>
      </c>
      <c r="U4" s="14">
        <f>J12/G12</f>
        <v>10.579136260218275</v>
      </c>
      <c r="V4" s="14"/>
      <c r="W4" s="14" t="s">
        <v>53</v>
      </c>
      <c r="X4" s="14" t="s">
        <v>50</v>
      </c>
      <c r="Y4" s="14">
        <f>(1/(30*10^-3))*(U4/(AVERAGE(C6:C11)))</f>
        <v>3263.6545612272953</v>
      </c>
      <c r="Z4" s="14" t="s">
        <v>51</v>
      </c>
    </row>
    <row r="5" spans="2:26" ht="18.5" x14ac:dyDescent="0.35">
      <c r="B5" s="24"/>
      <c r="C5" s="8" t="s">
        <v>28</v>
      </c>
      <c r="D5" s="8" t="s">
        <v>30</v>
      </c>
      <c r="E5" s="31"/>
      <c r="F5" s="29"/>
      <c r="G5" s="29"/>
      <c r="H5" s="29"/>
      <c r="I5" s="29"/>
      <c r="J5" s="29"/>
      <c r="K5" s="29"/>
      <c r="L5" s="29"/>
      <c r="M5" s="33"/>
      <c r="N5" s="33"/>
      <c r="O5" s="31"/>
      <c r="P5" s="29"/>
      <c r="Q5" s="29"/>
      <c r="R5" s="14"/>
      <c r="S5" s="22"/>
      <c r="T5" s="22"/>
      <c r="U5" s="14"/>
      <c r="V5" s="14"/>
      <c r="W5" s="14"/>
      <c r="X5" s="14" t="s">
        <v>50</v>
      </c>
      <c r="Y5" s="14">
        <f>Y4*(PI()/180)</f>
        <v>56.961517741147169</v>
      </c>
      <c r="Z5" s="14" t="s">
        <v>51</v>
      </c>
    </row>
    <row r="6" spans="2:26" x14ac:dyDescent="0.35">
      <c r="B6" s="8" t="s">
        <v>20</v>
      </c>
      <c r="C6" s="8">
        <f>Sheet1!C5*10^-3</f>
        <v>8.0900000000000014E-2</v>
      </c>
      <c r="D6" s="18">
        <f>Sheet1!G5</f>
        <v>9.3333333333333339</v>
      </c>
      <c r="E6" s="18">
        <f t="shared" ref="E6:E11" si="0">D6</f>
        <v>9.3333333333333339</v>
      </c>
      <c r="F6" s="8">
        <f>SQRT(((Sheet1!$T$7)^2)+((STDEV(Sheet1!D5:F5)/SQRT(3))^2))</f>
        <v>6.9721668877839704E-2</v>
      </c>
      <c r="G6" s="8">
        <f t="shared" ref="G6:G11" si="1">1/(F6^2)</f>
        <v>205.71428571428527</v>
      </c>
      <c r="H6" s="8">
        <f t="shared" ref="H6:H11" si="2">C6*G6</f>
        <v>16.642285714285681</v>
      </c>
      <c r="I6" s="8">
        <f t="shared" ref="I6:I11" si="3">(C6^2)*G6</f>
        <v>1.3463609142857118</v>
      </c>
      <c r="J6" s="8">
        <f t="shared" ref="J6:J11" si="4">E6*G6</f>
        <v>1919.9999999999959</v>
      </c>
      <c r="K6" s="8">
        <f t="shared" ref="K6:K11" si="5">(E6^2)*G6</f>
        <v>17919.999999999964</v>
      </c>
      <c r="L6" s="8">
        <f t="shared" ref="L6:L11" si="6">C6*E6*G6</f>
        <v>155.32799999999972</v>
      </c>
      <c r="M6" s="8"/>
      <c r="N6" s="8"/>
      <c r="O6" s="8">
        <f t="shared" ref="O6:O11" si="7">($U$6*C6)+$U$10</f>
        <v>9.5658588318248476</v>
      </c>
      <c r="P6" s="18">
        <f t="shared" ref="P6:P11" si="8">((E6-$U$4)^2)*G6</f>
        <v>319.27370042778864</v>
      </c>
      <c r="Q6" s="18">
        <f t="shared" ref="Q6:Q11" si="9">((E6-O6)^2)*G6</f>
        <v>11.122582103738091</v>
      </c>
      <c r="R6" s="14"/>
      <c r="S6" s="21" t="s">
        <v>40</v>
      </c>
      <c r="T6" s="22" t="s">
        <v>41</v>
      </c>
      <c r="U6" s="14">
        <f>N12*((G12*L12)-(H12*J12))</f>
        <v>134.37677542413815</v>
      </c>
      <c r="V6" s="14"/>
      <c r="W6" s="14"/>
      <c r="X6" s="14"/>
      <c r="Y6" s="14"/>
      <c r="Z6" s="14"/>
    </row>
    <row r="7" spans="2:26" x14ac:dyDescent="0.35">
      <c r="B7" s="8" t="s">
        <v>21</v>
      </c>
      <c r="C7" s="8">
        <f>Sheet1!C6*10^-3</f>
        <v>9.1799999999999993E-2</v>
      </c>
      <c r="D7" s="18">
        <f>Sheet1!G6</f>
        <v>11.333333333333334</v>
      </c>
      <c r="E7" s="18">
        <f t="shared" si="0"/>
        <v>11.333333333333334</v>
      </c>
      <c r="F7" s="8">
        <f>SQRT(((Sheet1!$T$7)^2)+((STDEV(Sheet1!D6:F6)/SQRT(3))^2))</f>
        <v>6.9721668877839704E-2</v>
      </c>
      <c r="G7" s="8">
        <f t="shared" si="1"/>
        <v>205.71428571428527</v>
      </c>
      <c r="H7" s="8">
        <f t="shared" si="2"/>
        <v>18.884571428571387</v>
      </c>
      <c r="I7" s="8">
        <f t="shared" si="3"/>
        <v>1.7336036571428532</v>
      </c>
      <c r="J7" s="8">
        <f t="shared" si="4"/>
        <v>2331.4285714285666</v>
      </c>
      <c r="K7" s="8">
        <f t="shared" si="5"/>
        <v>26422.857142857087</v>
      </c>
      <c r="L7" s="8">
        <f t="shared" si="6"/>
        <v>214.02514285714238</v>
      </c>
      <c r="M7" s="8"/>
      <c r="N7" s="8"/>
      <c r="O7" s="8">
        <f t="shared" si="7"/>
        <v>11.03056568394795</v>
      </c>
      <c r="P7" s="18">
        <f t="shared" si="8"/>
        <v>117.01300630532289</v>
      </c>
      <c r="Q7" s="18">
        <f t="shared" si="9"/>
        <v>18.857468471523546</v>
      </c>
      <c r="R7" s="14"/>
      <c r="S7" s="21"/>
      <c r="T7" s="22"/>
      <c r="U7" s="14"/>
      <c r="V7" s="14"/>
      <c r="W7" s="14"/>
      <c r="X7" s="14"/>
      <c r="Y7" s="14"/>
      <c r="Z7" s="14"/>
    </row>
    <row r="8" spans="2:26" ht="17.5" x14ac:dyDescent="0.35">
      <c r="B8" s="8" t="s">
        <v>22</v>
      </c>
      <c r="C8" s="8">
        <f>Sheet1!C7*10^-3</f>
        <v>0.1045</v>
      </c>
      <c r="D8" s="18">
        <f>Sheet1!G7</f>
        <v>12.799999999999999</v>
      </c>
      <c r="E8" s="18">
        <f t="shared" si="0"/>
        <v>12.799999999999999</v>
      </c>
      <c r="F8" s="8">
        <f>SQRT(((Sheet1!$T$7)^2)+((STDEV(Sheet1!D7:F7)/SQRT(3))^2))</f>
        <v>0.4168333000133268</v>
      </c>
      <c r="G8" s="8">
        <f t="shared" si="1"/>
        <v>5.7553956834532345</v>
      </c>
      <c r="H8" s="8">
        <f t="shared" si="2"/>
        <v>0.60143884892086297</v>
      </c>
      <c r="I8" s="8">
        <f t="shared" si="3"/>
        <v>6.2850359712230186E-2</v>
      </c>
      <c r="J8" s="8">
        <f t="shared" si="4"/>
        <v>73.669064748201393</v>
      </c>
      <c r="K8" s="8">
        <f t="shared" si="5"/>
        <v>942.96402877697778</v>
      </c>
      <c r="L8" s="8">
        <f t="shared" si="6"/>
        <v>7.6984172661870458</v>
      </c>
      <c r="M8" s="8"/>
      <c r="N8" s="8"/>
      <c r="O8" s="8">
        <f t="shared" si="7"/>
        <v>12.737150731834506</v>
      </c>
      <c r="P8" s="18">
        <f t="shared" si="8"/>
        <v>28.386968349221643</v>
      </c>
      <c r="Q8" s="18">
        <f t="shared" si="9"/>
        <v>2.2733988540650864E-2</v>
      </c>
      <c r="R8" s="14"/>
      <c r="S8" s="21" t="s">
        <v>42</v>
      </c>
      <c r="T8" s="22" t="s">
        <v>43</v>
      </c>
      <c r="U8" s="14">
        <f>SQRT(N12*G12)</f>
        <v>4.6226761383077708</v>
      </c>
      <c r="V8" s="14"/>
      <c r="W8" s="14"/>
      <c r="X8" s="14"/>
      <c r="Y8" s="14"/>
      <c r="Z8" s="14"/>
    </row>
    <row r="9" spans="2:26" x14ac:dyDescent="0.35">
      <c r="B9" s="15" t="s">
        <v>23</v>
      </c>
      <c r="C9" s="8">
        <f>Sheet1!C8*10^-3</f>
        <v>0.114</v>
      </c>
      <c r="D9" s="18">
        <f>Sheet1!G8</f>
        <v>13.466666666666667</v>
      </c>
      <c r="E9" s="18">
        <f t="shared" si="0"/>
        <v>13.466666666666667</v>
      </c>
      <c r="F9" s="8">
        <f>SQRT(((Sheet1!$T$7)^2)+((STDEV(Sheet1!D8:F8)/SQRT(3))^2))</f>
        <v>0.86690701795393077</v>
      </c>
      <c r="G9" s="15">
        <f t="shared" si="1"/>
        <v>1.3306228053964164</v>
      </c>
      <c r="H9" s="15">
        <f t="shared" si="2"/>
        <v>0.15169099981519149</v>
      </c>
      <c r="I9" s="15">
        <f t="shared" si="3"/>
        <v>1.7292773978931829E-2</v>
      </c>
      <c r="J9" s="15">
        <f t="shared" si="4"/>
        <v>17.919053779338409</v>
      </c>
      <c r="K9" s="15">
        <f t="shared" si="5"/>
        <v>241.30992422842391</v>
      </c>
      <c r="L9" s="15">
        <f t="shared" si="6"/>
        <v>2.0427721308445785</v>
      </c>
      <c r="M9" s="15"/>
      <c r="N9" s="15"/>
      <c r="O9" s="8">
        <f t="shared" si="7"/>
        <v>14.013730098363819</v>
      </c>
      <c r="P9" s="18">
        <f t="shared" si="8"/>
        <v>11.094509204727585</v>
      </c>
      <c r="Q9" s="18">
        <f t="shared" si="9"/>
        <v>0.39822666194084455</v>
      </c>
      <c r="R9" s="14"/>
      <c r="S9" s="21"/>
      <c r="T9" s="22"/>
      <c r="U9" s="14"/>
      <c r="V9" s="14"/>
      <c r="W9" s="14"/>
      <c r="X9" s="14"/>
      <c r="Y9" s="14"/>
      <c r="Z9" s="14"/>
    </row>
    <row r="10" spans="2:26" x14ac:dyDescent="0.35">
      <c r="B10" s="19" t="s">
        <v>24</v>
      </c>
      <c r="C10" s="8">
        <f>Sheet1!C9*10^-3</f>
        <v>0.124</v>
      </c>
      <c r="D10" s="18">
        <f>Sheet1!G9</f>
        <v>14.266666666666666</v>
      </c>
      <c r="E10" s="18">
        <f t="shared" si="0"/>
        <v>14.266666666666666</v>
      </c>
      <c r="F10" s="8">
        <f>SQRT(((Sheet1!$T$7)^2)+((STDEV(Sheet1!D9:F9)/SQRT(3))^2))</f>
        <v>0.37174513371992424</v>
      </c>
      <c r="G10" s="8">
        <f t="shared" si="1"/>
        <v>7.2361809045226186</v>
      </c>
      <c r="H10" s="8">
        <f t="shared" si="2"/>
        <v>0.89728643216080473</v>
      </c>
      <c r="I10" s="8">
        <f t="shared" si="3"/>
        <v>0.11126351758793977</v>
      </c>
      <c r="J10" s="8">
        <f t="shared" si="4"/>
        <v>103.23618090452268</v>
      </c>
      <c r="K10" s="8">
        <f t="shared" si="5"/>
        <v>1472.8361809045236</v>
      </c>
      <c r="L10" s="8">
        <f t="shared" si="6"/>
        <v>12.801286432160813</v>
      </c>
      <c r="M10" s="8"/>
      <c r="N10" s="8"/>
      <c r="O10" s="8">
        <f t="shared" si="7"/>
        <v>15.357497852605201</v>
      </c>
      <c r="P10" s="18">
        <f t="shared" si="8"/>
        <v>98.396723205091831</v>
      </c>
      <c r="Q10" s="18">
        <f t="shared" si="9"/>
        <v>8.6104233856841415</v>
      </c>
      <c r="R10" s="14"/>
      <c r="S10" s="21" t="s">
        <v>44</v>
      </c>
      <c r="T10" s="22" t="s">
        <v>45</v>
      </c>
      <c r="U10" s="14">
        <f>N12*((I12*J12)-(H12*L12))</f>
        <v>-1.3052222999879304</v>
      </c>
      <c r="V10" s="14"/>
      <c r="W10" s="14"/>
      <c r="X10" s="14"/>
      <c r="Y10" s="14"/>
      <c r="Z10" s="14"/>
    </row>
    <row r="11" spans="2:26" x14ac:dyDescent="0.35">
      <c r="B11" s="20" t="s">
        <v>52</v>
      </c>
      <c r="C11" s="8">
        <f>Sheet1!C10*10^-3</f>
        <v>0.1331</v>
      </c>
      <c r="D11" s="18">
        <f>Sheet1!G10</f>
        <v>16</v>
      </c>
      <c r="E11" s="18">
        <f t="shared" si="0"/>
        <v>16</v>
      </c>
      <c r="F11" s="8">
        <f>SQRT(((Sheet1!$T$7)^2)+((STDEV(Sheet1!D10:F10)/SQRT(3))^2))</f>
        <v>0.30618621784789724</v>
      </c>
      <c r="G11" s="8">
        <f t="shared" si="1"/>
        <v>10.666666666666668</v>
      </c>
      <c r="H11" s="8">
        <f t="shared" si="2"/>
        <v>1.4197333333333335</v>
      </c>
      <c r="I11" s="8">
        <f t="shared" si="3"/>
        <v>0.18896650666666667</v>
      </c>
      <c r="J11" s="8">
        <f t="shared" si="4"/>
        <v>170.66666666666669</v>
      </c>
      <c r="K11" s="8">
        <f t="shared" si="5"/>
        <v>2730.666666666667</v>
      </c>
      <c r="L11" s="8">
        <f t="shared" si="6"/>
        <v>22.715733333333336</v>
      </c>
      <c r="M11" s="8"/>
      <c r="N11" s="8"/>
      <c r="O11" s="8">
        <f t="shared" si="7"/>
        <v>16.580326508964855</v>
      </c>
      <c r="P11" s="18">
        <f t="shared" si="8"/>
        <v>313.4481459763233</v>
      </c>
      <c r="Q11" s="18">
        <f t="shared" si="9"/>
        <v>3.5923078080782567</v>
      </c>
      <c r="R11" s="14"/>
      <c r="S11" s="21"/>
      <c r="T11" s="22"/>
      <c r="U11" s="14"/>
      <c r="V11" s="14"/>
      <c r="W11" s="14"/>
      <c r="X11" s="14"/>
      <c r="Y11" s="14"/>
      <c r="Z11" s="14"/>
    </row>
    <row r="12" spans="2:26" ht="17.5" x14ac:dyDescent="0.35">
      <c r="B12" s="11" t="s">
        <v>25</v>
      </c>
      <c r="C12" s="8">
        <f>SUM(C6:C11)</f>
        <v>0.64829999999999999</v>
      </c>
      <c r="D12" s="8">
        <f t="shared" ref="D12:L12" si="10">SUM(D6:D11)</f>
        <v>77.2</v>
      </c>
      <c r="E12" s="8">
        <f t="shared" si="10"/>
        <v>77.2</v>
      </c>
      <c r="F12" s="8">
        <f t="shared" si="10"/>
        <v>2.1011150072907587</v>
      </c>
      <c r="G12" s="8">
        <f t="shared" si="10"/>
        <v>436.41743748860949</v>
      </c>
      <c r="H12" s="8">
        <f t="shared" si="10"/>
        <v>38.597006757087264</v>
      </c>
      <c r="I12" s="8">
        <f t="shared" si="10"/>
        <v>3.4603377293743338</v>
      </c>
      <c r="J12" s="8">
        <f t="shared" si="10"/>
        <v>4616.9195375272911</v>
      </c>
      <c r="K12" s="8">
        <f t="shared" si="10"/>
        <v>49730.633943433641</v>
      </c>
      <c r="L12" s="8">
        <f t="shared" si="10"/>
        <v>414.61135201966783</v>
      </c>
      <c r="M12" s="8">
        <f>(G12*I12)-((H12)^2)</f>
        <v>20.422794092060258</v>
      </c>
      <c r="N12" s="8">
        <f>1/M12</f>
        <v>4.8964896550994882E-2</v>
      </c>
      <c r="O12" s="8">
        <f>SUM(O6:O11)</f>
        <v>79.285129707541174</v>
      </c>
      <c r="P12" s="8">
        <f>SUM(P6:P11)</f>
        <v>887.61305346847587</v>
      </c>
      <c r="Q12" s="8">
        <f>SUM(Q6:Q11)</f>
        <v>42.603742419505537</v>
      </c>
      <c r="R12" s="14"/>
      <c r="S12" s="21" t="s">
        <v>46</v>
      </c>
      <c r="T12" s="22" t="s">
        <v>47</v>
      </c>
      <c r="U12" s="14">
        <f>SQRT(N12*I12)</f>
        <v>0.41162492508389087</v>
      </c>
      <c r="V12" s="14"/>
      <c r="W12" s="14"/>
      <c r="X12" s="14"/>
      <c r="Y12" s="14"/>
      <c r="Z12" s="14"/>
    </row>
    <row r="13" spans="2:26" x14ac:dyDescent="0.35">
      <c r="B13" s="14" t="s">
        <v>26</v>
      </c>
      <c r="C13" s="14">
        <f>COUNT(C6:C11)</f>
        <v>6</v>
      </c>
      <c r="D13" s="14"/>
      <c r="E13" s="14"/>
      <c r="F13" s="14"/>
      <c r="G13" s="14"/>
      <c r="H13" s="14"/>
      <c r="I13" s="14"/>
      <c r="J13" s="14"/>
      <c r="K13" s="17"/>
      <c r="L13" s="17"/>
      <c r="M13" s="17"/>
      <c r="N13" s="17"/>
      <c r="O13" s="17"/>
      <c r="P13" s="17"/>
      <c r="Q13" s="17"/>
      <c r="R13" s="14"/>
      <c r="S13" s="21"/>
      <c r="T13" s="22"/>
      <c r="U13" s="14"/>
      <c r="V13" s="14"/>
      <c r="W13" s="14"/>
      <c r="X13" s="14"/>
      <c r="Y13" s="14"/>
      <c r="Z13" s="14"/>
    </row>
    <row r="14" spans="2:26" ht="18.5" x14ac:dyDescent="0.3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21" t="s">
        <v>48</v>
      </c>
      <c r="T14" s="22" t="s">
        <v>49</v>
      </c>
      <c r="U14" s="14">
        <f>1-ABS(Q12/P12)</f>
        <v>0.95200189738870411</v>
      </c>
      <c r="V14" s="14"/>
      <c r="W14" s="14"/>
      <c r="X14" s="14"/>
      <c r="Y14" s="14"/>
      <c r="Z14" s="14"/>
    </row>
    <row r="15" spans="2:26" x14ac:dyDescent="0.3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2:26" x14ac:dyDescent="0.35">
      <c r="B16" s="2" t="s">
        <v>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2:26" ht="18.5" x14ac:dyDescent="0.35">
      <c r="B17" s="14"/>
      <c r="C17" s="8" t="s">
        <v>13</v>
      </c>
      <c r="D17" s="17"/>
      <c r="E17" s="8" t="s">
        <v>14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21" t="s">
        <v>39</v>
      </c>
      <c r="T17" s="22" t="s">
        <v>62</v>
      </c>
      <c r="U17" s="14">
        <f>J26/G26</f>
        <v>14.685713851425531</v>
      </c>
      <c r="V17" s="14"/>
      <c r="W17" s="14" t="s">
        <v>53</v>
      </c>
      <c r="X17" s="14" t="s">
        <v>50</v>
      </c>
      <c r="Y17" s="14">
        <f>(1/(30*10^-3))*(U17/(AVERAGE(C19:C24)))</f>
        <v>4750.8132283338291</v>
      </c>
      <c r="Z17" s="14" t="s">
        <v>51</v>
      </c>
    </row>
    <row r="18" spans="2:26" ht="18.5" customHeight="1" x14ac:dyDescent="0.35">
      <c r="B18" s="8" t="s">
        <v>15</v>
      </c>
      <c r="C18" s="8" t="s">
        <v>27</v>
      </c>
      <c r="D18" s="8" t="s">
        <v>29</v>
      </c>
      <c r="E18" s="30" t="s">
        <v>30</v>
      </c>
      <c r="F18" s="28" t="s">
        <v>16</v>
      </c>
      <c r="G18" s="28" t="s">
        <v>54</v>
      </c>
      <c r="H18" s="28" t="s">
        <v>55</v>
      </c>
      <c r="I18" s="28" t="s">
        <v>56</v>
      </c>
      <c r="J18" s="28" t="s">
        <v>57</v>
      </c>
      <c r="K18" s="28" t="s">
        <v>58</v>
      </c>
      <c r="L18" s="28" t="s">
        <v>59</v>
      </c>
      <c r="M18" s="32" t="s">
        <v>17</v>
      </c>
      <c r="N18" s="32" t="s">
        <v>18</v>
      </c>
      <c r="O18" s="30" t="s">
        <v>19</v>
      </c>
      <c r="P18" s="28" t="s">
        <v>60</v>
      </c>
      <c r="Q18" s="28" t="s">
        <v>61</v>
      </c>
      <c r="R18" s="14"/>
      <c r="S18" s="22"/>
      <c r="T18" s="22"/>
      <c r="U18" s="14"/>
      <c r="V18" s="14"/>
      <c r="W18" s="14"/>
      <c r="X18" s="14" t="s">
        <v>50</v>
      </c>
      <c r="Y18" s="14">
        <f>Y17*(PI()/180)</f>
        <v>82.917332981726474</v>
      </c>
      <c r="Z18" s="14" t="s">
        <v>51</v>
      </c>
    </row>
    <row r="19" spans="2:26" ht="17" customHeight="1" x14ac:dyDescent="0.35">
      <c r="B19" s="8"/>
      <c r="C19" s="8" t="s">
        <v>28</v>
      </c>
      <c r="D19" s="8" t="s">
        <v>30</v>
      </c>
      <c r="E19" s="31"/>
      <c r="F19" s="29"/>
      <c r="G19" s="29"/>
      <c r="H19" s="29"/>
      <c r="I19" s="29"/>
      <c r="J19" s="29"/>
      <c r="K19" s="29"/>
      <c r="L19" s="29"/>
      <c r="M19" s="33"/>
      <c r="N19" s="33"/>
      <c r="O19" s="31"/>
      <c r="P19" s="29"/>
      <c r="Q19" s="29"/>
      <c r="R19" s="14"/>
      <c r="S19" s="21" t="s">
        <v>40</v>
      </c>
      <c r="T19" s="22" t="s">
        <v>41</v>
      </c>
      <c r="U19" s="14">
        <f>N26*((G26*L26)-(H26*J26))</f>
        <v>221.5306020003174</v>
      </c>
      <c r="V19" s="14"/>
      <c r="W19" s="14"/>
      <c r="X19" s="14"/>
      <c r="Y19" s="14"/>
      <c r="Z19" s="14"/>
    </row>
    <row r="20" spans="2:26" x14ac:dyDescent="0.35">
      <c r="B20" s="8" t="s">
        <v>20</v>
      </c>
      <c r="C20" s="8">
        <f>Sheet1!$C$5*10^-3</f>
        <v>8.0900000000000014E-2</v>
      </c>
      <c r="D20" s="18">
        <f>Sheet1!G14</f>
        <v>10.133333333333335</v>
      </c>
      <c r="E20" s="18">
        <f t="shared" ref="E20:E25" si="11">D20</f>
        <v>10.133333333333335</v>
      </c>
      <c r="F20" s="8">
        <f>SQRT(((Sheet1!$T$7)^2)+((STDEV(Sheet1!D14:F14)/SQRT(3))^2))</f>
        <v>0.24123524710216901</v>
      </c>
      <c r="G20" s="8">
        <f t="shared" ref="G20:G25" si="12">1/(F20^2)</f>
        <v>17.183770883054866</v>
      </c>
      <c r="H20" s="8">
        <f t="shared" ref="H20:H25" si="13">C20*G20</f>
        <v>1.3901670644391388</v>
      </c>
      <c r="I20" s="8">
        <f t="shared" ref="I20:I25" si="14">(C20^2)*G20</f>
        <v>0.11246451551312636</v>
      </c>
      <c r="J20" s="8">
        <f t="shared" ref="J20:J25" si="15">E20*G20</f>
        <v>174.12887828162266</v>
      </c>
      <c r="K20" s="8">
        <f t="shared" ref="K20:K25" si="16">(E20^2)*G20</f>
        <v>1764.5059665871097</v>
      </c>
      <c r="L20" s="8">
        <f t="shared" ref="L20:L25" si="17">C20*E20*G20</f>
        <v>14.087026252983275</v>
      </c>
      <c r="M20" s="8"/>
      <c r="N20" s="8"/>
      <c r="O20" s="8">
        <f t="shared" ref="O20:O25" si="18">($U$19*C20)+$U$23</f>
        <v>10.183613067219444</v>
      </c>
      <c r="P20" s="18">
        <f t="shared" ref="P20:P25" si="19">((E20-$U$17)^2)*G20</f>
        <v>356.11936120963827</v>
      </c>
      <c r="Q20" s="18">
        <f t="shared" ref="Q20:Q25" si="20">((E20-O20)^2)*G20</f>
        <v>4.3441460156413106E-2</v>
      </c>
      <c r="R20" s="14"/>
      <c r="S20" s="21"/>
      <c r="T20" s="22"/>
      <c r="U20" s="14"/>
      <c r="V20" s="14"/>
      <c r="W20" s="14"/>
      <c r="X20" s="14"/>
      <c r="Y20" s="14"/>
      <c r="Z20" s="14"/>
    </row>
    <row r="21" spans="2:26" ht="17.5" x14ac:dyDescent="0.35">
      <c r="B21" s="8" t="s">
        <v>21</v>
      </c>
      <c r="C21" s="8">
        <f>Sheet1!$C$6*10^-3</f>
        <v>9.1799999999999993E-2</v>
      </c>
      <c r="D21" s="18">
        <f>Sheet1!G15</f>
        <v>12.666666666666666</v>
      </c>
      <c r="E21" s="18">
        <f t="shared" si="11"/>
        <v>12.666666666666666</v>
      </c>
      <c r="F21" s="8">
        <f>SQRT(((Sheet1!$T$7)^2)+((STDEV(Sheet1!D15:F15)/SQRT(3))^2))</f>
        <v>0.24123524710216876</v>
      </c>
      <c r="G21" s="8">
        <f t="shared" si="12"/>
        <v>17.183770883054898</v>
      </c>
      <c r="H21" s="8">
        <f t="shared" si="13"/>
        <v>1.5774701670644395</v>
      </c>
      <c r="I21" s="8">
        <f t="shared" si="14"/>
        <v>0.14481176133651555</v>
      </c>
      <c r="J21" s="8">
        <f t="shared" si="15"/>
        <v>217.66109785202869</v>
      </c>
      <c r="K21" s="8">
        <f t="shared" si="16"/>
        <v>2757.0405727923635</v>
      </c>
      <c r="L21" s="8">
        <f t="shared" si="17"/>
        <v>19.981288782816232</v>
      </c>
      <c r="M21" s="8"/>
      <c r="N21" s="8"/>
      <c r="O21" s="8">
        <f t="shared" si="18"/>
        <v>12.598296629022897</v>
      </c>
      <c r="P21" s="18">
        <f t="shared" si="19"/>
        <v>70.050527558079793</v>
      </c>
      <c r="Q21" s="18">
        <f t="shared" si="20"/>
        <v>8.0324884824235401E-2</v>
      </c>
      <c r="R21" s="14"/>
      <c r="S21" s="21" t="s">
        <v>42</v>
      </c>
      <c r="T21" s="22" t="s">
        <v>43</v>
      </c>
      <c r="U21" s="14">
        <f>SQRT(N26*G26)</f>
        <v>7.8879090803717231</v>
      </c>
      <c r="V21" s="14"/>
      <c r="W21" s="14"/>
      <c r="X21" s="14"/>
      <c r="Y21" s="14"/>
      <c r="Z21" s="14"/>
    </row>
    <row r="22" spans="2:26" x14ac:dyDescent="0.35">
      <c r="B22" s="8" t="s">
        <v>22</v>
      </c>
      <c r="C22" s="8">
        <f>Sheet1!$C$7*10^-3</f>
        <v>0.1045</v>
      </c>
      <c r="D22" s="18">
        <f>Sheet1!G16</f>
        <v>15.333333333333334</v>
      </c>
      <c r="E22" s="18">
        <f t="shared" si="11"/>
        <v>15.333333333333334</v>
      </c>
      <c r="F22" s="8">
        <f>SQRT(((Sheet1!$T$7)^2)+((STDEV(Sheet1!D16:F16)/SQRT(3))^2))</f>
        <v>0.13488678380198854</v>
      </c>
      <c r="G22" s="8">
        <f t="shared" si="12"/>
        <v>54.96183206106884</v>
      </c>
      <c r="H22" s="8">
        <f t="shared" si="13"/>
        <v>5.7435114503816935</v>
      </c>
      <c r="I22" s="8">
        <f t="shared" si="14"/>
        <v>0.60019694656488698</v>
      </c>
      <c r="J22" s="8">
        <f t="shared" si="15"/>
        <v>842.74809160305563</v>
      </c>
      <c r="K22" s="8">
        <f t="shared" si="16"/>
        <v>12922.137404580188</v>
      </c>
      <c r="L22" s="8">
        <f t="shared" si="17"/>
        <v>88.067175572519304</v>
      </c>
      <c r="M22" s="8"/>
      <c r="N22" s="8"/>
      <c r="O22" s="8">
        <f t="shared" si="18"/>
        <v>15.411735274426928</v>
      </c>
      <c r="P22" s="18">
        <f t="shared" si="19"/>
        <v>23.051596580878119</v>
      </c>
      <c r="Q22" s="18">
        <f t="shared" si="20"/>
        <v>0.33784292705459612</v>
      </c>
      <c r="R22" s="14"/>
      <c r="S22" s="21"/>
      <c r="T22" s="22"/>
      <c r="U22" s="14"/>
      <c r="V22" s="14"/>
      <c r="W22" s="14"/>
      <c r="X22" s="14"/>
      <c r="Y22" s="14"/>
      <c r="Z22" s="14"/>
    </row>
    <row r="23" spans="2:26" x14ac:dyDescent="0.35">
      <c r="B23" s="15" t="s">
        <v>23</v>
      </c>
      <c r="C23" s="8">
        <f>Sheet1!$C$8*10^-3</f>
        <v>0.114</v>
      </c>
      <c r="D23" s="18">
        <f>Sheet1!G17</f>
        <v>18.133333333333336</v>
      </c>
      <c r="E23" s="18">
        <f t="shared" si="11"/>
        <v>18.133333333333336</v>
      </c>
      <c r="F23" s="8">
        <f>SQRT(((Sheet1!$T$7)^2)+((STDEV(Sheet1!D17:F17)/SQRT(3))^2))</f>
        <v>0.29130930488247558</v>
      </c>
      <c r="G23" s="15">
        <f t="shared" si="12"/>
        <v>11.783960720130933</v>
      </c>
      <c r="H23" s="15">
        <f t="shared" si="13"/>
        <v>1.3433715220949265</v>
      </c>
      <c r="I23" s="15">
        <f t="shared" si="14"/>
        <v>0.15314435351882161</v>
      </c>
      <c r="J23" s="15">
        <f t="shared" si="15"/>
        <v>213.68248772504094</v>
      </c>
      <c r="K23" s="15">
        <f t="shared" si="16"/>
        <v>3874.7757774140769</v>
      </c>
      <c r="L23" s="15">
        <f t="shared" si="17"/>
        <v>24.359803600654672</v>
      </c>
      <c r="M23" s="15"/>
      <c r="N23" s="15"/>
      <c r="O23" s="8">
        <f t="shared" si="18"/>
        <v>17.516275993429947</v>
      </c>
      <c r="P23" s="18">
        <f t="shared" si="19"/>
        <v>140.0651009208147</v>
      </c>
      <c r="Q23" s="18">
        <f t="shared" si="20"/>
        <v>4.4868580642328357</v>
      </c>
      <c r="R23" s="14"/>
      <c r="S23" s="21" t="s">
        <v>44</v>
      </c>
      <c r="T23" s="22" t="s">
        <v>45</v>
      </c>
      <c r="U23" s="14">
        <f>N26*((I26*J26)-(H26*L26))</f>
        <v>-7.7382126346062385</v>
      </c>
      <c r="V23" s="14"/>
      <c r="W23" s="14"/>
      <c r="X23" s="14"/>
      <c r="Y23" s="14"/>
      <c r="Z23" s="14"/>
    </row>
    <row r="24" spans="2:26" x14ac:dyDescent="0.35">
      <c r="B24" s="19" t="s">
        <v>24</v>
      </c>
      <c r="C24" s="8">
        <f>Sheet1!$C$9*10^-3</f>
        <v>0.124</v>
      </c>
      <c r="D24" s="18">
        <f>Sheet1!G18</f>
        <v>19.2</v>
      </c>
      <c r="E24" s="18">
        <f t="shared" si="11"/>
        <v>19.2</v>
      </c>
      <c r="F24" s="8">
        <f>SQRT(((Sheet1!$T$7)^2)+((STDEV(Sheet1!D18:F18)/SQRT(3))^2))</f>
        <v>0.50373604199024713</v>
      </c>
      <c r="G24" s="8">
        <f t="shared" si="12"/>
        <v>3.9408866995073888</v>
      </c>
      <c r="H24" s="8">
        <f t="shared" si="13"/>
        <v>0.48866995073891623</v>
      </c>
      <c r="I24" s="8">
        <f t="shared" si="14"/>
        <v>6.0595073891625606E-2</v>
      </c>
      <c r="J24" s="8">
        <f t="shared" si="15"/>
        <v>75.665024630541865</v>
      </c>
      <c r="K24" s="8">
        <f t="shared" si="16"/>
        <v>1452.7684729064038</v>
      </c>
      <c r="L24" s="8">
        <f t="shared" si="17"/>
        <v>9.3824630541871912</v>
      </c>
      <c r="M24" s="8"/>
      <c r="N24" s="8"/>
      <c r="O24" s="8">
        <f t="shared" si="18"/>
        <v>19.731582013433119</v>
      </c>
      <c r="P24" s="18">
        <f t="shared" si="19"/>
        <v>80.310460812655407</v>
      </c>
      <c r="Q24" s="18">
        <f t="shared" si="20"/>
        <v>1.1136135448496924</v>
      </c>
      <c r="R24" s="14"/>
      <c r="S24" s="21"/>
      <c r="T24" s="22"/>
      <c r="U24" s="14"/>
      <c r="V24" s="14"/>
      <c r="W24" s="14"/>
      <c r="X24" s="14"/>
      <c r="Y24" s="14"/>
      <c r="Z24" s="14"/>
    </row>
    <row r="25" spans="2:26" ht="17.5" x14ac:dyDescent="0.35">
      <c r="B25" s="19" t="s">
        <v>52</v>
      </c>
      <c r="C25" s="8">
        <f>Sheet1!$C$10*10^-3</f>
        <v>0.1331</v>
      </c>
      <c r="D25" s="18">
        <f>Sheet1!G19</f>
        <v>21.333333333333332</v>
      </c>
      <c r="E25" s="18">
        <f t="shared" si="11"/>
        <v>21.333333333333332</v>
      </c>
      <c r="F25" s="8">
        <f>SQRT(((Sheet1!$T$7)^2)+((STDEV(Sheet1!D19:F19)/SQRT(3))^2))</f>
        <v>0.59289778020985873</v>
      </c>
      <c r="G25" s="8">
        <f t="shared" si="12"/>
        <v>2.8447254049782682</v>
      </c>
      <c r="H25" s="8">
        <f t="shared" si="13"/>
        <v>0.3786329514026075</v>
      </c>
      <c r="I25" s="8">
        <f t="shared" si="14"/>
        <v>5.039604583168706E-2</v>
      </c>
      <c r="J25" s="8">
        <f t="shared" si="15"/>
        <v>60.687475306203055</v>
      </c>
      <c r="K25" s="8">
        <f t="shared" si="16"/>
        <v>1294.6661398656652</v>
      </c>
      <c r="L25" s="8">
        <f t="shared" si="17"/>
        <v>8.0775029632556272</v>
      </c>
      <c r="M25" s="8"/>
      <c r="N25" s="8"/>
      <c r="O25" s="8">
        <f t="shared" si="18"/>
        <v>21.747510491636007</v>
      </c>
      <c r="P25" s="18">
        <f t="shared" si="19"/>
        <v>125.71081880242154</v>
      </c>
      <c r="Q25" s="18">
        <f t="shared" si="20"/>
        <v>0.4879919292412826</v>
      </c>
      <c r="R25" s="14"/>
      <c r="S25" s="21" t="s">
        <v>46</v>
      </c>
      <c r="T25" s="22" t="s">
        <v>47</v>
      </c>
      <c r="U25" s="14">
        <f>SQRT(N26*I26)</f>
        <v>0.80421834882516874</v>
      </c>
      <c r="V25" s="14"/>
      <c r="W25" s="14"/>
      <c r="X25" s="14"/>
      <c r="Y25" s="14"/>
      <c r="Z25" s="14"/>
    </row>
    <row r="26" spans="2:26" x14ac:dyDescent="0.35">
      <c r="B26" s="11" t="s">
        <v>25</v>
      </c>
      <c r="C26" s="8">
        <f>SUM(C20:C25)</f>
        <v>0.64829999999999999</v>
      </c>
      <c r="D26" s="8">
        <f t="shared" ref="D26:L26" si="21">SUM(D20:D25)</f>
        <v>96.8</v>
      </c>
      <c r="E26" s="8">
        <f t="shared" si="21"/>
        <v>96.8</v>
      </c>
      <c r="F26" s="8">
        <f t="shared" si="21"/>
        <v>2.0053004050889078</v>
      </c>
      <c r="G26" s="8">
        <f t="shared" si="21"/>
        <v>107.8989466517952</v>
      </c>
      <c r="H26" s="8">
        <f t="shared" si="21"/>
        <v>10.921823106121723</v>
      </c>
      <c r="I26" s="8">
        <f t="shared" si="21"/>
        <v>1.1216086966566632</v>
      </c>
      <c r="J26" s="8">
        <f t="shared" si="21"/>
        <v>1584.5730553984931</v>
      </c>
      <c r="K26" s="8">
        <f t="shared" si="21"/>
        <v>24065.894334145803</v>
      </c>
      <c r="L26" s="8">
        <f t="shared" si="21"/>
        <v>163.95526022641627</v>
      </c>
      <c r="M26" s="8">
        <f>(G26*I26)-((H26)^2)</f>
        <v>1.7341769633324873</v>
      </c>
      <c r="N26" s="8">
        <f>1/M26</f>
        <v>0.57664241951314266</v>
      </c>
      <c r="O26" s="8">
        <f>SUM(O20:O25)</f>
        <v>97.189013469168344</v>
      </c>
      <c r="P26" s="8">
        <f>SUM(P20:P25)</f>
        <v>795.3078658844878</v>
      </c>
      <c r="Q26" s="8">
        <f>SUM(Q20:Q25)</f>
        <v>6.5500728103590546</v>
      </c>
      <c r="R26" s="14"/>
      <c r="S26" s="21"/>
      <c r="T26" s="22"/>
      <c r="U26" s="14"/>
      <c r="V26" s="14"/>
      <c r="W26" s="14"/>
      <c r="X26" s="14"/>
      <c r="Y26" s="14"/>
      <c r="Z26" s="14"/>
    </row>
    <row r="27" spans="2:26" ht="18.5" x14ac:dyDescent="0.35">
      <c r="B27" s="14" t="s">
        <v>26</v>
      </c>
      <c r="C27" s="14">
        <f>COUNT(C20:C25)</f>
        <v>6</v>
      </c>
      <c r="D27" s="14"/>
      <c r="E27" s="14"/>
      <c r="F27" s="14"/>
      <c r="G27" s="14"/>
      <c r="H27" s="14"/>
      <c r="I27" s="14"/>
      <c r="J27" s="14"/>
      <c r="K27" s="17"/>
      <c r="L27" s="17"/>
      <c r="M27" s="17"/>
      <c r="N27" s="17"/>
      <c r="O27" s="17"/>
      <c r="P27" s="17"/>
      <c r="Q27" s="17"/>
      <c r="R27" s="14"/>
      <c r="S27" s="21" t="s">
        <v>48</v>
      </c>
      <c r="T27" s="22" t="s">
        <v>49</v>
      </c>
      <c r="U27" s="14">
        <f>1-ABS(Q26/P26)</f>
        <v>0.99176410407675963</v>
      </c>
      <c r="V27" s="14"/>
      <c r="W27" s="14"/>
      <c r="X27" s="14"/>
      <c r="Y27" s="14"/>
      <c r="Z27" s="14"/>
    </row>
    <row r="28" spans="2:26" x14ac:dyDescent="0.3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2:26" x14ac:dyDescent="0.35">
      <c r="B29" s="2" t="s">
        <v>7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2:26" ht="18.5" x14ac:dyDescent="0.35">
      <c r="B30" s="14"/>
      <c r="C30" s="8" t="s">
        <v>13</v>
      </c>
      <c r="D30" s="17"/>
      <c r="E30" s="8" t="s">
        <v>14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21" t="s">
        <v>39</v>
      </c>
      <c r="T30" s="22" t="s">
        <v>62</v>
      </c>
      <c r="U30" s="14">
        <f>J39/G39</f>
        <v>16.740646430650539</v>
      </c>
      <c r="V30" s="14"/>
      <c r="W30" s="14" t="s">
        <v>53</v>
      </c>
      <c r="X30" s="14" t="s">
        <v>50</v>
      </c>
      <c r="Y30" s="14">
        <f>(1/(30*10^-3))*(U30/(AVERAGE(C32:C37)))</f>
        <v>5415.5817904537207</v>
      </c>
      <c r="Z30" s="14" t="s">
        <v>51</v>
      </c>
    </row>
    <row r="31" spans="2:26" ht="18.5" customHeight="1" x14ac:dyDescent="0.35">
      <c r="B31" s="8" t="s">
        <v>15</v>
      </c>
      <c r="C31" s="8" t="s">
        <v>27</v>
      </c>
      <c r="D31" s="8" t="s">
        <v>29</v>
      </c>
      <c r="E31" s="15" t="s">
        <v>30</v>
      </c>
      <c r="F31" s="28" t="s">
        <v>16</v>
      </c>
      <c r="G31" s="28" t="s">
        <v>54</v>
      </c>
      <c r="H31" s="28" t="s">
        <v>55</v>
      </c>
      <c r="I31" s="28" t="s">
        <v>56</v>
      </c>
      <c r="J31" s="28" t="s">
        <v>57</v>
      </c>
      <c r="K31" s="28" t="s">
        <v>58</v>
      </c>
      <c r="L31" s="28" t="s">
        <v>59</v>
      </c>
      <c r="M31" s="32" t="s">
        <v>17</v>
      </c>
      <c r="N31" s="32" t="s">
        <v>18</v>
      </c>
      <c r="O31" s="30" t="s">
        <v>19</v>
      </c>
      <c r="P31" s="28" t="s">
        <v>60</v>
      </c>
      <c r="Q31" s="28" t="s">
        <v>61</v>
      </c>
      <c r="R31" s="14"/>
      <c r="S31" s="22"/>
      <c r="T31" s="22"/>
      <c r="U31" s="14"/>
      <c r="V31" s="14"/>
      <c r="W31" s="14"/>
      <c r="X31" s="14" t="s">
        <v>50</v>
      </c>
      <c r="Y31" s="14">
        <f>Y30*(PI()/180)</f>
        <v>94.519733154467048</v>
      </c>
      <c r="Z31" s="14" t="s">
        <v>51</v>
      </c>
    </row>
    <row r="32" spans="2:26" ht="15.5" customHeight="1" x14ac:dyDescent="0.35">
      <c r="B32" s="8"/>
      <c r="C32" s="8" t="s">
        <v>28</v>
      </c>
      <c r="D32" s="8" t="s">
        <v>30</v>
      </c>
      <c r="E32" s="16"/>
      <c r="F32" s="29"/>
      <c r="G32" s="29"/>
      <c r="H32" s="29"/>
      <c r="I32" s="29"/>
      <c r="J32" s="29"/>
      <c r="K32" s="29"/>
      <c r="L32" s="29"/>
      <c r="M32" s="33"/>
      <c r="N32" s="33"/>
      <c r="O32" s="31"/>
      <c r="P32" s="29"/>
      <c r="Q32" s="29"/>
      <c r="R32" s="14"/>
      <c r="S32" s="21" t="s">
        <v>40</v>
      </c>
      <c r="T32" s="22" t="s">
        <v>41</v>
      </c>
      <c r="U32" s="14">
        <f>N39*((G39*L39)-(H39*J39))</f>
        <v>176.49602085812214</v>
      </c>
      <c r="V32" s="14"/>
      <c r="W32" s="14"/>
      <c r="X32" s="14"/>
      <c r="Y32" s="14"/>
      <c r="Z32" s="14"/>
    </row>
    <row r="33" spans="2:26" x14ac:dyDescent="0.35">
      <c r="B33" s="8" t="s">
        <v>20</v>
      </c>
      <c r="C33" s="8">
        <f>Sheet1!$C$5*10^-3</f>
        <v>8.0900000000000014E-2</v>
      </c>
      <c r="D33" s="18">
        <f>Sheet1!G23</f>
        <v>12.799999999999999</v>
      </c>
      <c r="E33" s="18">
        <f t="shared" ref="E33:E38" si="22">D33</f>
        <v>12.799999999999999</v>
      </c>
      <c r="F33" s="8">
        <f>SQRT(((Sheet1!$T$7)^2)+((STDEV(Sheet1!D23:F23)/SQRT(3))^2))</f>
        <v>0.60034712181093075</v>
      </c>
      <c r="G33" s="8">
        <f t="shared" ref="G33:G38" si="23">1/(F33^2)</f>
        <v>2.7745664739884246</v>
      </c>
      <c r="H33" s="8">
        <f t="shared" ref="H33:H38" si="24">C33*G33</f>
        <v>0.22446242774566358</v>
      </c>
      <c r="I33" s="8">
        <f t="shared" ref="I33:I38" si="25">(C33^2)*G33</f>
        <v>1.8159010404624188E-2</v>
      </c>
      <c r="J33" s="8">
        <f t="shared" ref="J33:J38" si="26">E33*G33</f>
        <v>35.514450867051835</v>
      </c>
      <c r="K33" s="8">
        <f t="shared" ref="K33:K38" si="27">(E33^2)*G33</f>
        <v>454.5849710982634</v>
      </c>
      <c r="L33" s="8">
        <f t="shared" ref="L33:L38" si="28">C33*E33*G33</f>
        <v>2.8731190751444933</v>
      </c>
      <c r="M33" s="8"/>
      <c r="N33" s="8"/>
      <c r="O33" s="8">
        <f t="shared" ref="O33:O38" si="29">($U$32*C33)+$U$36</f>
        <v>12.08964177470499</v>
      </c>
      <c r="P33" s="18">
        <f t="shared" ref="P33:P38" si="30">((E33-$U$30)^2)*G33</f>
        <v>43.085394565730667</v>
      </c>
      <c r="Q33" s="18">
        <f t="shared" ref="Q33:Q38" si="31">((E33-O33)^2)*G33</f>
        <v>1.4000706818338173</v>
      </c>
      <c r="R33" s="14"/>
      <c r="S33" s="21"/>
      <c r="T33" s="22"/>
      <c r="U33" s="14"/>
      <c r="V33" s="14"/>
      <c r="W33" s="14"/>
      <c r="X33" s="14"/>
      <c r="Y33" s="14"/>
      <c r="Z33" s="14"/>
    </row>
    <row r="34" spans="2:26" ht="17.5" x14ac:dyDescent="0.35">
      <c r="B34" s="8" t="s">
        <v>21</v>
      </c>
      <c r="C34" s="8">
        <f>Sheet1!$C$6*10^-3</f>
        <v>9.1799999999999993E-2</v>
      </c>
      <c r="D34" s="18">
        <f>Sheet1!G24</f>
        <v>14.666666666666666</v>
      </c>
      <c r="E34" s="18">
        <f t="shared" si="22"/>
        <v>14.666666666666666</v>
      </c>
      <c r="F34" s="8">
        <f>SQRT(((Sheet1!$T$7)^2)+((STDEV(Sheet1!D24:F24)/SQRT(3))^2))</f>
        <v>0.63628697229403719</v>
      </c>
      <c r="G34" s="8">
        <f t="shared" si="23"/>
        <v>2.4699828473413272</v>
      </c>
      <c r="H34" s="8">
        <f t="shared" si="24"/>
        <v>0.22674442538593381</v>
      </c>
      <c r="I34" s="8">
        <f t="shared" si="25"/>
        <v>2.0815138250428723E-2</v>
      </c>
      <c r="J34" s="8">
        <f t="shared" si="26"/>
        <v>36.226415094339465</v>
      </c>
      <c r="K34" s="8">
        <f t="shared" si="27"/>
        <v>531.32075471697874</v>
      </c>
      <c r="L34" s="8">
        <f t="shared" si="28"/>
        <v>3.3255849056603624</v>
      </c>
      <c r="M34" s="8"/>
      <c r="N34" s="8"/>
      <c r="O34" s="8">
        <f t="shared" si="29"/>
        <v>14.013448402058517</v>
      </c>
      <c r="P34" s="18">
        <f t="shared" si="30"/>
        <v>10.62436461138422</v>
      </c>
      <c r="Q34" s="18">
        <f t="shared" si="31"/>
        <v>1.0539271110693995</v>
      </c>
      <c r="R34" s="14"/>
      <c r="S34" s="21" t="s">
        <v>42</v>
      </c>
      <c r="T34" s="22" t="s">
        <v>43</v>
      </c>
      <c r="U34" s="14">
        <f>SQRT(N39*G39)</f>
        <v>13.904238059248154</v>
      </c>
      <c r="V34" s="14"/>
      <c r="W34" s="14"/>
      <c r="X34" s="14"/>
      <c r="Y34" s="14"/>
      <c r="Z34" s="14"/>
    </row>
    <row r="35" spans="2:26" x14ac:dyDescent="0.35">
      <c r="B35" s="8" t="s">
        <v>22</v>
      </c>
      <c r="C35" s="8">
        <f>Sheet1!$C$7*10^-3</f>
        <v>0.1045</v>
      </c>
      <c r="D35" s="18">
        <f>Sheet1!G25</f>
        <v>15.733333333333334</v>
      </c>
      <c r="E35" s="18">
        <f t="shared" si="22"/>
        <v>15.733333333333334</v>
      </c>
      <c r="F35" s="8">
        <f>SQRT(((Sheet1!$T$7)^2)+((STDEV(Sheet1!D25:F25)/SQRT(3))^2))</f>
        <v>0.37174513371992424</v>
      </c>
      <c r="G35" s="8">
        <f t="shared" si="23"/>
        <v>7.2361809045226186</v>
      </c>
      <c r="H35" s="8">
        <f t="shared" si="24"/>
        <v>0.75618090452261366</v>
      </c>
      <c r="I35" s="8">
        <f t="shared" si="25"/>
        <v>7.9020904522613122E-2</v>
      </c>
      <c r="J35" s="8">
        <f t="shared" si="26"/>
        <v>113.84924623115587</v>
      </c>
      <c r="K35" s="8">
        <f t="shared" si="27"/>
        <v>1791.2281407035193</v>
      </c>
      <c r="L35" s="8">
        <f t="shared" si="28"/>
        <v>11.897246231155789</v>
      </c>
      <c r="M35" s="8"/>
      <c r="N35" s="8"/>
      <c r="O35" s="8">
        <f t="shared" si="29"/>
        <v>16.25494786695667</v>
      </c>
      <c r="P35" s="18">
        <f t="shared" si="30"/>
        <v>7.3424056958721877</v>
      </c>
      <c r="Q35" s="18">
        <f t="shared" si="31"/>
        <v>1.9688325589417555</v>
      </c>
      <c r="R35" s="14"/>
      <c r="S35" s="21"/>
      <c r="T35" s="22"/>
      <c r="U35" s="14"/>
      <c r="V35" s="14"/>
      <c r="W35" s="14"/>
      <c r="X35" s="14"/>
      <c r="Y35" s="14"/>
      <c r="Z35" s="14"/>
    </row>
    <row r="36" spans="2:26" x14ac:dyDescent="0.35">
      <c r="B36" s="15" t="s">
        <v>23</v>
      </c>
      <c r="C36" s="8">
        <f>Sheet1!$C$8*10^-3</f>
        <v>0.114</v>
      </c>
      <c r="D36" s="18">
        <f>Sheet1!G26</f>
        <v>17.066666666666666</v>
      </c>
      <c r="E36" s="18">
        <f t="shared" si="22"/>
        <v>17.066666666666666</v>
      </c>
      <c r="F36" s="8">
        <f>SQRT(((Sheet1!$T$7)^2)+((STDEV(Sheet1!D26:F26)/SQRT(3))^2))</f>
        <v>0.48117333444173505</v>
      </c>
      <c r="G36" s="15">
        <f t="shared" si="23"/>
        <v>4.3191361727654467</v>
      </c>
      <c r="H36" s="15">
        <f t="shared" si="24"/>
        <v>0.49238152369526095</v>
      </c>
      <c r="I36" s="15">
        <f t="shared" si="25"/>
        <v>5.6131493701259749E-2</v>
      </c>
      <c r="J36" s="15">
        <f t="shared" si="26"/>
        <v>73.713257348530291</v>
      </c>
      <c r="K36" s="15">
        <f t="shared" si="27"/>
        <v>1258.0395920815836</v>
      </c>
      <c r="L36" s="15">
        <f t="shared" si="28"/>
        <v>8.4033113377324522</v>
      </c>
      <c r="M36" s="15"/>
      <c r="N36" s="15"/>
      <c r="O36" s="8">
        <f t="shared" si="29"/>
        <v>17.931660065108829</v>
      </c>
      <c r="P36" s="18">
        <f t="shared" si="30"/>
        <v>0.45907750384072082</v>
      </c>
      <c r="Q36" s="18">
        <f t="shared" si="31"/>
        <v>3.2316363355185134</v>
      </c>
      <c r="R36" s="14"/>
      <c r="S36" s="21" t="s">
        <v>44</v>
      </c>
      <c r="T36" s="22" t="s">
        <v>45</v>
      </c>
      <c r="U36" s="14">
        <f>N39*((I39*J39)-(H39*L39))</f>
        <v>-2.1888863127170932</v>
      </c>
      <c r="V36" s="14"/>
      <c r="W36" s="14"/>
      <c r="X36" s="14"/>
      <c r="Y36" s="14"/>
      <c r="Z36" s="14"/>
    </row>
    <row r="37" spans="2:26" x14ac:dyDescent="0.35">
      <c r="B37" s="19" t="s">
        <v>24</v>
      </c>
      <c r="C37" s="8">
        <f>Sheet1!$C$9*10^-3</f>
        <v>0.124</v>
      </c>
      <c r="D37" s="18">
        <f>Sheet1!G27</f>
        <v>20.399999999999999</v>
      </c>
      <c r="E37" s="18">
        <f t="shared" si="22"/>
        <v>20.399999999999999</v>
      </c>
      <c r="F37" s="8">
        <f>SQRT(((Sheet1!$T$7)^2)+((STDEV(Sheet1!D27:F27)/SQRT(3))^2))</f>
        <v>0.80854808143981316</v>
      </c>
      <c r="G37" s="8">
        <f t="shared" si="23"/>
        <v>1.5296367112810645</v>
      </c>
      <c r="H37" s="8">
        <f t="shared" si="24"/>
        <v>0.189674952198852</v>
      </c>
      <c r="I37" s="8">
        <f t="shared" si="25"/>
        <v>2.3519694072657645E-2</v>
      </c>
      <c r="J37" s="8">
        <f t="shared" si="26"/>
        <v>31.204588910133712</v>
      </c>
      <c r="K37" s="8">
        <f t="shared" si="27"/>
        <v>636.5736137667277</v>
      </c>
      <c r="L37" s="8">
        <f t="shared" si="28"/>
        <v>3.8693690248565806</v>
      </c>
      <c r="M37" s="8"/>
      <c r="N37" s="8"/>
      <c r="O37" s="8">
        <f t="shared" si="29"/>
        <v>19.696620273690051</v>
      </c>
      <c r="P37" s="18">
        <f t="shared" si="30"/>
        <v>20.48316412315193</v>
      </c>
      <c r="Q37" s="18">
        <f t="shared" si="31"/>
        <v>0.7567771156923202</v>
      </c>
      <c r="R37" s="14"/>
      <c r="S37" s="21"/>
      <c r="T37" s="22"/>
      <c r="U37" s="14"/>
      <c r="V37" s="14"/>
      <c r="W37" s="14"/>
      <c r="X37" s="14"/>
      <c r="Y37" s="14"/>
      <c r="Z37" s="14"/>
    </row>
    <row r="38" spans="2:26" ht="17.5" x14ac:dyDescent="0.35">
      <c r="B38" s="19" t="s">
        <v>52</v>
      </c>
      <c r="C38" s="8">
        <f>Sheet1!$C$10*10^-3</f>
        <v>0.1331</v>
      </c>
      <c r="D38" s="18">
        <f>Sheet1!G28</f>
        <v>22.266666666666666</v>
      </c>
      <c r="E38" s="18">
        <f t="shared" si="22"/>
        <v>22.266666666666666</v>
      </c>
      <c r="F38" s="8">
        <f>SQRT(((Sheet1!$T$7)^2)+((STDEV(Sheet1!D28:F28)/SQRT(3))^2))</f>
        <v>0.58154487741226346</v>
      </c>
      <c r="G38" s="8">
        <f t="shared" si="23"/>
        <v>2.9568788501026688</v>
      </c>
      <c r="H38" s="8">
        <f t="shared" si="24"/>
        <v>0.3935605749486652</v>
      </c>
      <c r="I38" s="8">
        <f t="shared" si="25"/>
        <v>5.238291252566734E-2</v>
      </c>
      <c r="J38" s="8">
        <f t="shared" si="26"/>
        <v>65.83983572895275</v>
      </c>
      <c r="K38" s="8">
        <f t="shared" si="27"/>
        <v>1466.0336755646813</v>
      </c>
      <c r="L38" s="8">
        <f t="shared" si="28"/>
        <v>8.7632821355236121</v>
      </c>
      <c r="M38" s="8"/>
      <c r="N38" s="8"/>
      <c r="O38" s="8">
        <f t="shared" si="29"/>
        <v>21.30273406349896</v>
      </c>
      <c r="P38" s="18">
        <f t="shared" si="30"/>
        <v>90.293912719420945</v>
      </c>
      <c r="Q38" s="18">
        <f t="shared" si="31"/>
        <v>2.7474314812474829</v>
      </c>
      <c r="R38" s="14"/>
      <c r="S38" s="21" t="s">
        <v>46</v>
      </c>
      <c r="T38" s="22" t="s">
        <v>47</v>
      </c>
      <c r="U38" s="14">
        <f>SQRT(N39*I39)</f>
        <v>1.5069248501067851</v>
      </c>
      <c r="V38" s="14"/>
      <c r="W38" s="14"/>
      <c r="X38" s="14"/>
      <c r="Y38" s="14"/>
      <c r="Z38" s="14"/>
    </row>
    <row r="39" spans="2:26" x14ac:dyDescent="0.35">
      <c r="B39" s="11" t="s">
        <v>25</v>
      </c>
      <c r="C39" s="8">
        <f t="shared" ref="C39:L39" si="32">SUM(C33:C38)</f>
        <v>0.64829999999999999</v>
      </c>
      <c r="D39" s="8">
        <f t="shared" si="32"/>
        <v>102.93333333333332</v>
      </c>
      <c r="E39" s="8">
        <f t="shared" si="32"/>
        <v>102.93333333333332</v>
      </c>
      <c r="F39" s="8">
        <f t="shared" si="32"/>
        <v>3.4796455211187038</v>
      </c>
      <c r="G39" s="8">
        <f t="shared" si="32"/>
        <v>21.286381960001549</v>
      </c>
      <c r="H39" s="8">
        <f t="shared" si="32"/>
        <v>2.2830048084969889</v>
      </c>
      <c r="I39" s="8">
        <f t="shared" si="32"/>
        <v>0.25002915347725074</v>
      </c>
      <c r="J39" s="8">
        <f t="shared" si="32"/>
        <v>356.34779418016399</v>
      </c>
      <c r="K39" s="8">
        <f t="shared" si="32"/>
        <v>6137.7807479317535</v>
      </c>
      <c r="L39" s="8">
        <f t="shared" si="32"/>
        <v>39.131912710073287</v>
      </c>
      <c r="M39" s="8">
        <f>(G39*I39)-((H39)^2)</f>
        <v>0.11010510643223537</v>
      </c>
      <c r="N39" s="8">
        <f>1/M39</f>
        <v>9.0822309010295914</v>
      </c>
      <c r="O39" s="8">
        <f>SUM(O33:O38)</f>
        <v>101.28905244601802</v>
      </c>
      <c r="P39" s="8">
        <f>SUM(P33:P38)</f>
        <v>172.28831921940068</v>
      </c>
      <c r="Q39" s="8">
        <f>SUM(Q33:Q38)</f>
        <v>11.158675284303289</v>
      </c>
      <c r="R39" s="14"/>
      <c r="S39" s="21"/>
      <c r="T39" s="22"/>
      <c r="U39" s="14"/>
      <c r="V39" s="14"/>
      <c r="W39" s="14"/>
      <c r="X39" s="14"/>
      <c r="Y39" s="14"/>
      <c r="Z39" s="14"/>
    </row>
    <row r="40" spans="2:26" ht="18.5" x14ac:dyDescent="0.35">
      <c r="B40" s="14" t="s">
        <v>26</v>
      </c>
      <c r="C40" s="14">
        <f>COUNT(C33:C38)</f>
        <v>6</v>
      </c>
      <c r="D40" s="14"/>
      <c r="E40" s="14"/>
      <c r="F40" s="14"/>
      <c r="G40" s="14"/>
      <c r="H40" s="14"/>
      <c r="I40" s="14"/>
      <c r="J40" s="14"/>
      <c r="K40" s="17"/>
      <c r="L40" s="17"/>
      <c r="M40" s="17"/>
      <c r="N40" s="17"/>
      <c r="O40" s="17"/>
      <c r="P40" s="17"/>
      <c r="Q40" s="17"/>
      <c r="R40" s="14"/>
      <c r="S40" s="21" t="s">
        <v>48</v>
      </c>
      <c r="T40" s="22" t="s">
        <v>49</v>
      </c>
      <c r="U40" s="14">
        <f>1-ABS(Q39/P39)</f>
        <v>0.93523254893389918</v>
      </c>
      <c r="V40" s="14"/>
      <c r="W40" s="14"/>
      <c r="X40" s="14"/>
      <c r="Y40" s="14"/>
      <c r="Z40" s="14"/>
    </row>
    <row r="41" spans="2:26" x14ac:dyDescent="0.3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2:26" x14ac:dyDescent="0.35">
      <c r="B42" s="2" t="s">
        <v>8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2:26" ht="18.5" x14ac:dyDescent="0.35">
      <c r="B43" s="14"/>
      <c r="C43" s="8" t="s">
        <v>13</v>
      </c>
      <c r="D43" s="17"/>
      <c r="E43" s="8" t="s">
        <v>14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21" t="s">
        <v>39</v>
      </c>
      <c r="T43" s="22" t="s">
        <v>62</v>
      </c>
      <c r="U43" s="14">
        <f>J52/G52</f>
        <v>16.299636216821305</v>
      </c>
      <c r="V43" s="14"/>
      <c r="W43" s="14" t="s">
        <v>53</v>
      </c>
      <c r="X43" s="14" t="s">
        <v>50</v>
      </c>
      <c r="Y43" s="14">
        <f>(1/(30*10^-3))*(U43/(AVERAGE(C45:C50)))</f>
        <v>5272.9154428122765</v>
      </c>
      <c r="Z43" s="14" t="s">
        <v>51</v>
      </c>
    </row>
    <row r="44" spans="2:26" ht="18.5" x14ac:dyDescent="0.35">
      <c r="B44" s="8" t="s">
        <v>15</v>
      </c>
      <c r="C44" s="8" t="s">
        <v>27</v>
      </c>
      <c r="D44" s="8" t="s">
        <v>29</v>
      </c>
      <c r="E44" s="15" t="s">
        <v>30</v>
      </c>
      <c r="F44" s="28" t="s">
        <v>16</v>
      </c>
      <c r="G44" s="28" t="s">
        <v>54</v>
      </c>
      <c r="H44" s="28" t="s">
        <v>55</v>
      </c>
      <c r="I44" s="28" t="s">
        <v>56</v>
      </c>
      <c r="J44" s="28" t="s">
        <v>57</v>
      </c>
      <c r="K44" s="28" t="s">
        <v>58</v>
      </c>
      <c r="L44" s="28" t="s">
        <v>59</v>
      </c>
      <c r="M44" s="32" t="s">
        <v>17</v>
      </c>
      <c r="N44" s="32" t="s">
        <v>18</v>
      </c>
      <c r="O44" s="30" t="s">
        <v>19</v>
      </c>
      <c r="P44" s="28" t="s">
        <v>60</v>
      </c>
      <c r="Q44" s="28" t="s">
        <v>61</v>
      </c>
      <c r="R44" s="14"/>
      <c r="S44" s="22"/>
      <c r="T44" s="22"/>
      <c r="U44" s="14"/>
      <c r="V44" s="14"/>
      <c r="W44" s="14"/>
      <c r="X44" s="14" t="s">
        <v>50</v>
      </c>
      <c r="Y44" s="14">
        <f>Y43*(PI()/180)</f>
        <v>92.029735656328995</v>
      </c>
      <c r="Z44" s="14" t="s">
        <v>51</v>
      </c>
    </row>
    <row r="45" spans="2:26" x14ac:dyDescent="0.35">
      <c r="B45" s="8"/>
      <c r="C45" s="8" t="s">
        <v>28</v>
      </c>
      <c r="D45" s="8" t="s">
        <v>30</v>
      </c>
      <c r="E45" s="16"/>
      <c r="F45" s="29"/>
      <c r="G45" s="29"/>
      <c r="H45" s="29"/>
      <c r="I45" s="29"/>
      <c r="J45" s="29"/>
      <c r="K45" s="29"/>
      <c r="L45" s="29"/>
      <c r="M45" s="33"/>
      <c r="N45" s="33"/>
      <c r="O45" s="31"/>
      <c r="P45" s="29"/>
      <c r="Q45" s="29"/>
      <c r="R45" s="14"/>
      <c r="S45" s="21" t="s">
        <v>40</v>
      </c>
      <c r="T45" s="22" t="s">
        <v>41</v>
      </c>
      <c r="U45" s="14">
        <f>N52*((G52*L52)-(H52*J52))</f>
        <v>134.18878658584129</v>
      </c>
      <c r="V45" s="14"/>
      <c r="W45" s="14"/>
      <c r="X45" s="14"/>
      <c r="Y45" s="14"/>
      <c r="Z45" s="14"/>
    </row>
    <row r="46" spans="2:26" x14ac:dyDescent="0.35">
      <c r="B46" s="8" t="s">
        <v>20</v>
      </c>
      <c r="C46" s="8">
        <f>Sheet1!$C$5*10^-3</f>
        <v>8.0900000000000014E-2</v>
      </c>
      <c r="D46" s="18">
        <f>Sheet1!G32</f>
        <v>10.133333333333335</v>
      </c>
      <c r="E46" s="18">
        <f t="shared" ref="E46:E51" si="33">D46</f>
        <v>10.133333333333335</v>
      </c>
      <c r="F46" s="8">
        <f>SQRT(((Sheet1!$T$7)^2)+((STDEV(Sheet1!D32:F32)/SQRT(3))^2))</f>
        <v>0.33395774849189797</v>
      </c>
      <c r="G46" s="8">
        <f t="shared" ref="G46:G51" si="34">1/(F46^2)</f>
        <v>8.9663760896637612</v>
      </c>
      <c r="H46" s="8">
        <f t="shared" ref="H46:H51" si="35">C46*G46</f>
        <v>0.72537982565379844</v>
      </c>
      <c r="I46" s="8">
        <f t="shared" ref="I46:I51" si="36">(C46^2)*G46</f>
        <v>5.8683227895392306E-2</v>
      </c>
      <c r="J46" s="8">
        <f t="shared" ref="J46:J51" si="37">E46*G46</f>
        <v>90.859277708592785</v>
      </c>
      <c r="K46" s="8">
        <f t="shared" ref="K46:K51" si="38">(E46^2)*G46</f>
        <v>920.70734744707374</v>
      </c>
      <c r="L46" s="8">
        <f t="shared" ref="L46:L51" si="39">C46*E46*G46</f>
        <v>7.350515566625158</v>
      </c>
      <c r="M46" s="8"/>
      <c r="N46" s="8"/>
      <c r="O46" s="8">
        <f t="shared" ref="O46:O51" si="40">($U$45*C46)+$U$49</f>
        <v>10.615940166950375</v>
      </c>
      <c r="P46" s="18">
        <f t="shared" ref="P46:P51" si="41">((E46-$U$43)^2)*G46</f>
        <v>340.93112952249919</v>
      </c>
      <c r="Q46" s="18">
        <f t="shared" ref="Q46:Q51" si="42">((E46-O46)^2)*G46</f>
        <v>2.0883528793870938</v>
      </c>
      <c r="R46" s="14"/>
      <c r="S46" s="21"/>
      <c r="T46" s="22"/>
      <c r="U46" s="14"/>
      <c r="V46" s="14"/>
      <c r="W46" s="14"/>
      <c r="X46" s="14"/>
      <c r="Y46" s="14"/>
      <c r="Z46" s="14"/>
    </row>
    <row r="47" spans="2:26" ht="17.5" x14ac:dyDescent="0.35">
      <c r="B47" s="8" t="s">
        <v>21</v>
      </c>
      <c r="C47" s="8">
        <f>Sheet1!$C$6*10^-3</f>
        <v>9.1799999999999993E-2</v>
      </c>
      <c r="D47" s="18">
        <f>Sheet1!G33</f>
        <v>12.266666666666666</v>
      </c>
      <c r="E47" s="18">
        <f t="shared" si="33"/>
        <v>12.266666666666666</v>
      </c>
      <c r="F47" s="8">
        <f>SQRT(((Sheet1!$T$7)^2)+((STDEV(Sheet1!D33:F33)/SQRT(3))^2))</f>
        <v>0.17756063127218782</v>
      </c>
      <c r="G47" s="8">
        <f t="shared" si="34"/>
        <v>31.718061674008744</v>
      </c>
      <c r="H47" s="8">
        <f t="shared" si="35"/>
        <v>2.9117180616740024</v>
      </c>
      <c r="I47" s="8">
        <f t="shared" si="36"/>
        <v>0.2672957180616734</v>
      </c>
      <c r="J47" s="8">
        <f t="shared" si="37"/>
        <v>389.07488986784057</v>
      </c>
      <c r="K47" s="8">
        <f t="shared" si="38"/>
        <v>4772.651982378844</v>
      </c>
      <c r="L47" s="8">
        <f t="shared" si="39"/>
        <v>35.71707488986776</v>
      </c>
      <c r="M47" s="8"/>
      <c r="N47" s="8"/>
      <c r="O47" s="8">
        <f t="shared" si="40"/>
        <v>12.078597940736042</v>
      </c>
      <c r="P47" s="18">
        <f t="shared" si="41"/>
        <v>515.8893058406004</v>
      </c>
      <c r="Q47" s="18">
        <f t="shared" si="42"/>
        <v>1.1218629464617134</v>
      </c>
      <c r="R47" s="14"/>
      <c r="S47" s="21" t="s">
        <v>42</v>
      </c>
      <c r="T47" s="22" t="s">
        <v>43</v>
      </c>
      <c r="U47" s="14">
        <f>SQRT(N52*G52)</f>
        <v>4.2517345542588476</v>
      </c>
      <c r="V47" s="14"/>
      <c r="W47" s="14"/>
      <c r="X47" s="14"/>
      <c r="Y47" s="14"/>
      <c r="Z47" s="14"/>
    </row>
    <row r="48" spans="2:26" x14ac:dyDescent="0.35">
      <c r="B48" s="8" t="s">
        <v>22</v>
      </c>
      <c r="C48" s="8">
        <f>Sheet1!$C$7*10^-3</f>
        <v>0.1045</v>
      </c>
      <c r="D48" s="18">
        <f>Sheet1!G34</f>
        <v>14.133333333333333</v>
      </c>
      <c r="E48" s="18">
        <f t="shared" si="33"/>
        <v>14.133333333333333</v>
      </c>
      <c r="F48" s="8">
        <f>SQRT(((Sheet1!$T$7)^2)+((STDEV(Sheet1!D34:F34)/SQRT(3))^2))</f>
        <v>0.26744677559802021</v>
      </c>
      <c r="G48" s="8">
        <f t="shared" si="34"/>
        <v>13.980582524271842</v>
      </c>
      <c r="H48" s="8">
        <f t="shared" si="35"/>
        <v>1.4609708737864073</v>
      </c>
      <c r="I48" s="8">
        <f t="shared" si="36"/>
        <v>0.15267145631067958</v>
      </c>
      <c r="J48" s="8">
        <f t="shared" si="37"/>
        <v>197.59223300970871</v>
      </c>
      <c r="K48" s="8">
        <f t="shared" si="38"/>
        <v>2792.6368932038827</v>
      </c>
      <c r="L48" s="8">
        <f t="shared" si="39"/>
        <v>20.648388349514558</v>
      </c>
      <c r="M48" s="8"/>
      <c r="N48" s="8"/>
      <c r="O48" s="8">
        <f t="shared" si="40"/>
        <v>13.782795530376227</v>
      </c>
      <c r="P48" s="18">
        <f t="shared" si="41"/>
        <v>65.609030908077258</v>
      </c>
      <c r="Q48" s="18">
        <f t="shared" si="42"/>
        <v>1.717888561891969</v>
      </c>
      <c r="R48" s="14"/>
      <c r="S48" s="21"/>
      <c r="T48" s="22"/>
      <c r="U48" s="14"/>
      <c r="V48" s="14"/>
      <c r="W48" s="14"/>
      <c r="X48" s="14"/>
      <c r="Y48" s="14"/>
      <c r="Z48" s="14"/>
    </row>
    <row r="49" spans="2:26" x14ac:dyDescent="0.35">
      <c r="B49" s="15" t="s">
        <v>23</v>
      </c>
      <c r="C49" s="8">
        <f>Sheet1!$C$8*10^-3</f>
        <v>0.114</v>
      </c>
      <c r="D49" s="18">
        <f>Sheet1!G35</f>
        <v>14.533333333333331</v>
      </c>
      <c r="E49" s="18">
        <f t="shared" si="33"/>
        <v>14.533333333333331</v>
      </c>
      <c r="F49" s="8">
        <f>SQRT(((Sheet1!$T$7)^2)+((STDEV(Sheet1!D35:F35)/SQRT(3))^2))</f>
        <v>0.24123524710216881</v>
      </c>
      <c r="G49" s="15">
        <f t="shared" si="34"/>
        <v>17.183770883054894</v>
      </c>
      <c r="H49" s="15">
        <f t="shared" si="35"/>
        <v>1.9589498806682579</v>
      </c>
      <c r="I49" s="15">
        <f t="shared" si="36"/>
        <v>0.22332028639618143</v>
      </c>
      <c r="J49" s="15">
        <f t="shared" si="37"/>
        <v>249.73747016706443</v>
      </c>
      <c r="K49" s="15">
        <f t="shared" si="38"/>
        <v>3629.5178997613357</v>
      </c>
      <c r="L49" s="15">
        <f t="shared" si="39"/>
        <v>28.470071599045344</v>
      </c>
      <c r="M49" s="15"/>
      <c r="N49" s="15"/>
      <c r="O49" s="8">
        <f t="shared" si="40"/>
        <v>15.05758900294172</v>
      </c>
      <c r="P49" s="18">
        <f t="shared" si="41"/>
        <v>53.610373051954909</v>
      </c>
      <c r="Q49" s="18">
        <f t="shared" si="42"/>
        <v>4.7228564468713277</v>
      </c>
      <c r="R49" s="14"/>
      <c r="S49" s="21" t="s">
        <v>44</v>
      </c>
      <c r="T49" s="22" t="s">
        <v>45</v>
      </c>
      <c r="U49" s="14">
        <f>N52*((I52*J52)-(H52*L52))</f>
        <v>-0.2399326678441874</v>
      </c>
      <c r="V49" s="14"/>
      <c r="W49" s="14"/>
      <c r="X49" s="14"/>
      <c r="Y49" s="14"/>
      <c r="Z49" s="14"/>
    </row>
    <row r="50" spans="2:26" x14ac:dyDescent="0.35">
      <c r="B50" s="19" t="s">
        <v>24</v>
      </c>
      <c r="C50" s="8">
        <f>Sheet1!$C$9*10^-3</f>
        <v>0.124</v>
      </c>
      <c r="D50" s="18">
        <f>Sheet1!G36</f>
        <v>16.399999999999999</v>
      </c>
      <c r="E50" s="18">
        <f t="shared" si="33"/>
        <v>16.399999999999999</v>
      </c>
      <c r="F50" s="8">
        <f>SQRT(((Sheet1!$T$7)^2)+((STDEV(Sheet1!D36:F36)/SQRT(3))^2))</f>
        <v>2.0412414523193152E-2</v>
      </c>
      <c r="G50" s="8">
        <f t="shared" si="34"/>
        <v>2399.9999999999995</v>
      </c>
      <c r="H50" s="8">
        <f t="shared" si="35"/>
        <v>297.59999999999997</v>
      </c>
      <c r="I50" s="8">
        <f t="shared" si="36"/>
        <v>36.902399999999993</v>
      </c>
      <c r="J50" s="8">
        <f t="shared" si="37"/>
        <v>39359.999999999993</v>
      </c>
      <c r="K50" s="8">
        <f t="shared" si="38"/>
        <v>645503.99999999988</v>
      </c>
      <c r="L50" s="8">
        <f t="shared" si="39"/>
        <v>4880.6399999999985</v>
      </c>
      <c r="M50" s="8"/>
      <c r="N50" s="8"/>
      <c r="O50" s="8">
        <f t="shared" si="40"/>
        <v>16.399476868800132</v>
      </c>
      <c r="P50" s="18">
        <f t="shared" si="41"/>
        <v>24.174933537455374</v>
      </c>
      <c r="Q50" s="18">
        <f t="shared" si="42"/>
        <v>6.5679900545667104E-4</v>
      </c>
      <c r="R50" s="14"/>
      <c r="S50" s="21"/>
      <c r="T50" s="22"/>
      <c r="U50" s="14"/>
      <c r="V50" s="14"/>
      <c r="W50" s="14"/>
      <c r="X50" s="14"/>
      <c r="Y50" s="14"/>
      <c r="Z50" s="14"/>
    </row>
    <row r="51" spans="2:26" ht="17.5" x14ac:dyDescent="0.35">
      <c r="B51" s="19" t="s">
        <v>52</v>
      </c>
      <c r="C51" s="8">
        <f>Sheet1!$C$10*10^-3</f>
        <v>0.1331</v>
      </c>
      <c r="D51" s="18">
        <f>Sheet1!G37</f>
        <v>18.533333333333335</v>
      </c>
      <c r="E51" s="18">
        <f t="shared" si="33"/>
        <v>18.533333333333335</v>
      </c>
      <c r="F51" s="8">
        <f>SQRT(((Sheet1!$T$7)^2)+((STDEV(Sheet1!D37:F37)/SQRT(3))^2))</f>
        <v>0.86690701795393077</v>
      </c>
      <c r="G51" s="8">
        <f t="shared" si="34"/>
        <v>1.3306228053964164</v>
      </c>
      <c r="H51" s="8">
        <f t="shared" si="35"/>
        <v>0.17710589539826302</v>
      </c>
      <c r="I51" s="8">
        <f t="shared" si="36"/>
        <v>2.3572794677508807E-2</v>
      </c>
      <c r="J51" s="8">
        <f t="shared" si="37"/>
        <v>24.66087599334692</v>
      </c>
      <c r="K51" s="8">
        <f t="shared" si="38"/>
        <v>457.04823507669624</v>
      </c>
      <c r="L51" s="8">
        <f t="shared" si="39"/>
        <v>3.2823625947144746</v>
      </c>
      <c r="M51" s="8"/>
      <c r="N51" s="8"/>
      <c r="O51" s="8">
        <f t="shared" si="40"/>
        <v>17.620594826731288</v>
      </c>
      <c r="P51" s="18">
        <f t="shared" si="41"/>
        <v>6.6390131620517394</v>
      </c>
      <c r="Q51" s="18">
        <f t="shared" si="42"/>
        <v>1.1085306572400246</v>
      </c>
      <c r="R51" s="14"/>
      <c r="S51" s="21" t="s">
        <v>46</v>
      </c>
      <c r="T51" s="22" t="s">
        <v>47</v>
      </c>
      <c r="U51" s="14">
        <f>SQRT(N52*I52)</f>
        <v>0.52443729992515142</v>
      </c>
      <c r="V51" s="14"/>
      <c r="W51" s="14"/>
      <c r="X51" s="14"/>
      <c r="Y51" s="14"/>
      <c r="Z51" s="14"/>
    </row>
    <row r="52" spans="2:26" x14ac:dyDescent="0.35">
      <c r="B52" s="11" t="s">
        <v>25</v>
      </c>
      <c r="C52" s="8">
        <f t="shared" ref="C52:L52" si="43">SUM(C46:C51)</f>
        <v>0.64829999999999999</v>
      </c>
      <c r="D52" s="8">
        <f t="shared" si="43"/>
        <v>86</v>
      </c>
      <c r="E52" s="8">
        <f t="shared" si="43"/>
        <v>86</v>
      </c>
      <c r="F52" s="8">
        <f t="shared" si="43"/>
        <v>1.9075198349413989</v>
      </c>
      <c r="G52" s="8">
        <f t="shared" si="43"/>
        <v>2473.1794139763956</v>
      </c>
      <c r="H52" s="8">
        <f t="shared" si="43"/>
        <v>304.83412453718068</v>
      </c>
      <c r="I52" s="8">
        <f t="shared" si="43"/>
        <v>37.627943483341426</v>
      </c>
      <c r="J52" s="8">
        <f t="shared" si="43"/>
        <v>40311.924746746547</v>
      </c>
      <c r="K52" s="8">
        <f t="shared" si="43"/>
        <v>658076.56235786772</v>
      </c>
      <c r="L52" s="8">
        <f t="shared" si="43"/>
        <v>4976.1084129997662</v>
      </c>
      <c r="M52" s="8">
        <f>(G52*I52)-((H52)^2)</f>
        <v>136.81173091789242</v>
      </c>
      <c r="N52" s="8">
        <f>1/M52</f>
        <v>7.3093147297445581E-3</v>
      </c>
      <c r="O52" s="8">
        <f>SUM(O46:O51)</f>
        <v>85.554994336535785</v>
      </c>
      <c r="P52" s="8">
        <f>SUM(P46:P51)</f>
        <v>1006.8537860226387</v>
      </c>
      <c r="Q52" s="8">
        <f>SUM(Q46:Q51)</f>
        <v>10.760148290857584</v>
      </c>
      <c r="R52" s="14"/>
      <c r="S52" s="21"/>
      <c r="T52" s="22"/>
      <c r="U52" s="14"/>
      <c r="V52" s="14"/>
      <c r="W52" s="14"/>
      <c r="X52" s="14"/>
      <c r="Y52" s="14"/>
      <c r="Z52" s="14"/>
    </row>
    <row r="53" spans="2:26" ht="18.5" x14ac:dyDescent="0.35">
      <c r="B53" s="14" t="s">
        <v>26</v>
      </c>
      <c r="C53" s="14">
        <f>COUNT(C46:C51)</f>
        <v>6</v>
      </c>
      <c r="D53" s="14"/>
      <c r="E53" s="14"/>
      <c r="F53" s="14"/>
      <c r="G53" s="14"/>
      <c r="H53" s="14"/>
      <c r="I53" s="14"/>
      <c r="J53" s="14"/>
      <c r="K53" s="17"/>
      <c r="L53" s="17"/>
      <c r="M53" s="17"/>
      <c r="N53" s="17"/>
      <c r="O53" s="17"/>
      <c r="P53" s="17"/>
      <c r="Q53" s="17"/>
      <c r="R53" s="14"/>
      <c r="S53" s="21" t="s">
        <v>48</v>
      </c>
      <c r="T53" s="22" t="s">
        <v>49</v>
      </c>
      <c r="U53" s="14">
        <f>1-ABS(Q52/P52)</f>
        <v>0.98931309745244811</v>
      </c>
      <c r="V53" s="14"/>
      <c r="W53" s="14"/>
      <c r="X53" s="14"/>
      <c r="Y53" s="14"/>
      <c r="Z53" s="14"/>
    </row>
    <row r="55" spans="2:26" x14ac:dyDescent="0.35">
      <c r="B55" s="2" t="s">
        <v>9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2:26" ht="18.5" x14ac:dyDescent="0.35">
      <c r="B56" s="14"/>
      <c r="C56" s="8" t="s">
        <v>13</v>
      </c>
      <c r="D56" s="17"/>
      <c r="E56" s="8" t="s">
        <v>14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21" t="s">
        <v>39</v>
      </c>
      <c r="T56" s="22" t="s">
        <v>62</v>
      </c>
      <c r="U56" s="14">
        <f>J65/G65</f>
        <v>11.946769232683602</v>
      </c>
      <c r="V56" s="14"/>
      <c r="W56" s="14" t="s">
        <v>53</v>
      </c>
      <c r="X56" s="14" t="s">
        <v>50</v>
      </c>
      <c r="Y56" s="14">
        <f>(1/(30*10^-3))*(U56/(AVERAGE(C58:C63)))</f>
        <v>3864.7674795172111</v>
      </c>
      <c r="Z56" s="14" t="s">
        <v>51</v>
      </c>
    </row>
    <row r="57" spans="2:26" ht="18.5" x14ac:dyDescent="0.35">
      <c r="B57" s="8" t="s">
        <v>15</v>
      </c>
      <c r="C57" s="8" t="s">
        <v>27</v>
      </c>
      <c r="D57" s="8" t="s">
        <v>29</v>
      </c>
      <c r="E57" s="15" t="s">
        <v>30</v>
      </c>
      <c r="F57" s="28" t="s">
        <v>16</v>
      </c>
      <c r="G57" s="28" t="s">
        <v>54</v>
      </c>
      <c r="H57" s="28" t="s">
        <v>55</v>
      </c>
      <c r="I57" s="28" t="s">
        <v>56</v>
      </c>
      <c r="J57" s="28" t="s">
        <v>57</v>
      </c>
      <c r="K57" s="28" t="s">
        <v>58</v>
      </c>
      <c r="L57" s="28" t="s">
        <v>59</v>
      </c>
      <c r="M57" s="32" t="s">
        <v>17</v>
      </c>
      <c r="N57" s="32" t="s">
        <v>18</v>
      </c>
      <c r="O57" s="30" t="s">
        <v>19</v>
      </c>
      <c r="P57" s="28" t="s">
        <v>60</v>
      </c>
      <c r="Q57" s="28" t="s">
        <v>61</v>
      </c>
      <c r="R57" s="14"/>
      <c r="S57" s="22"/>
      <c r="T57" s="22"/>
      <c r="U57" s="14"/>
      <c r="V57" s="14"/>
      <c r="W57" s="14"/>
      <c r="X57" s="14" t="s">
        <v>50</v>
      </c>
      <c r="Y57" s="14">
        <f>Y56*(PI()/180)</f>
        <v>67.452917341577844</v>
      </c>
      <c r="Z57" s="14" t="s">
        <v>51</v>
      </c>
    </row>
    <row r="58" spans="2:26" x14ac:dyDescent="0.35">
      <c r="B58" s="8"/>
      <c r="C58" s="8" t="s">
        <v>28</v>
      </c>
      <c r="D58" s="8" t="s">
        <v>30</v>
      </c>
      <c r="E58" s="16"/>
      <c r="F58" s="29"/>
      <c r="G58" s="29"/>
      <c r="H58" s="29"/>
      <c r="I58" s="29"/>
      <c r="J58" s="29"/>
      <c r="K58" s="29"/>
      <c r="L58" s="29"/>
      <c r="M58" s="33"/>
      <c r="N58" s="33"/>
      <c r="O58" s="31"/>
      <c r="P58" s="29"/>
      <c r="Q58" s="29"/>
      <c r="R58" s="14"/>
      <c r="S58" s="21" t="s">
        <v>40</v>
      </c>
      <c r="T58" s="22" t="s">
        <v>41</v>
      </c>
      <c r="U58" s="14">
        <f>N65*((G65*L65)-(H65*J65))</f>
        <v>126.67187321824279</v>
      </c>
      <c r="V58" s="14"/>
      <c r="W58" s="14"/>
      <c r="X58" s="14"/>
      <c r="Y58" s="14"/>
      <c r="Z58" s="14"/>
    </row>
    <row r="59" spans="2:26" x14ac:dyDescent="0.35">
      <c r="B59" s="8" t="s">
        <v>20</v>
      </c>
      <c r="C59" s="8">
        <f>Sheet1!$C$5*10^-3</f>
        <v>8.0900000000000014E-2</v>
      </c>
      <c r="D59" s="18">
        <f>Sheet1!G41</f>
        <v>9.0666666666666664</v>
      </c>
      <c r="E59" s="18">
        <f t="shared" ref="E59:E64" si="44">D59</f>
        <v>9.0666666666666664</v>
      </c>
      <c r="F59" s="8">
        <f>SQRT(((Sheet1!$T$7)^2)+((STDEV(Sheet1!D41:F41)/SQRT(3))^2))</f>
        <v>0.13488678380198854</v>
      </c>
      <c r="G59" s="8">
        <f t="shared" ref="G59:G64" si="45">1/(F59^2)</f>
        <v>54.96183206106884</v>
      </c>
      <c r="H59" s="8">
        <f t="shared" ref="H59:H64" si="46">C59*G59</f>
        <v>4.4464122137404702</v>
      </c>
      <c r="I59" s="8">
        <f t="shared" ref="I59:I64" si="47">(C59^2)*G59</f>
        <v>0.35971474809160409</v>
      </c>
      <c r="J59" s="8">
        <f t="shared" ref="J59:J64" si="48">E59*G59</f>
        <v>498.32061068702416</v>
      </c>
      <c r="K59" s="8">
        <f t="shared" ref="K59:K64" si="49">(E59^2)*G59</f>
        <v>4518.1068702290186</v>
      </c>
      <c r="L59" s="8">
        <f t="shared" ref="L59:L64" si="50">C59*E59*G59</f>
        <v>40.314137404580258</v>
      </c>
      <c r="M59" s="8"/>
      <c r="N59" s="8"/>
      <c r="O59" s="8">
        <f t="shared" ref="O59:O64" si="51">($U$58*C59)+$U$62</f>
        <v>9.2029347849347545</v>
      </c>
      <c r="P59" s="18">
        <f t="shared" ref="P59:P64" si="52">((E59-$U$56)^2)*G59</f>
        <v>455.90789079081651</v>
      </c>
      <c r="Q59" s="18">
        <f t="shared" ref="Q59:Q64" si="53">((E59-O59)^2)*G59</f>
        <v>1.0205862626377471</v>
      </c>
      <c r="R59" s="14"/>
      <c r="S59" s="21"/>
      <c r="T59" s="22"/>
      <c r="U59" s="14"/>
      <c r="V59" s="14"/>
      <c r="W59" s="14"/>
      <c r="X59" s="14"/>
      <c r="Y59" s="14"/>
      <c r="Z59" s="14"/>
    </row>
    <row r="60" spans="2:26" ht="17.5" x14ac:dyDescent="0.35">
      <c r="B60" s="8" t="s">
        <v>21</v>
      </c>
      <c r="C60" s="8">
        <f>Sheet1!$C$6*10^-3</f>
        <v>9.1799999999999993E-2</v>
      </c>
      <c r="D60" s="18">
        <f>Sheet1!G42</f>
        <v>10.666666666666666</v>
      </c>
      <c r="E60" s="18">
        <f t="shared" si="44"/>
        <v>10.666666666666666</v>
      </c>
      <c r="F60" s="8">
        <f>SQRT(((Sheet1!$T$7)^2)+((STDEV(Sheet1!D42:F42)/SQRT(3))^2))</f>
        <v>6.9721668877839704E-2</v>
      </c>
      <c r="G60" s="8">
        <f t="shared" si="45"/>
        <v>205.71428571428527</v>
      </c>
      <c r="H60" s="8">
        <f t="shared" si="46"/>
        <v>18.884571428571387</v>
      </c>
      <c r="I60" s="8">
        <f t="shared" si="47"/>
        <v>1.7336036571428532</v>
      </c>
      <c r="J60" s="8">
        <f t="shared" si="48"/>
        <v>2194.2857142857092</v>
      </c>
      <c r="K60" s="8">
        <f t="shared" si="49"/>
        <v>23405.714285714235</v>
      </c>
      <c r="L60" s="8">
        <f t="shared" si="50"/>
        <v>201.4354285714281</v>
      </c>
      <c r="M60" s="8"/>
      <c r="N60" s="8"/>
      <c r="O60" s="8">
        <f t="shared" si="51"/>
        <v>10.583658203013597</v>
      </c>
      <c r="P60" s="18">
        <f t="shared" si="52"/>
        <v>337.09630207333163</v>
      </c>
      <c r="Q60" s="18">
        <f t="shared" si="53"/>
        <v>1.4174547506831114</v>
      </c>
      <c r="R60" s="14"/>
      <c r="S60" s="21" t="s">
        <v>42</v>
      </c>
      <c r="T60" s="22" t="s">
        <v>43</v>
      </c>
      <c r="U60" s="14">
        <f>SQRT(N65*G65)</f>
        <v>3.1293158084375476</v>
      </c>
      <c r="V60" s="14"/>
      <c r="W60" s="14"/>
      <c r="X60" s="14"/>
      <c r="Y60" s="14"/>
      <c r="Z60" s="14"/>
    </row>
    <row r="61" spans="2:26" x14ac:dyDescent="0.35">
      <c r="B61" s="8" t="s">
        <v>22</v>
      </c>
      <c r="C61" s="8">
        <f>Sheet1!$C$7*10^-3</f>
        <v>0.1045</v>
      </c>
      <c r="D61" s="18">
        <f>Sheet1!G43</f>
        <v>12</v>
      </c>
      <c r="E61" s="18">
        <f t="shared" si="44"/>
        <v>12</v>
      </c>
      <c r="F61" s="8">
        <f>SQRT(((Sheet1!$T$7)^2)+((STDEV(Sheet1!D43:F43)/SQRT(3))^2))</f>
        <v>0.41683330001332664</v>
      </c>
      <c r="G61" s="8">
        <f t="shared" si="45"/>
        <v>5.7553956834532389</v>
      </c>
      <c r="H61" s="8">
        <f t="shared" si="46"/>
        <v>0.60143884892086341</v>
      </c>
      <c r="I61" s="8">
        <f t="shared" si="47"/>
        <v>6.2850359712230228E-2</v>
      </c>
      <c r="J61" s="8">
        <f t="shared" si="48"/>
        <v>69.064748201438874</v>
      </c>
      <c r="K61" s="8">
        <f t="shared" si="49"/>
        <v>828.77697841726638</v>
      </c>
      <c r="L61" s="8">
        <f t="shared" si="50"/>
        <v>7.2172661870503614</v>
      </c>
      <c r="M61" s="8"/>
      <c r="N61" s="8"/>
      <c r="O61" s="8">
        <f t="shared" si="51"/>
        <v>12.192390992885281</v>
      </c>
      <c r="P61" s="18">
        <f t="shared" si="52"/>
        <v>1.6307997635064839E-2</v>
      </c>
      <c r="Q61" s="18">
        <f t="shared" si="53"/>
        <v>0.21303190873890254</v>
      </c>
      <c r="R61" s="14"/>
      <c r="S61" s="21"/>
      <c r="T61" s="22"/>
      <c r="U61" s="14"/>
      <c r="V61" s="14"/>
      <c r="W61" s="14"/>
      <c r="X61" s="14"/>
      <c r="Y61" s="14"/>
      <c r="Z61" s="14"/>
    </row>
    <row r="62" spans="2:26" x14ac:dyDescent="0.35">
      <c r="B62" s="15" t="s">
        <v>23</v>
      </c>
      <c r="C62" s="8">
        <f>Sheet1!$C$8*10^-3</f>
        <v>0.114</v>
      </c>
      <c r="D62" s="18">
        <f>Sheet1!G44</f>
        <v>13.333333333333334</v>
      </c>
      <c r="E62" s="18">
        <f t="shared" si="44"/>
        <v>13.333333333333334</v>
      </c>
      <c r="F62" s="8">
        <f>SQRT(((Sheet1!$T$7)^2)+((STDEV(Sheet1!D44:F44)/SQRT(3))^2))</f>
        <v>6.9721668877839704E-2</v>
      </c>
      <c r="G62" s="15">
        <f t="shared" si="45"/>
        <v>205.71428571428527</v>
      </c>
      <c r="H62" s="15">
        <f t="shared" si="46"/>
        <v>23.451428571428522</v>
      </c>
      <c r="I62" s="15">
        <f t="shared" si="47"/>
        <v>2.6734628571428516</v>
      </c>
      <c r="J62" s="15">
        <f t="shared" si="48"/>
        <v>2742.8571428571372</v>
      </c>
      <c r="K62" s="15">
        <f t="shared" si="49"/>
        <v>36571.4285714285</v>
      </c>
      <c r="L62" s="15">
        <f t="shared" si="50"/>
        <v>312.68571428571363</v>
      </c>
      <c r="M62" s="15"/>
      <c r="N62" s="15"/>
      <c r="O62" s="8">
        <f t="shared" si="51"/>
        <v>13.395773788458589</v>
      </c>
      <c r="P62" s="18">
        <f t="shared" si="52"/>
        <v>395.49805821475121</v>
      </c>
      <c r="Q62" s="18">
        <f t="shared" si="53"/>
        <v>0.80204100402836864</v>
      </c>
      <c r="R62" s="14"/>
      <c r="S62" s="21" t="s">
        <v>44</v>
      </c>
      <c r="T62" s="22" t="s">
        <v>45</v>
      </c>
      <c r="U62" s="14">
        <f>N65*((I65*J65)-(H65*L65))</f>
        <v>-1.0448197584210899</v>
      </c>
      <c r="V62" s="14"/>
      <c r="W62" s="14"/>
      <c r="X62" s="14"/>
      <c r="Y62" s="14"/>
      <c r="Z62" s="14"/>
    </row>
    <row r="63" spans="2:26" x14ac:dyDescent="0.35">
      <c r="B63" s="19" t="s">
        <v>24</v>
      </c>
      <c r="C63" s="8">
        <f>Sheet1!$C$9*10^-3</f>
        <v>0.124</v>
      </c>
      <c r="D63" s="18">
        <f>Sheet1!G45</f>
        <v>14.533333333333331</v>
      </c>
      <c r="E63" s="18">
        <f t="shared" si="44"/>
        <v>14.533333333333331</v>
      </c>
      <c r="F63" s="8">
        <f>SQRT(((Sheet1!$T$7)^2)+((STDEV(Sheet1!D45:F45)/SQRT(3))^2))</f>
        <v>0.17756063127218757</v>
      </c>
      <c r="G63" s="8">
        <f t="shared" si="45"/>
        <v>31.71806167400883</v>
      </c>
      <c r="H63" s="8">
        <f t="shared" si="46"/>
        <v>3.933039647577095</v>
      </c>
      <c r="I63" s="8">
        <f t="shared" si="47"/>
        <v>0.48769691629955975</v>
      </c>
      <c r="J63" s="8">
        <f t="shared" si="48"/>
        <v>460.96916299559496</v>
      </c>
      <c r="K63" s="8">
        <f t="shared" si="49"/>
        <v>6699.418502202645</v>
      </c>
      <c r="L63" s="8">
        <f t="shared" si="50"/>
        <v>57.160176211453773</v>
      </c>
      <c r="M63" s="8"/>
      <c r="N63" s="8"/>
      <c r="O63" s="8">
        <f t="shared" si="51"/>
        <v>14.662492520641017</v>
      </c>
      <c r="P63" s="18">
        <f t="shared" si="52"/>
        <v>212.20378721032435</v>
      </c>
      <c r="Q63" s="18">
        <f t="shared" si="53"/>
        <v>0.52912373918532474</v>
      </c>
      <c r="R63" s="14"/>
      <c r="S63" s="21"/>
      <c r="T63" s="22"/>
      <c r="U63" s="14"/>
      <c r="V63" s="14"/>
      <c r="W63" s="14"/>
      <c r="X63" s="14"/>
      <c r="Y63" s="14"/>
      <c r="Z63" s="14"/>
    </row>
    <row r="64" spans="2:26" ht="17.5" x14ac:dyDescent="0.35">
      <c r="B64" s="19" t="s">
        <v>52</v>
      </c>
      <c r="C64" s="8">
        <f>Sheet1!$C$10*10^-3</f>
        <v>0.1331</v>
      </c>
      <c r="D64" s="18">
        <f>Sheet1!G46</f>
        <v>16.533333333333335</v>
      </c>
      <c r="E64" s="18">
        <f t="shared" si="44"/>
        <v>16.533333333333335</v>
      </c>
      <c r="F64" s="8">
        <f>SQRT(((Sheet1!$T$7)^2)+((STDEV(Sheet1!D46:F46)/SQRT(3))^2))</f>
        <v>0.29130930488247592</v>
      </c>
      <c r="G64" s="8">
        <f t="shared" si="45"/>
        <v>11.783960720130906</v>
      </c>
      <c r="H64" s="8">
        <f t="shared" si="46"/>
        <v>1.5684451718494237</v>
      </c>
      <c r="I64" s="8">
        <f t="shared" si="47"/>
        <v>0.20876005237315828</v>
      </c>
      <c r="J64" s="8">
        <f t="shared" si="48"/>
        <v>194.82815057283099</v>
      </c>
      <c r="K64" s="8">
        <f t="shared" si="49"/>
        <v>3221.1587561374727</v>
      </c>
      <c r="L64" s="8">
        <f t="shared" si="50"/>
        <v>25.931626841243805</v>
      </c>
      <c r="M64" s="8"/>
      <c r="N64" s="8"/>
      <c r="O64" s="8">
        <f t="shared" si="51"/>
        <v>15.815206566927026</v>
      </c>
      <c r="P64" s="18">
        <f t="shared" si="52"/>
        <v>247.89411750483751</v>
      </c>
      <c r="Q64" s="18">
        <f t="shared" si="53"/>
        <v>6.0770598673160352</v>
      </c>
      <c r="R64" s="14"/>
      <c r="S64" s="21" t="s">
        <v>46</v>
      </c>
      <c r="T64" s="22" t="s">
        <v>47</v>
      </c>
      <c r="U64" s="14">
        <f>SQRT(N65*I65)</f>
        <v>0.32395278796776672</v>
      </c>
      <c r="V64" s="14"/>
      <c r="W64" s="14"/>
      <c r="X64" s="14"/>
      <c r="Y64" s="14"/>
      <c r="Z64" s="14"/>
    </row>
    <row r="65" spans="2:26" x14ac:dyDescent="0.35">
      <c r="B65" s="11" t="s">
        <v>25</v>
      </c>
      <c r="C65" s="8">
        <f t="shared" ref="C65:L65" si="54">SUM(C59:C64)</f>
        <v>0.64829999999999999</v>
      </c>
      <c r="D65" s="8">
        <f t="shared" si="54"/>
        <v>76.13333333333334</v>
      </c>
      <c r="E65" s="8">
        <f t="shared" si="54"/>
        <v>76.13333333333334</v>
      </c>
      <c r="F65" s="8">
        <f t="shared" si="54"/>
        <v>1.1600333577256581</v>
      </c>
      <c r="G65" s="8">
        <f t="shared" si="54"/>
        <v>515.64782156723231</v>
      </c>
      <c r="H65" s="8">
        <f t="shared" si="54"/>
        <v>52.885335882087766</v>
      </c>
      <c r="I65" s="8">
        <f t="shared" si="54"/>
        <v>5.5260885907622574</v>
      </c>
      <c r="J65" s="8">
        <f t="shared" si="54"/>
        <v>6160.3255295997351</v>
      </c>
      <c r="K65" s="8">
        <f t="shared" si="54"/>
        <v>75244.603964129143</v>
      </c>
      <c r="L65" s="8">
        <f t="shared" si="54"/>
        <v>644.74434950146986</v>
      </c>
      <c r="M65" s="8">
        <f>(G65*I65)-((H65)^2)</f>
        <v>52.656792252855212</v>
      </c>
      <c r="N65" s="8">
        <f>1/M65</f>
        <v>1.8990902354971632E-2</v>
      </c>
      <c r="O65" s="8">
        <f>SUM(O59:O64)</f>
        <v>75.852456856860272</v>
      </c>
      <c r="P65" s="8">
        <f>SUM(P59:P64)</f>
        <v>1648.6164637916963</v>
      </c>
      <c r="Q65" s="8">
        <f>SUM(Q59:Q64)</f>
        <v>10.05929753258949</v>
      </c>
      <c r="R65" s="14"/>
      <c r="S65" s="21"/>
      <c r="T65" s="22"/>
      <c r="U65" s="14"/>
      <c r="V65" s="14"/>
      <c r="W65" s="14"/>
      <c r="X65" s="14"/>
      <c r="Y65" s="14"/>
      <c r="Z65" s="14"/>
    </row>
    <row r="66" spans="2:26" ht="18.5" x14ac:dyDescent="0.35">
      <c r="B66" s="14" t="s">
        <v>26</v>
      </c>
      <c r="C66" s="14">
        <f>COUNT(C59:C64)</f>
        <v>6</v>
      </c>
      <c r="D66" s="14"/>
      <c r="E66" s="14"/>
      <c r="F66" s="14"/>
      <c r="G66" s="14"/>
      <c r="H66" s="14"/>
      <c r="I66" s="14"/>
      <c r="J66" s="14"/>
      <c r="K66" s="17"/>
      <c r="L66" s="17"/>
      <c r="M66" s="17"/>
      <c r="N66" s="17"/>
      <c r="O66" s="17"/>
      <c r="P66" s="17"/>
      <c r="Q66" s="17"/>
      <c r="R66" s="14"/>
      <c r="S66" s="21" t="s">
        <v>48</v>
      </c>
      <c r="T66" s="22" t="s">
        <v>49</v>
      </c>
      <c r="U66" s="14">
        <f>1-ABS(Q65/P65)</f>
        <v>0.99389833975729336</v>
      </c>
      <c r="V66" s="14"/>
      <c r="W66" s="14"/>
      <c r="X66" s="14"/>
      <c r="Y66" s="14"/>
      <c r="Z66" s="14"/>
    </row>
    <row r="68" spans="2:26" x14ac:dyDescent="0.35">
      <c r="F68">
        <v>440</v>
      </c>
      <c r="G68">
        <f>Y5</f>
        <v>56.961517741147169</v>
      </c>
    </row>
    <row r="69" spans="2:26" x14ac:dyDescent="0.35">
      <c r="F69">
        <v>505</v>
      </c>
      <c r="G69">
        <f>Y18</f>
        <v>82.917332981726474</v>
      </c>
    </row>
    <row r="70" spans="2:26" x14ac:dyDescent="0.35">
      <c r="F70">
        <v>525</v>
      </c>
      <c r="G70">
        <f>Y31</f>
        <v>94.519733154467048</v>
      </c>
    </row>
    <row r="71" spans="2:26" x14ac:dyDescent="0.35">
      <c r="F71">
        <v>580</v>
      </c>
      <c r="G71">
        <f>Y44</f>
        <v>92.029735656328995</v>
      </c>
    </row>
    <row r="72" spans="2:26" x14ac:dyDescent="0.35">
      <c r="F72">
        <v>595</v>
      </c>
      <c r="G72">
        <f>Y57</f>
        <v>67.452917341577844</v>
      </c>
    </row>
  </sheetData>
  <mergeCells count="63">
    <mergeCell ref="P44:P45"/>
    <mergeCell ref="Q44:Q45"/>
    <mergeCell ref="Q57:Q58"/>
    <mergeCell ref="K57:K58"/>
    <mergeCell ref="L57:L58"/>
    <mergeCell ref="M57:M58"/>
    <mergeCell ref="N57:N58"/>
    <mergeCell ref="O57:O58"/>
    <mergeCell ref="P57:P58"/>
    <mergeCell ref="F57:F58"/>
    <mergeCell ref="G57:G58"/>
    <mergeCell ref="H57:H58"/>
    <mergeCell ref="I57:I58"/>
    <mergeCell ref="J57:J58"/>
    <mergeCell ref="O31:O32"/>
    <mergeCell ref="P31:P32"/>
    <mergeCell ref="Q31:Q32"/>
    <mergeCell ref="F44:F45"/>
    <mergeCell ref="G44:G45"/>
    <mergeCell ref="H44:H45"/>
    <mergeCell ref="I44:I45"/>
    <mergeCell ref="J44:J45"/>
    <mergeCell ref="K44:K45"/>
    <mergeCell ref="L44:L45"/>
    <mergeCell ref="L31:L32"/>
    <mergeCell ref="M31:M32"/>
    <mergeCell ref="N31:N32"/>
    <mergeCell ref="M44:M45"/>
    <mergeCell ref="N44:N45"/>
    <mergeCell ref="O44:O45"/>
    <mergeCell ref="E18:E19"/>
    <mergeCell ref="F18:F19"/>
    <mergeCell ref="G18:G19"/>
    <mergeCell ref="H18:H19"/>
    <mergeCell ref="I18:I19"/>
    <mergeCell ref="F31:F32"/>
    <mergeCell ref="G31:G32"/>
    <mergeCell ref="K31:K32"/>
    <mergeCell ref="H31:H32"/>
    <mergeCell ref="I31:I32"/>
    <mergeCell ref="J31:J32"/>
    <mergeCell ref="Q18:Q19"/>
    <mergeCell ref="P4:P5"/>
    <mergeCell ref="Q4:Q5"/>
    <mergeCell ref="J4:J5"/>
    <mergeCell ref="K4:K5"/>
    <mergeCell ref="L4:L5"/>
    <mergeCell ref="M4:M5"/>
    <mergeCell ref="N4:N5"/>
    <mergeCell ref="O4:O5"/>
    <mergeCell ref="L18:L19"/>
    <mergeCell ref="M18:M19"/>
    <mergeCell ref="N18:N19"/>
    <mergeCell ref="O18:O19"/>
    <mergeCell ref="P18:P19"/>
    <mergeCell ref="J18:J19"/>
    <mergeCell ref="K18:K19"/>
    <mergeCell ref="I4:I5"/>
    <mergeCell ref="B4:B5"/>
    <mergeCell ref="E4:E5"/>
    <mergeCell ref="F4:F5"/>
    <mergeCell ref="G4:G5"/>
    <mergeCell ref="H4:H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zoomScale="115" zoomScaleNormal="115" workbookViewId="0">
      <selection activeCell="C24" sqref="C24"/>
    </sheetView>
  </sheetViews>
  <sheetFormatPr defaultRowHeight="15.5" x14ac:dyDescent="0.35"/>
  <cols>
    <col min="2" max="2" width="10.4140625" bestFit="1" customWidth="1"/>
    <col min="3" max="3" width="29.4140625" bestFit="1" customWidth="1"/>
    <col min="4" max="5" width="12.1640625" bestFit="1" customWidth="1"/>
    <col min="8" max="10" width="12.1640625" bestFit="1" customWidth="1"/>
  </cols>
  <sheetData>
    <row r="2" spans="2:11" ht="17.5" x14ac:dyDescent="0.35">
      <c r="B2" s="4" t="s">
        <v>63</v>
      </c>
      <c r="C2" s="4" t="s">
        <v>65</v>
      </c>
      <c r="D2" s="4" t="s">
        <v>66</v>
      </c>
      <c r="E2" s="8" t="s">
        <v>67</v>
      </c>
      <c r="F2" s="8" t="s">
        <v>68</v>
      </c>
      <c r="G2" s="8" t="s">
        <v>69</v>
      </c>
      <c r="H2" s="8" t="s">
        <v>70</v>
      </c>
      <c r="I2" s="8" t="s">
        <v>71</v>
      </c>
      <c r="J2" s="8" t="s">
        <v>72</v>
      </c>
      <c r="K2" s="8" t="s">
        <v>73</v>
      </c>
    </row>
    <row r="3" spans="2:11" x14ac:dyDescent="0.35">
      <c r="B3" s="4" t="s">
        <v>64</v>
      </c>
      <c r="C3" s="23">
        <f>0.00000157116</f>
        <v>1.57116E-6</v>
      </c>
      <c r="D3" s="4">
        <f>6.343E-19</f>
        <v>6.3429999999999997E-19</v>
      </c>
      <c r="E3" s="4">
        <v>156.4</v>
      </c>
      <c r="F3" s="23">
        <v>1.72448482</v>
      </c>
      <c r="G3" s="23">
        <v>0.39010488900000001</v>
      </c>
      <c r="H3" s="4">
        <v>1.04572858</v>
      </c>
      <c r="I3" s="4">
        <v>1.34871947E-2</v>
      </c>
      <c r="J3" s="23">
        <v>5.69318095E-2</v>
      </c>
      <c r="K3" s="4">
        <v>118.557185</v>
      </c>
    </row>
    <row r="5" spans="2:11" x14ac:dyDescent="0.35">
      <c r="B5" s="1" t="s">
        <v>74</v>
      </c>
      <c r="C5" s="1">
        <f>SQRT(1+(($F$3*((0.44)^2))/(((0.44)^2)-$I$3))+(($G$3*((0.44)^2))/(((0.44)^2)-$J$3))+(($H$3*((0.44)^2))/(((0.44)^2)-$K$3)))</f>
        <v>1.8451335603123045</v>
      </c>
    </row>
    <row r="6" spans="2:11" x14ac:dyDescent="0.35">
      <c r="B6" s="1" t="s">
        <v>75</v>
      </c>
      <c r="C6" s="1">
        <f>SQRT(1+(($F$3*((0.505)^2))/(((0.505)^2)-$I$3))+(($G$3*((0.505)^2))/(((0.505)^2)-$J$3))+(($H$3*((0.505)^2))/(((0.505)^2)-$K$3)))</f>
        <v>1.822290999160181</v>
      </c>
    </row>
    <row r="7" spans="2:11" x14ac:dyDescent="0.35">
      <c r="B7" s="1" t="s">
        <v>76</v>
      </c>
      <c r="C7" s="1">
        <f>SQRT(1+(($F$3*((0.525)^2))/(((0.525)^2)-$I$3))+(($G$3*((0.525)^2))/(((0.525)^2)-$J$3))+(($H$3*((0.525)^2))/(((0.525)^2)-$K$3)))</f>
        <v>1.8172600119086726</v>
      </c>
    </row>
    <row r="8" spans="2:11" x14ac:dyDescent="0.35">
      <c r="B8" s="1" t="s">
        <v>77</v>
      </c>
      <c r="C8" s="1">
        <f>SQRT(1+(($F$3*((0.58)^2))/(((0.58)^2)-$I$3))+(($G$3*((0.58)^2))/(((0.58)^2)-$J$3))+(($H$3*((0.58)^2))/(((0.58)^2)-$K$3)))</f>
        <v>1.8064083910727318</v>
      </c>
    </row>
    <row r="9" spans="2:11" x14ac:dyDescent="0.35">
      <c r="B9" s="1" t="s">
        <v>78</v>
      </c>
      <c r="C9" s="1">
        <f>SQRT(1+(($F$3*((0.595)^2))/(((0.595)^2)-$I$3))+(($G$3*((0.595)^2))/(((0.595)^2)-$J$3))+(($H$3*((0.595)^2))/(((0.595)^2)-$K$3)))</f>
        <v>1.804026744283594</v>
      </c>
    </row>
    <row r="10" spans="2:11" x14ac:dyDescent="0.35">
      <c r="B10" s="4" t="s">
        <v>80</v>
      </c>
      <c r="C10" s="10" t="s">
        <v>82</v>
      </c>
    </row>
    <row r="11" spans="2:11" x14ac:dyDescent="0.35">
      <c r="B11" s="4">
        <f>440</f>
        <v>440</v>
      </c>
      <c r="C11" s="7">
        <f>(PI()/0.00000044)*((((C5)^2)-1)/C5)*($C$3+($D$3/(((0.00000044)^2)-((0.0000001564)^2))))</f>
        <v>49.512802949396196</v>
      </c>
      <c r="D11" s="1">
        <f>(ABS(33.9757-49.51280295)/49.51280295)*100</f>
        <v>31.379970480948096</v>
      </c>
    </row>
    <row r="12" spans="2:11" x14ac:dyDescent="0.35">
      <c r="B12" s="4">
        <f>505</f>
        <v>505</v>
      </c>
      <c r="C12" s="7">
        <f>(PI()/0.000000505)*((((C6)^2)-1)/C6)*($C$3+($D$3/(((0.000000505)^2)-((0.0000001564)^2))))</f>
        <v>34.243403078964199</v>
      </c>
      <c r="D12" s="1">
        <f>(ABS(62.25007665-34.24340308)/34.24340308)*100</f>
        <v>81.787062765258312</v>
      </c>
    </row>
    <row r="13" spans="2:11" x14ac:dyDescent="0.35">
      <c r="B13" s="4">
        <f>525</f>
        <v>525</v>
      </c>
      <c r="C13" s="7">
        <f>(PI()/0.000000525)*((((C7)^2)-1)/C7)*($C$3+($D$3/(((0.000000525)^2)-((0.0000001564)^2))))</f>
        <v>31.058777776784037</v>
      </c>
      <c r="D13" s="1">
        <f>(ABS(C13-C19)/C13)*100</f>
        <v>66.335411619605111</v>
      </c>
    </row>
    <row r="14" spans="2:11" x14ac:dyDescent="0.35">
      <c r="B14" s="4">
        <f>580</f>
        <v>580</v>
      </c>
      <c r="C14" s="7">
        <f>(PI()/0.00000058)*((((C8)^2)-1)/C8)*($C$3+($D$3/(((0.00000058)^2)-((0.0000001564)^2))))</f>
        <v>24.460499623682001</v>
      </c>
      <c r="D14" s="1">
        <f>(ABS(C14-C20)/C14)*100</f>
        <v>77.193204382585961</v>
      </c>
    </row>
    <row r="15" spans="2:11" x14ac:dyDescent="0.35">
      <c r="B15" s="4">
        <f>595</f>
        <v>595</v>
      </c>
      <c r="C15" s="7">
        <f>(PI()/0.000000595)*((((C9)^2)-1)/C9)*($C$3+($D$3/(((0.000000595)^2)-((0.0000001564)^2))))</f>
        <v>23.067053614456988</v>
      </c>
      <c r="D15" s="1">
        <f>(ABS(C15-C21)/C15)*100</f>
        <v>71.755676656686589</v>
      </c>
    </row>
    <row r="17" spans="2:3" x14ac:dyDescent="0.35">
      <c r="C17">
        <f>Sheet1!D57</f>
        <v>33.975742772156281</v>
      </c>
    </row>
    <row r="18" spans="2:3" x14ac:dyDescent="0.35">
      <c r="C18">
        <f>Sheet1!D58</f>
        <v>62.250076654464429</v>
      </c>
    </row>
    <row r="19" spans="2:3" x14ac:dyDescent="0.35">
      <c r="C19">
        <f>Sheet1!D59</f>
        <v>51.661745859032166</v>
      </c>
    </row>
    <row r="20" spans="2:3" x14ac:dyDescent="0.35">
      <c r="C20">
        <f>Sheet1!D60</f>
        <v>43.342343091192518</v>
      </c>
    </row>
    <row r="21" spans="2:3" x14ac:dyDescent="0.35">
      <c r="C21">
        <f>Sheet1!D61</f>
        <v>39.618974020271281</v>
      </c>
    </row>
    <row r="23" spans="2:3" x14ac:dyDescent="0.35">
      <c r="B23">
        <f>0.2/(SQRT(6))</f>
        <v>8.1649658092772609E-2</v>
      </c>
      <c r="C23">
        <f>2*B23</f>
        <v>0.16329931618554522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Shairil Danil</dc:creator>
  <cp:lastModifiedBy>Shairil Danil</cp:lastModifiedBy>
  <dcterms:created xsi:type="dcterms:W3CDTF">2021-02-01T07:55:46Z</dcterms:created>
  <dcterms:modified xsi:type="dcterms:W3CDTF">2021-02-23T08:04:54Z</dcterms:modified>
</cp:coreProperties>
</file>