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8610" windowHeight="634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64" i="3" l="1"/>
  <c r="M65" i="3"/>
  <c r="M66" i="3"/>
  <c r="M67" i="3"/>
  <c r="M63" i="3"/>
  <c r="N64" i="3"/>
  <c r="N65" i="3"/>
  <c r="N66" i="3"/>
  <c r="N67" i="3"/>
  <c r="N63" i="3"/>
  <c r="D64" i="3"/>
  <c r="E64" i="3" s="1"/>
  <c r="D65" i="3"/>
  <c r="E65" i="3" s="1"/>
  <c r="D66" i="3"/>
  <c r="D67" i="3"/>
  <c r="E67" i="3" s="1"/>
  <c r="G67" i="3" s="1"/>
  <c r="D63" i="3"/>
  <c r="C67" i="3"/>
  <c r="C66" i="3"/>
  <c r="C65" i="3"/>
  <c r="C64" i="3"/>
  <c r="C63" i="3"/>
  <c r="B64" i="3"/>
  <c r="B65" i="3"/>
  <c r="B66" i="3"/>
  <c r="B67" i="3"/>
  <c r="B63" i="3"/>
  <c r="M52" i="3"/>
  <c r="M53" i="3"/>
  <c r="M54" i="3"/>
  <c r="M55" i="3"/>
  <c r="M51" i="3"/>
  <c r="N52" i="3"/>
  <c r="N53" i="3"/>
  <c r="N54" i="3"/>
  <c r="N55" i="3"/>
  <c r="N51" i="3"/>
  <c r="D52" i="3"/>
  <c r="E52" i="3" s="1"/>
  <c r="D53" i="3"/>
  <c r="D54" i="3"/>
  <c r="E54" i="3" s="1"/>
  <c r="D55" i="3"/>
  <c r="D51" i="3"/>
  <c r="E51" i="3" s="1"/>
  <c r="C55" i="3"/>
  <c r="C54" i="3"/>
  <c r="C53" i="3"/>
  <c r="C52" i="3"/>
  <c r="C51" i="3"/>
  <c r="B52" i="3"/>
  <c r="B53" i="3"/>
  <c r="B54" i="3"/>
  <c r="B55" i="3"/>
  <c r="B51" i="3"/>
  <c r="M40" i="3"/>
  <c r="M41" i="3"/>
  <c r="M42" i="3"/>
  <c r="M43" i="3"/>
  <c r="M39" i="3"/>
  <c r="N40" i="3"/>
  <c r="N41" i="3"/>
  <c r="N42" i="3"/>
  <c r="N43" i="3"/>
  <c r="N39" i="3"/>
  <c r="D40" i="3"/>
  <c r="E40" i="3" s="1"/>
  <c r="F40" i="3" s="1"/>
  <c r="D41" i="3"/>
  <c r="E41" i="3" s="1"/>
  <c r="D42" i="3"/>
  <c r="D44" i="3" s="1"/>
  <c r="D43" i="3"/>
  <c r="D39" i="3"/>
  <c r="H32" i="2"/>
  <c r="K32" i="2" s="1"/>
  <c r="H31" i="2"/>
  <c r="K31" i="2" s="1"/>
  <c r="H30" i="2"/>
  <c r="K30" i="2" s="1"/>
  <c r="H29" i="2"/>
  <c r="K29" i="2" s="1"/>
  <c r="H28" i="2"/>
  <c r="K28" i="2" s="1"/>
  <c r="H27" i="2"/>
  <c r="K27" i="2" s="1"/>
  <c r="H26" i="2"/>
  <c r="K26" i="2" s="1"/>
  <c r="H25" i="2"/>
  <c r="K25" i="2" s="1"/>
  <c r="H24" i="2"/>
  <c r="K24" i="2" s="1"/>
  <c r="H23" i="2"/>
  <c r="K23" i="2" s="1"/>
  <c r="H22" i="2"/>
  <c r="K22" i="2" s="1"/>
  <c r="H21" i="2"/>
  <c r="K21" i="2" s="1"/>
  <c r="H20" i="2"/>
  <c r="K20" i="2" s="1"/>
  <c r="H19" i="2"/>
  <c r="K19" i="2" s="1"/>
  <c r="I28" i="2"/>
  <c r="I29" i="2"/>
  <c r="I30" i="2"/>
  <c r="I31" i="2"/>
  <c r="I32" i="2"/>
  <c r="I19" i="2"/>
  <c r="I20" i="2"/>
  <c r="I21" i="2"/>
  <c r="I22" i="2"/>
  <c r="I23" i="2"/>
  <c r="I24" i="2"/>
  <c r="I25" i="2"/>
  <c r="I26" i="2"/>
  <c r="I27" i="2"/>
  <c r="K18" i="2"/>
  <c r="H18" i="2"/>
  <c r="I18" i="2"/>
  <c r="C43" i="3"/>
  <c r="C42" i="3"/>
  <c r="C41" i="3"/>
  <c r="C40" i="3"/>
  <c r="C39" i="3"/>
  <c r="B43" i="3"/>
  <c r="B42" i="3"/>
  <c r="G42" i="3" s="1"/>
  <c r="B41" i="3"/>
  <c r="B40" i="3"/>
  <c r="B39" i="3"/>
  <c r="E66" i="3"/>
  <c r="F66" i="3" s="1"/>
  <c r="E55" i="3"/>
  <c r="E53" i="3"/>
  <c r="E43" i="3"/>
  <c r="E42" i="3"/>
  <c r="B3" i="3"/>
  <c r="B4" i="3"/>
  <c r="B5" i="3"/>
  <c r="B6" i="3"/>
  <c r="B7" i="3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3" i="1"/>
  <c r="D28" i="3"/>
  <c r="D32" i="3" s="1"/>
  <c r="D29" i="3"/>
  <c r="E29" i="3" s="1"/>
  <c r="D27" i="3"/>
  <c r="C28" i="3"/>
  <c r="C29" i="3"/>
  <c r="C30" i="3"/>
  <c r="C31" i="3"/>
  <c r="C27" i="3"/>
  <c r="E31" i="3"/>
  <c r="E30" i="3"/>
  <c r="E28" i="3"/>
  <c r="N16" i="3"/>
  <c r="N17" i="3"/>
  <c r="N18" i="3"/>
  <c r="N19" i="3"/>
  <c r="N15" i="3"/>
  <c r="N4" i="3"/>
  <c r="N5" i="3"/>
  <c r="N6" i="3"/>
  <c r="N7" i="3"/>
  <c r="N3" i="3"/>
  <c r="D16" i="3"/>
  <c r="E16" i="3" s="1"/>
  <c r="D17" i="3"/>
  <c r="E17" i="3" s="1"/>
  <c r="D15" i="3"/>
  <c r="D20" i="3" s="1"/>
  <c r="C18" i="3"/>
  <c r="C19" i="3"/>
  <c r="C15" i="3"/>
  <c r="C16" i="3"/>
  <c r="C17" i="3"/>
  <c r="E19" i="3"/>
  <c r="E18" i="3"/>
  <c r="T2" i="3"/>
  <c r="I4" i="3"/>
  <c r="I5" i="3"/>
  <c r="I6" i="3"/>
  <c r="I7" i="3"/>
  <c r="I3" i="3"/>
  <c r="H4" i="3"/>
  <c r="H5" i="3"/>
  <c r="H6" i="3"/>
  <c r="H7" i="3"/>
  <c r="H3" i="3"/>
  <c r="E8" i="3"/>
  <c r="D8" i="3"/>
  <c r="D4" i="3"/>
  <c r="D5" i="3"/>
  <c r="D3" i="3"/>
  <c r="E33" i="1"/>
  <c r="E34" i="1"/>
  <c r="E35" i="1"/>
  <c r="E36" i="1"/>
  <c r="E37" i="1"/>
  <c r="E38" i="1"/>
  <c r="E39" i="1"/>
  <c r="E40" i="1"/>
  <c r="E32" i="1"/>
  <c r="D33" i="1"/>
  <c r="D34" i="1"/>
  <c r="D35" i="1"/>
  <c r="D36" i="1"/>
  <c r="D37" i="1"/>
  <c r="D38" i="1"/>
  <c r="D39" i="1"/>
  <c r="D40" i="1"/>
  <c r="D32" i="1"/>
  <c r="C40" i="1"/>
  <c r="C39" i="1"/>
  <c r="C38" i="1"/>
  <c r="C37" i="1"/>
  <c r="C36" i="1"/>
  <c r="C35" i="1"/>
  <c r="C34" i="1"/>
  <c r="C33" i="1"/>
  <c r="C32" i="1"/>
  <c r="B40" i="1"/>
  <c r="B39" i="1"/>
  <c r="B38" i="1"/>
  <c r="B37" i="1"/>
  <c r="B36" i="1"/>
  <c r="B35" i="1"/>
  <c r="B34" i="1"/>
  <c r="B33" i="1"/>
  <c r="B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7" i="3"/>
  <c r="E6" i="3"/>
  <c r="E5" i="3"/>
  <c r="E4" i="3"/>
  <c r="D68" i="3" l="1"/>
  <c r="G66" i="3"/>
  <c r="J66" i="3"/>
  <c r="C68" i="3"/>
  <c r="D56" i="3"/>
  <c r="O55" i="3"/>
  <c r="J52" i="3"/>
  <c r="I54" i="3"/>
  <c r="F55" i="3"/>
  <c r="B56" i="3"/>
  <c r="F51" i="3"/>
  <c r="N56" i="3"/>
  <c r="I52" i="3"/>
  <c r="G52" i="3"/>
  <c r="J54" i="3"/>
  <c r="H54" i="3"/>
  <c r="H42" i="3"/>
  <c r="G41" i="3"/>
  <c r="F42" i="3"/>
  <c r="I64" i="3"/>
  <c r="H64" i="3"/>
  <c r="G65" i="3"/>
  <c r="F65" i="3"/>
  <c r="G64" i="3"/>
  <c r="E63" i="3"/>
  <c r="O63" i="3" s="1"/>
  <c r="I66" i="3"/>
  <c r="O67" i="3"/>
  <c r="J64" i="3"/>
  <c r="O65" i="3"/>
  <c r="F67" i="3"/>
  <c r="B68" i="3"/>
  <c r="O64" i="3"/>
  <c r="O66" i="3"/>
  <c r="H67" i="3"/>
  <c r="H65" i="3"/>
  <c r="I67" i="3"/>
  <c r="F64" i="3"/>
  <c r="I65" i="3"/>
  <c r="J67" i="3"/>
  <c r="J65" i="3"/>
  <c r="H66" i="3"/>
  <c r="O53" i="3"/>
  <c r="H53" i="3"/>
  <c r="I53" i="3"/>
  <c r="G53" i="3"/>
  <c r="F53" i="3"/>
  <c r="G51" i="3"/>
  <c r="G56" i="3" s="1"/>
  <c r="O54" i="3"/>
  <c r="G55" i="3"/>
  <c r="C56" i="3"/>
  <c r="H51" i="3"/>
  <c r="H56" i="3" s="1"/>
  <c r="H55" i="3"/>
  <c r="J51" i="3"/>
  <c r="J56" i="3" s="1"/>
  <c r="F52" i="3"/>
  <c r="F54" i="3"/>
  <c r="J55" i="3"/>
  <c r="I55" i="3"/>
  <c r="J53" i="3"/>
  <c r="G54" i="3"/>
  <c r="I51" i="3"/>
  <c r="O52" i="3"/>
  <c r="E56" i="3"/>
  <c r="H52" i="3"/>
  <c r="O42" i="3"/>
  <c r="J41" i="3"/>
  <c r="M44" i="3"/>
  <c r="H40" i="3"/>
  <c r="G40" i="3"/>
  <c r="I40" i="3"/>
  <c r="E39" i="3"/>
  <c r="J39" i="3" s="1"/>
  <c r="I42" i="3"/>
  <c r="O43" i="3"/>
  <c r="J40" i="3"/>
  <c r="O41" i="3"/>
  <c r="J42" i="3"/>
  <c r="F43" i="3"/>
  <c r="B44" i="3"/>
  <c r="O40" i="3"/>
  <c r="F41" i="3"/>
  <c r="G43" i="3"/>
  <c r="C44" i="3"/>
  <c r="H43" i="3"/>
  <c r="H41" i="3"/>
  <c r="I43" i="3"/>
  <c r="I41" i="3"/>
  <c r="J43" i="3"/>
  <c r="C32" i="3"/>
  <c r="H30" i="3"/>
  <c r="I28" i="3"/>
  <c r="H28" i="3"/>
  <c r="E27" i="3"/>
  <c r="I30" i="3"/>
  <c r="H31" i="3"/>
  <c r="H29" i="3"/>
  <c r="I31" i="3"/>
  <c r="I29" i="3"/>
  <c r="H18" i="3"/>
  <c r="H16" i="3"/>
  <c r="I16" i="3"/>
  <c r="E15" i="3"/>
  <c r="I18" i="3"/>
  <c r="C20" i="3"/>
  <c r="H17" i="3"/>
  <c r="H19" i="3"/>
  <c r="I19" i="3"/>
  <c r="I17" i="3"/>
  <c r="N8" i="3"/>
  <c r="I8" i="3"/>
  <c r="H8" i="3"/>
  <c r="E3" i="3"/>
  <c r="O68" i="3" l="1"/>
  <c r="M68" i="3"/>
  <c r="I56" i="3"/>
  <c r="F56" i="3"/>
  <c r="K56" i="3"/>
  <c r="L56" i="3" s="1"/>
  <c r="T54" i="3" s="1"/>
  <c r="J44" i="3"/>
  <c r="N44" i="3"/>
  <c r="O39" i="3"/>
  <c r="O44" i="3" s="1"/>
  <c r="N68" i="3"/>
  <c r="T72" i="3" s="1"/>
  <c r="E68" i="3"/>
  <c r="I63" i="3"/>
  <c r="I68" i="3" s="1"/>
  <c r="H63" i="3"/>
  <c r="H68" i="3" s="1"/>
  <c r="F63" i="3"/>
  <c r="F68" i="3" s="1"/>
  <c r="J63" i="3"/>
  <c r="J68" i="3" s="1"/>
  <c r="G63" i="3"/>
  <c r="G68" i="3" s="1"/>
  <c r="O51" i="3"/>
  <c r="O56" i="3" s="1"/>
  <c r="T60" i="3" s="1"/>
  <c r="M56" i="3"/>
  <c r="T50" i="3"/>
  <c r="G39" i="3"/>
  <c r="G44" i="3" s="1"/>
  <c r="H39" i="3"/>
  <c r="H44" i="3" s="1"/>
  <c r="I39" i="3"/>
  <c r="I44" i="3" s="1"/>
  <c r="E44" i="3"/>
  <c r="F39" i="3"/>
  <c r="F44" i="3" s="1"/>
  <c r="E32" i="3"/>
  <c r="I27" i="3"/>
  <c r="I32" i="3" s="1"/>
  <c r="H27" i="3"/>
  <c r="H32" i="3" s="1"/>
  <c r="E20" i="3"/>
  <c r="I15" i="3"/>
  <c r="I20" i="3" s="1"/>
  <c r="H15" i="3"/>
  <c r="H20" i="3" s="1"/>
  <c r="T52" i="3" l="1"/>
  <c r="T58" i="3"/>
  <c r="T56" i="3"/>
  <c r="T48" i="3"/>
  <c r="K44" i="3"/>
  <c r="L44" i="3" s="1"/>
  <c r="T42" i="3" s="1"/>
  <c r="K68" i="3"/>
  <c r="L68" i="3" s="1"/>
  <c r="T62" i="3"/>
  <c r="T38" i="3"/>
  <c r="T26" i="3"/>
  <c r="T14" i="3"/>
  <c r="T44" i="3" l="1"/>
  <c r="T46" i="3"/>
  <c r="T40" i="3"/>
  <c r="T68" i="3"/>
  <c r="T66" i="3"/>
  <c r="T64" i="3"/>
  <c r="T70" i="3"/>
  <c r="N31" i="3"/>
  <c r="N30" i="3"/>
  <c r="N27" i="3"/>
  <c r="N28" i="3"/>
  <c r="N29" i="3"/>
  <c r="N32" i="3" l="1"/>
  <c r="R24" i="1" l="1"/>
  <c r="R25" i="1"/>
  <c r="R26" i="1"/>
  <c r="R27" i="1"/>
  <c r="R28" i="1"/>
  <c r="B15" i="3" s="1"/>
  <c r="R29" i="1"/>
  <c r="B16" i="3" s="1"/>
  <c r="R30" i="1"/>
  <c r="B17" i="3" s="1"/>
  <c r="R31" i="1"/>
  <c r="B18" i="3" s="1"/>
  <c r="R32" i="1"/>
  <c r="B19" i="3" s="1"/>
  <c r="R33" i="1"/>
  <c r="B27" i="3" s="1"/>
  <c r="R34" i="1"/>
  <c r="B28" i="3" s="1"/>
  <c r="R35" i="1"/>
  <c r="B29" i="3" s="1"/>
  <c r="R36" i="1"/>
  <c r="B30" i="3" s="1"/>
  <c r="R37" i="1"/>
  <c r="B31" i="3" s="1"/>
  <c r="R23" i="1"/>
  <c r="Q24" i="1"/>
  <c r="S24" i="1" s="1"/>
  <c r="C4" i="3" s="1"/>
  <c r="Q25" i="1"/>
  <c r="S25" i="1" s="1"/>
  <c r="C5" i="3" s="1"/>
  <c r="Q26" i="1"/>
  <c r="S26" i="1" s="1"/>
  <c r="C6" i="3" s="1"/>
  <c r="Q27" i="1"/>
  <c r="S27" i="1" s="1"/>
  <c r="C7" i="3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23" i="1"/>
  <c r="S23" i="1" s="1"/>
  <c r="C3" i="3" s="1"/>
  <c r="R15" i="1"/>
  <c r="R16" i="1"/>
  <c r="R17" i="1"/>
  <c r="R18" i="1"/>
  <c r="R14" i="1"/>
  <c r="R10" i="1"/>
  <c r="R11" i="1"/>
  <c r="R12" i="1"/>
  <c r="R13" i="1"/>
  <c r="R9" i="1"/>
  <c r="R4" i="1"/>
  <c r="R5" i="1"/>
  <c r="R6" i="1"/>
  <c r="R8" i="1"/>
  <c r="R7" i="1"/>
  <c r="Q4" i="1"/>
  <c r="Q5" i="1"/>
  <c r="Q6" i="1"/>
  <c r="P4" i="1"/>
  <c r="P5" i="1"/>
  <c r="P6" i="1"/>
  <c r="F6" i="3" l="1"/>
  <c r="G6" i="3"/>
  <c r="G27" i="3"/>
  <c r="G32" i="3" s="1"/>
  <c r="J27" i="3"/>
  <c r="J32" i="3" s="1"/>
  <c r="B32" i="3"/>
  <c r="F27" i="3"/>
  <c r="F5" i="3"/>
  <c r="G5" i="3"/>
  <c r="J19" i="3"/>
  <c r="F19" i="3"/>
  <c r="G19" i="3"/>
  <c r="F4" i="3"/>
  <c r="G4" i="3"/>
  <c r="F18" i="3"/>
  <c r="G18" i="3"/>
  <c r="J18" i="3"/>
  <c r="G28" i="3"/>
  <c r="J28" i="3"/>
  <c r="F28" i="3"/>
  <c r="G3" i="3"/>
  <c r="F3" i="3"/>
  <c r="F17" i="3"/>
  <c r="J17" i="3"/>
  <c r="G17" i="3"/>
  <c r="G31" i="3"/>
  <c r="J31" i="3"/>
  <c r="F31" i="3"/>
  <c r="F16" i="3"/>
  <c r="G16" i="3"/>
  <c r="J16" i="3"/>
  <c r="F30" i="3"/>
  <c r="G30" i="3"/>
  <c r="J30" i="3"/>
  <c r="B20" i="3"/>
  <c r="G15" i="3"/>
  <c r="G20" i="3" s="1"/>
  <c r="F15" i="3"/>
  <c r="F20" i="3" s="1"/>
  <c r="J15" i="3"/>
  <c r="G29" i="3"/>
  <c r="F29" i="3"/>
  <c r="J29" i="3"/>
  <c r="F7" i="3"/>
  <c r="G7" i="3"/>
  <c r="J6" i="3"/>
  <c r="J3" i="3"/>
  <c r="J4" i="3"/>
  <c r="C8" i="3"/>
  <c r="E47" i="2"/>
  <c r="E46" i="2"/>
  <c r="E45" i="2"/>
  <c r="E44" i="2"/>
  <c r="E43" i="2"/>
  <c r="E42" i="2"/>
  <c r="E41" i="2"/>
  <c r="F39" i="2" s="1"/>
  <c r="E40" i="2"/>
  <c r="E39" i="2"/>
  <c r="E38" i="2"/>
  <c r="E37" i="2"/>
  <c r="E36" i="2"/>
  <c r="F36" i="2" s="1"/>
  <c r="E35" i="2"/>
  <c r="E34" i="2"/>
  <c r="E33" i="2"/>
  <c r="E32" i="2"/>
  <c r="E31" i="2"/>
  <c r="E30" i="2"/>
  <c r="F30" i="2" s="1"/>
  <c r="E29" i="2"/>
  <c r="E28" i="2"/>
  <c r="E27" i="2"/>
  <c r="F27" i="2" s="1"/>
  <c r="E26" i="2"/>
  <c r="E25" i="2"/>
  <c r="E24" i="2"/>
  <c r="E23" i="2"/>
  <c r="E22" i="2"/>
  <c r="E21" i="2"/>
  <c r="E20" i="2"/>
  <c r="E19" i="2"/>
  <c r="E18" i="2"/>
  <c r="E17" i="2"/>
  <c r="E16" i="2"/>
  <c r="F15" i="2" s="1"/>
  <c r="E15" i="2"/>
  <c r="E14" i="2"/>
  <c r="F12" i="2" s="1"/>
  <c r="E13" i="2"/>
  <c r="E12" i="2"/>
  <c r="E4" i="2"/>
  <c r="E5" i="2"/>
  <c r="E6" i="2"/>
  <c r="E7" i="2"/>
  <c r="E8" i="2"/>
  <c r="E9" i="2"/>
  <c r="E10" i="2"/>
  <c r="E11" i="2"/>
  <c r="E3" i="2"/>
  <c r="F9" i="2"/>
  <c r="F6" i="2"/>
  <c r="G8" i="3" l="1"/>
  <c r="F32" i="3"/>
  <c r="J20" i="3"/>
  <c r="K20" i="3"/>
  <c r="L20" i="3" s="1"/>
  <c r="F8" i="3"/>
  <c r="K32" i="3"/>
  <c r="L32" i="3" s="1"/>
  <c r="J7" i="3"/>
  <c r="B8" i="3"/>
  <c r="J5" i="3"/>
  <c r="J8" i="3" s="1"/>
  <c r="F45" i="2"/>
  <c r="F42" i="2"/>
  <c r="F33" i="2"/>
  <c r="F24" i="2"/>
  <c r="F18" i="2"/>
  <c r="F21" i="2"/>
  <c r="F3" i="2"/>
  <c r="Q16" i="1"/>
  <c r="Q15" i="1"/>
  <c r="Q14" i="1"/>
  <c r="Q11" i="1"/>
  <c r="Q10" i="1"/>
  <c r="Q9" i="1"/>
  <c r="P11" i="1"/>
  <c r="P10" i="1"/>
  <c r="P9" i="1"/>
  <c r="T30" i="3" l="1"/>
  <c r="T28" i="3"/>
  <c r="T34" i="3"/>
  <c r="T32" i="3"/>
  <c r="T20" i="3"/>
  <c r="T18" i="3"/>
  <c r="T16" i="3"/>
  <c r="T22" i="3"/>
  <c r="K8" i="3"/>
  <c r="L8" i="3" s="1"/>
  <c r="M29" i="3" l="1"/>
  <c r="O29" i="3" s="1"/>
  <c r="M28" i="3"/>
  <c r="O28" i="3" s="1"/>
  <c r="M27" i="3"/>
  <c r="M30" i="3"/>
  <c r="O30" i="3" s="1"/>
  <c r="M31" i="3"/>
  <c r="O31" i="3" s="1"/>
  <c r="T8" i="3"/>
  <c r="T10" i="3"/>
  <c r="T6" i="3"/>
  <c r="T4" i="3"/>
  <c r="N20" i="3"/>
  <c r="M16" i="3"/>
  <c r="O16" i="3" s="1"/>
  <c r="M17" i="3"/>
  <c r="O17" i="3" s="1"/>
  <c r="M18" i="3"/>
  <c r="O18" i="3" s="1"/>
  <c r="M19" i="3"/>
  <c r="O19" i="3" s="1"/>
  <c r="M15" i="3"/>
  <c r="O15" i="3" l="1"/>
  <c r="O20" i="3" s="1"/>
  <c r="T24" i="3" s="1"/>
  <c r="M20" i="3"/>
  <c r="M32" i="3"/>
  <c r="O27" i="3"/>
  <c r="O32" i="3" s="1"/>
  <c r="T36" i="3" s="1"/>
  <c r="M4" i="3"/>
  <c r="O4" i="3" s="1"/>
  <c r="M5" i="3"/>
  <c r="O5" i="3" s="1"/>
  <c r="M7" i="3"/>
  <c r="O7" i="3" s="1"/>
  <c r="M3" i="3"/>
  <c r="M6" i="3"/>
  <c r="O6" i="3" s="1"/>
  <c r="O3" i="3" l="1"/>
  <c r="O8" i="3" s="1"/>
  <c r="T12" i="3" s="1"/>
  <c r="M8" i="3"/>
</calcChain>
</file>

<file path=xl/sharedStrings.xml><?xml version="1.0" encoding="utf-8"?>
<sst xmlns="http://schemas.openxmlformats.org/spreadsheetml/2006/main" count="193" uniqueCount="51">
  <si>
    <t>Mass Combination (kg)</t>
  </si>
  <si>
    <t>Stroboscope Frequency (Hz)</t>
  </si>
  <si>
    <t>Time (s)</t>
  </si>
  <si>
    <r>
      <t>m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2"/>
      </rPr>
      <t xml:space="preserve"> + 0</t>
    </r>
  </si>
  <si>
    <r>
      <t>m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+ 0</t>
    </r>
  </si>
  <si>
    <t>Frequency (Hz)</t>
  </si>
  <si>
    <r>
      <t>m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2"/>
      </rPr>
      <t xml:space="preserve"> + m</t>
    </r>
    <r>
      <rPr>
        <vertAlign val="subscript"/>
        <sz val="12"/>
        <color theme="1"/>
        <rFont val="Times New Roman"/>
        <family val="1"/>
      </rPr>
      <t>2</t>
    </r>
  </si>
  <si>
    <t>Counts</t>
  </si>
  <si>
    <t>Average Frequency (Hz)</t>
  </si>
  <si>
    <r>
      <t>m</t>
    </r>
    <r>
      <rPr>
        <vertAlign val="subscript"/>
        <sz val="12"/>
        <color theme="1"/>
        <rFont val="Times New Roman"/>
        <family val="1"/>
      </rPr>
      <t>1</t>
    </r>
  </si>
  <si>
    <r>
      <t>m</t>
    </r>
    <r>
      <rPr>
        <vertAlign val="subscript"/>
        <sz val="12"/>
        <color theme="1"/>
        <rFont val="Times New Roman"/>
        <family val="1"/>
      </rPr>
      <t>2</t>
    </r>
  </si>
  <si>
    <r>
      <t>Inverse Stroboscope Frequency (Hz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2"/>
      </rPr>
      <t>)</t>
    </r>
  </si>
  <si>
    <r>
      <t>ln[Inverse Stroboscope Frequency (Hz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2"/>
      </rPr>
      <t>)]</t>
    </r>
  </si>
  <si>
    <t>ln[Frequency (Hz)]</t>
  </si>
  <si>
    <t>Theoretical Frequency (Hz)</t>
  </si>
  <si>
    <t>σ</t>
  </si>
  <si>
    <r>
      <t>1/σ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</si>
  <si>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</si>
  <si>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</si>
  <si>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</si>
  <si>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y</t>
    </r>
    <r>
      <rPr>
        <vertAlign val="subscript"/>
        <sz val="12"/>
        <color theme="1"/>
        <rFont val="Times New Roman"/>
        <family val="2"/>
      </rPr>
      <t>i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</si>
  <si>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</si>
  <si>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t>Δ</t>
  </si>
  <si>
    <t>1/Δ</t>
  </si>
  <si>
    <t>ŷ</t>
  </si>
  <si>
    <r>
      <t>(y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-ȳ)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</si>
  <si>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(y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-ŷ)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</si>
  <si>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t>ln(pr)</t>
  </si>
  <si>
    <t>ln(z)</t>
  </si>
  <si>
    <r>
      <t>Inverse Period (s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2"/>
      </rPr>
      <t>)</t>
    </r>
  </si>
  <si>
    <t>STDEV</t>
  </si>
  <si>
    <t>Resolution</t>
  </si>
  <si>
    <t>Combined Uncertainty</t>
  </si>
  <si>
    <t>ln[Combined Uncertainty]</t>
  </si>
  <si>
    <t>Mean of data y:</t>
  </si>
  <si>
    <r>
      <t>ȳ</t>
    </r>
    <r>
      <rPr>
        <sz val="8.4"/>
        <color theme="1"/>
        <rFont val="Times New Roman"/>
        <family val="1"/>
      </rPr>
      <t>=</t>
    </r>
  </si>
  <si>
    <t>Gradient of best fit line:</t>
  </si>
  <si>
    <t>m=</t>
  </si>
  <si>
    <t>Standard uncertainty of m:</t>
  </si>
  <si>
    <r>
      <t>u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</t>
    </r>
  </si>
  <si>
    <t>y-intercept of best line:</t>
  </si>
  <si>
    <t>c=</t>
  </si>
  <si>
    <t>Standard uncertainty of c</t>
  </si>
  <si>
    <r>
      <t>u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</t>
    </r>
  </si>
  <si>
    <t>Coefficient of determination: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</si>
  <si>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=</t>
    </r>
  </si>
  <si>
    <t>Resolution of Stopwatch</t>
  </si>
  <si>
    <t>Resolution of light gate</t>
  </si>
  <si>
    <t>Combined uncertainty</t>
  </si>
  <si>
    <t>Nu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</si>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</sst>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.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 applyProtection="1">
      <alignment horizontal="right"/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6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6877305762038816"/>
                  <c:y val="2.665746447601196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Sheet1!$D$32:$D$36</c:f>
                <c:numCache>
                  <c:formatCode>General</c:formatCode>
                  <c:ptCount val="5"/>
                  <c:pt idx="0">
                    <c:v>3.8754829620440653E-4</c:v>
                  </c:pt>
                  <c:pt idx="1">
                    <c:v>2.3409626289370758E-4</c:v>
                  </c:pt>
                  <c:pt idx="2">
                    <c:v>4.9737592800835483E-4</c:v>
                  </c:pt>
                  <c:pt idx="3">
                    <c:v>5.4695020312320076E-3</c:v>
                  </c:pt>
                  <c:pt idx="4">
                    <c:v>1.1694948755296575E-3</c:v>
                  </c:pt>
                </c:numCache>
              </c:numRef>
            </c:plus>
            <c:minus>
              <c:numRef>
                <c:f>Sheet1!$D$32:$D$36</c:f>
                <c:numCache>
                  <c:formatCode>General</c:formatCode>
                  <c:ptCount val="5"/>
                  <c:pt idx="0">
                    <c:v>3.8754829620440653E-4</c:v>
                  </c:pt>
                  <c:pt idx="1">
                    <c:v>2.3409626289370758E-4</c:v>
                  </c:pt>
                  <c:pt idx="2">
                    <c:v>4.9737592800835483E-4</c:v>
                  </c:pt>
                  <c:pt idx="3">
                    <c:v>5.4695020312320076E-3</c:v>
                  </c:pt>
                  <c:pt idx="4">
                    <c:v>1.1694948755296575E-3</c:v>
                  </c:pt>
                </c:numCache>
              </c:numRef>
            </c:minus>
          </c:errBars>
          <c:xVal>
            <c:numRef>
              <c:f>Sheet1!$P$4:$P$8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1.5940488841657809E-2</c:v>
                </c:pt>
                <c:pt idx="1">
                  <c:v>1.8373346398824104E-2</c:v>
                </c:pt>
                <c:pt idx="2">
                  <c:v>2.3234200743494426E-2</c:v>
                </c:pt>
                <c:pt idx="3">
                  <c:v>2.6612948000000001E-2</c:v>
                </c:pt>
                <c:pt idx="4">
                  <c:v>3.0560237000000001E-2</c:v>
                </c:pt>
              </c:numCache>
            </c:numRef>
          </c:yVal>
          <c:smooth val="0"/>
        </c:ser>
        <c:ser>
          <c:idx val="1"/>
          <c:order val="1"/>
          <c:tx>
            <c:v>m2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3518886202982955"/>
                  <c:y val="-0.1826367013023649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Sheet1!$D$35:$D$39</c:f>
                <c:numCache>
                  <c:formatCode>General</c:formatCode>
                  <c:ptCount val="5"/>
                  <c:pt idx="0">
                    <c:v>5.4695020312320076E-3</c:v>
                  </c:pt>
                  <c:pt idx="1">
                    <c:v>1.1694948755296575E-3</c:v>
                  </c:pt>
                  <c:pt idx="2">
                    <c:v>1.0846068812738364E-3</c:v>
                  </c:pt>
                  <c:pt idx="3">
                    <c:v>1.7476609526451109E-3</c:v>
                  </c:pt>
                  <c:pt idx="4">
                    <c:v>5.272619551788366E-3</c:v>
                  </c:pt>
                </c:numCache>
              </c:numRef>
            </c:plus>
            <c:minus>
              <c:numRef>
                <c:f>Sheet1!$D$35:$D$39</c:f>
                <c:numCache>
                  <c:formatCode>General</c:formatCode>
                  <c:ptCount val="5"/>
                  <c:pt idx="0">
                    <c:v>5.4695020312320076E-3</c:v>
                  </c:pt>
                  <c:pt idx="1">
                    <c:v>1.1694948755296575E-3</c:v>
                  </c:pt>
                  <c:pt idx="2">
                    <c:v>1.0846068812738364E-3</c:v>
                  </c:pt>
                  <c:pt idx="3">
                    <c:v>1.7476609526451109E-3</c:v>
                  </c:pt>
                  <c:pt idx="4">
                    <c:v>5.272619551788366E-3</c:v>
                  </c:pt>
                </c:numCache>
              </c:numRef>
            </c:minus>
          </c:errBars>
          <c:xVal>
            <c:numRef>
              <c:f>Sheet1!$P$9:$P$13</c:f>
              <c:numCache>
                <c:formatCode>General</c:formatCode>
                <c:ptCount val="5"/>
                <c:pt idx="0">
                  <c:v>17.333333333333332</c:v>
                </c:pt>
                <c:pt idx="1">
                  <c:v>16.766666666666666</c:v>
                </c:pt>
                <c:pt idx="2">
                  <c:v>13.066666666666668</c:v>
                </c:pt>
                <c:pt idx="3">
                  <c:v>10</c:v>
                </c:pt>
                <c:pt idx="4">
                  <c:v>8</c:v>
                </c:pt>
              </c:numCache>
            </c:numRef>
          </c:xVal>
          <c:yVal>
            <c:numRef>
              <c:f>Sheet1!$Q$9:$Q$13</c:f>
              <c:numCache>
                <c:formatCode>General</c:formatCode>
                <c:ptCount val="5"/>
                <c:pt idx="0">
                  <c:v>6.714413607878246E-2</c:v>
                </c:pt>
                <c:pt idx="1">
                  <c:v>7.0955534531693468E-2</c:v>
                </c:pt>
                <c:pt idx="2">
                  <c:v>9.2592592592592601E-2</c:v>
                </c:pt>
                <c:pt idx="3">
                  <c:v>0.111532958</c:v>
                </c:pt>
                <c:pt idx="4">
                  <c:v>0.122025864</c:v>
                </c:pt>
              </c:numCache>
            </c:numRef>
          </c:yVal>
          <c:smooth val="0"/>
        </c:ser>
        <c:ser>
          <c:idx val="2"/>
          <c:order val="2"/>
          <c:tx>
            <c:v>m1 + m2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4.1364574945935359E-2"/>
                  <c:y val="1.681095673543514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(Sheet1!$D$33,Sheet1!$D$34,Sheet1!$D$39,Sheet1!$D$40,Sheet1!$D$36)</c:f>
                <c:numCache>
                  <c:formatCode>General</c:formatCode>
                  <c:ptCount val="5"/>
                  <c:pt idx="0">
                    <c:v>2.3409626289370758E-4</c:v>
                  </c:pt>
                  <c:pt idx="1">
                    <c:v>4.9737592800835483E-4</c:v>
                  </c:pt>
                  <c:pt idx="2">
                    <c:v>5.272619551788366E-3</c:v>
                  </c:pt>
                  <c:pt idx="3">
                    <c:v>5.4651932227581658E-4</c:v>
                  </c:pt>
                  <c:pt idx="4">
                    <c:v>1.1694948755296575E-3</c:v>
                  </c:pt>
                </c:numCache>
              </c:numRef>
            </c:plus>
            <c:minus>
              <c:numRef>
                <c:f>(Sheet1!$D$33,Sheet1!$D$34,Sheet1!$D$36,Sheet1!$D$39,Sheet1!$D$40)</c:f>
                <c:numCache>
                  <c:formatCode>General</c:formatCode>
                  <c:ptCount val="5"/>
                  <c:pt idx="0">
                    <c:v>2.3409626289370758E-4</c:v>
                  </c:pt>
                  <c:pt idx="1">
                    <c:v>4.9737592800835483E-4</c:v>
                  </c:pt>
                  <c:pt idx="2">
                    <c:v>1.1694948755296575E-3</c:v>
                  </c:pt>
                  <c:pt idx="3">
                    <c:v>5.272619551788366E-3</c:v>
                  </c:pt>
                  <c:pt idx="4">
                    <c:v>5.4651932227581658E-4</c:v>
                  </c:pt>
                </c:numCache>
              </c:numRef>
            </c:minus>
          </c:errBars>
          <c:xVal>
            <c:numRef>
              <c:f>Sheet1!$P$14:$P$18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</c:numCache>
            </c:numRef>
          </c:xVal>
          <c:yVal>
            <c:numRef>
              <c:f>Sheet1!$Q$14:$Q$18</c:f>
              <c:numCache>
                <c:formatCode>General</c:formatCode>
                <c:ptCount val="5"/>
                <c:pt idx="0">
                  <c:v>6.1074918566775237E-2</c:v>
                </c:pt>
                <c:pt idx="1">
                  <c:v>7.2744907856450047E-2</c:v>
                </c:pt>
                <c:pt idx="2">
                  <c:v>7.7002053388090352E-2</c:v>
                </c:pt>
                <c:pt idx="3">
                  <c:v>9.3512341999999998E-2</c:v>
                </c:pt>
                <c:pt idx="4">
                  <c:v>0.104034534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5808"/>
        <c:axId val="204141696"/>
      </c:scatterChart>
      <c:valAx>
        <c:axId val="2041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-25000"/>
                  <a:t>z</a:t>
                </a:r>
                <a:r>
                  <a:rPr lang="en-US"/>
                  <a:t> (s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41696"/>
        <c:crosses val="autoZero"/>
        <c:crossBetween val="midCat"/>
      </c:valAx>
      <c:valAx>
        <c:axId val="204141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-25000"/>
                  <a:t>pr</a:t>
                </a:r>
                <a:r>
                  <a:rPr lang="en-US"/>
                  <a:t> (s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3580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3178338689568767"/>
                  <c:y val="-3.094887951299565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Sheet3!$D$3:$D$7</c:f>
                <c:numCache>
                  <c:formatCode>General</c:formatCode>
                  <c:ptCount val="5"/>
                  <c:pt idx="0">
                    <c:v>2.431219644855644E-2</c:v>
                  </c:pt>
                  <c:pt idx="1">
                    <c:v>1.2741079268428192E-2</c:v>
                  </c:pt>
                  <c:pt idx="2">
                    <c:v>2.1407059941479591E-2</c:v>
                  </c:pt>
                  <c:pt idx="3">
                    <c:v>1.7999999999999999E-2</c:v>
                  </c:pt>
                  <c:pt idx="4">
                    <c:v>2.1999999999999999E-2</c:v>
                  </c:pt>
                </c:numCache>
              </c:numRef>
            </c:plus>
            <c:minus>
              <c:numRef>
                <c:f>Sheet3!$D$3:$D$7</c:f>
                <c:numCache>
                  <c:formatCode>General</c:formatCode>
                  <c:ptCount val="5"/>
                  <c:pt idx="0">
                    <c:v>2.431219644855644E-2</c:v>
                  </c:pt>
                  <c:pt idx="1">
                    <c:v>1.2741079268428192E-2</c:v>
                  </c:pt>
                  <c:pt idx="2">
                    <c:v>2.1407059941479591E-2</c:v>
                  </c:pt>
                  <c:pt idx="3">
                    <c:v>1.7999999999999999E-2</c:v>
                  </c:pt>
                  <c:pt idx="4">
                    <c:v>2.1999999999999999E-2</c:v>
                  </c:pt>
                </c:numCache>
              </c:numRef>
            </c:minus>
          </c:errBars>
          <c:xVal>
            <c:numRef>
              <c:f>Sheet1!$R$23:$R$27</c:f>
              <c:numCache>
                <c:formatCode>General</c:formatCode>
                <c:ptCount val="5"/>
                <c:pt idx="0">
                  <c:v>2.7725887222397811</c:v>
                </c:pt>
                <c:pt idx="1">
                  <c:v>2.6390573296152584</c:v>
                </c:pt>
                <c:pt idx="2">
                  <c:v>2.4849066497880004</c:v>
                </c:pt>
                <c:pt idx="3">
                  <c:v>2.3025850929940459</c:v>
                </c:pt>
                <c:pt idx="4">
                  <c:v>2.0794415416798357</c:v>
                </c:pt>
              </c:numCache>
            </c:numRef>
          </c:xVal>
          <c:yVal>
            <c:numRef>
              <c:f>Sheet1!$S$23:$S$27</c:f>
              <c:numCache>
                <c:formatCode>General</c:formatCode>
                <c:ptCount val="5"/>
                <c:pt idx="0">
                  <c:v>-4.1388929384831696</c:v>
                </c:pt>
                <c:pt idx="1">
                  <c:v>-3.9968542298334797</c:v>
                </c:pt>
                <c:pt idx="2">
                  <c:v>-3.7621299158535288</c:v>
                </c:pt>
                <c:pt idx="3">
                  <c:v>-3.626357414709775</c:v>
                </c:pt>
                <c:pt idx="4">
                  <c:v>-3.4880555594782869</c:v>
                </c:pt>
              </c:numCache>
            </c:numRef>
          </c:yVal>
          <c:smooth val="0"/>
        </c:ser>
        <c:ser>
          <c:idx val="1"/>
          <c:order val="1"/>
          <c:tx>
            <c:v>m2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8280593494030648"/>
                  <c:y val="-6.0088957021201102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Sheet3!$D$15:$D$19</c:f>
                <c:numCache>
                  <c:formatCode>General</c:formatCode>
                  <c:ptCount val="5"/>
                  <c:pt idx="0">
                    <c:v>0.20552033661329092</c:v>
                  </c:pt>
                  <c:pt idx="1">
                    <c:v>3.8268514590696974E-2</c:v>
                  </c:pt>
                  <c:pt idx="2">
                    <c:v>1.6153411818438334E-2</c:v>
                  </c:pt>
                  <c:pt idx="3">
                    <c:v>0.182</c:v>
                  </c:pt>
                  <c:pt idx="4">
                    <c:v>4.3999999999999997E-2</c:v>
                  </c:pt>
                </c:numCache>
              </c:numRef>
            </c:plus>
            <c:minus>
              <c:numRef>
                <c:f>Sheet3!$D$15:$D$19</c:f>
                <c:numCache>
                  <c:formatCode>General</c:formatCode>
                  <c:ptCount val="5"/>
                  <c:pt idx="0">
                    <c:v>0.20552033661329092</c:v>
                  </c:pt>
                  <c:pt idx="1">
                    <c:v>3.8268514590696974E-2</c:v>
                  </c:pt>
                  <c:pt idx="2">
                    <c:v>1.6153411818438334E-2</c:v>
                  </c:pt>
                  <c:pt idx="3">
                    <c:v>0.182</c:v>
                  </c:pt>
                  <c:pt idx="4">
                    <c:v>4.3999999999999997E-2</c:v>
                  </c:pt>
                </c:numCache>
              </c:numRef>
            </c:minus>
          </c:errBars>
          <c:xVal>
            <c:numRef>
              <c:f>Sheet1!$R$28:$R$32</c:f>
              <c:numCache>
                <c:formatCode>General</c:formatCode>
                <c:ptCount val="5"/>
                <c:pt idx="0">
                  <c:v>2.8526314299133175</c:v>
                </c:pt>
                <c:pt idx="1">
                  <c:v>2.8193927884375838</c:v>
                </c:pt>
                <c:pt idx="2">
                  <c:v>2.5700644581283072</c:v>
                </c:pt>
                <c:pt idx="3">
                  <c:v>2.3025850929940459</c:v>
                </c:pt>
                <c:pt idx="4">
                  <c:v>2.0794415416798357</c:v>
                </c:pt>
              </c:numCache>
            </c:numRef>
          </c:xVal>
          <c:yVal>
            <c:numRef>
              <c:f>Sheet1!$S$28:$S$32</c:f>
              <c:numCache>
                <c:formatCode>General</c:formatCode>
                <c:ptCount val="5"/>
                <c:pt idx="0">
                  <c:v>-2.7009136855328904</c:v>
                </c:pt>
                <c:pt idx="1">
                  <c:v>-2.6457018723339272</c:v>
                </c:pt>
                <c:pt idx="2">
                  <c:v>-2.379546134130174</c:v>
                </c:pt>
                <c:pt idx="3">
                  <c:v>-2.1934351443153792</c:v>
                </c:pt>
                <c:pt idx="4">
                  <c:v>-2.1035222567177048</c:v>
                </c:pt>
              </c:numCache>
            </c:numRef>
          </c:yVal>
          <c:smooth val="0"/>
        </c:ser>
        <c:ser>
          <c:idx val="2"/>
          <c:order val="2"/>
          <c:tx>
            <c:v>m2 - m1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1.0737446611596979E-2"/>
                  <c:y val="9.204064745409384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Sheet3!$D$27:$D$31</c:f>
                <c:numCache>
                  <c:formatCode>General</c:formatCode>
                  <c:ptCount val="5"/>
                  <c:pt idx="0">
                    <c:v>2.463036835927843E-2</c:v>
                  </c:pt>
                  <c:pt idx="1">
                    <c:v>5.6944291159314347E-2</c:v>
                  </c:pt>
                  <c:pt idx="2">
                    <c:v>4.9000701862118336E-3</c:v>
                  </c:pt>
                  <c:pt idx="3">
                    <c:v>2E-3</c:v>
                  </c:pt>
                  <c:pt idx="4">
                    <c:v>3.0000000000000001E-3</c:v>
                  </c:pt>
                </c:numCache>
              </c:numRef>
            </c:plus>
            <c:minus>
              <c:numRef>
                <c:f>Sheet3!$D$27:$D$31</c:f>
                <c:numCache>
                  <c:formatCode>General</c:formatCode>
                  <c:ptCount val="5"/>
                  <c:pt idx="0">
                    <c:v>2.463036835927843E-2</c:v>
                  </c:pt>
                  <c:pt idx="1">
                    <c:v>5.6944291159314347E-2</c:v>
                  </c:pt>
                  <c:pt idx="2">
                    <c:v>4.9000701862118336E-3</c:v>
                  </c:pt>
                  <c:pt idx="3">
                    <c:v>2E-3</c:v>
                  </c:pt>
                  <c:pt idx="4">
                    <c:v>3.0000000000000001E-3</c:v>
                  </c:pt>
                </c:numCache>
              </c:numRef>
            </c:minus>
          </c:errBars>
          <c:xVal>
            <c:numRef>
              <c:f>Sheet1!$R$33:$R$37</c:f>
              <c:numCache>
                <c:formatCode>General</c:formatCode>
                <c:ptCount val="5"/>
                <c:pt idx="0">
                  <c:v>2.7725887222397811</c:v>
                </c:pt>
                <c:pt idx="1">
                  <c:v>2.6390573296152584</c:v>
                </c:pt>
                <c:pt idx="2">
                  <c:v>2.5649493574615367</c:v>
                </c:pt>
                <c:pt idx="3">
                  <c:v>2.3025850929940459</c:v>
                </c:pt>
                <c:pt idx="4">
                  <c:v>2.0794415416798357</c:v>
                </c:pt>
              </c:numCache>
            </c:numRef>
          </c:xVal>
          <c:yVal>
            <c:numRef>
              <c:f>Sheet1!$S$33:$S$37</c:f>
              <c:numCache>
                <c:formatCode>General</c:formatCode>
                <c:ptCount val="5"/>
                <c:pt idx="0">
                  <c:v>-2.7956539951707775</c:v>
                </c:pt>
                <c:pt idx="1">
                  <c:v>-2.6207963704806496</c:v>
                </c:pt>
                <c:pt idx="2">
                  <c:v>-2.5639231901062245</c:v>
                </c:pt>
                <c:pt idx="3">
                  <c:v>-2.3696618513987291</c:v>
                </c:pt>
                <c:pt idx="4">
                  <c:v>-2.2630323772674106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696"/>
        <c:axId val="40129664"/>
      </c:scatterChart>
      <c:valAx>
        <c:axId val="39245696"/>
        <c:scaling>
          <c:orientation val="minMax"/>
          <c:max val="3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ln[f</a:t>
                </a:r>
                <a:r>
                  <a:rPr lang="en-US" baseline="-25000"/>
                  <a:t>z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29664"/>
        <c:crosses val="autoZero"/>
        <c:crossBetween val="midCat"/>
      </c:valAx>
      <c:valAx>
        <c:axId val="40129664"/>
        <c:scaling>
          <c:orientation val="minMax"/>
          <c:max val="-2"/>
          <c:min val="-4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ln[f</a:t>
                </a:r>
                <a:r>
                  <a:rPr lang="en-US" baseline="-25000"/>
                  <a:t>pr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45696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m0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331331386740103"/>
                  <c:y val="-1.4363517060367453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Sheet2!$K$18:$K$22</c:f>
                <c:numCache>
                  <c:formatCode>General</c:formatCode>
                  <c:ptCount val="5"/>
                  <c:pt idx="0">
                    <c:v>0.3762885270049508</c:v>
                  </c:pt>
                  <c:pt idx="1">
                    <c:v>0.32338702303380495</c:v>
                  </c:pt>
                  <c:pt idx="2">
                    <c:v>0.26561511419512418</c:v>
                  </c:pt>
                  <c:pt idx="3">
                    <c:v>0.30453060419092343</c:v>
                  </c:pt>
                  <c:pt idx="4">
                    <c:v>0.30229906090198533</c:v>
                  </c:pt>
                </c:numCache>
              </c:numRef>
            </c:plus>
            <c:minus>
              <c:numRef>
                <c:f>Sheet2!$K$18:$K$22</c:f>
                <c:numCache>
                  <c:formatCode>General</c:formatCode>
                  <c:ptCount val="5"/>
                  <c:pt idx="0">
                    <c:v>0.3762885270049508</c:v>
                  </c:pt>
                  <c:pt idx="1">
                    <c:v>0.32338702303380495</c:v>
                  </c:pt>
                  <c:pt idx="2">
                    <c:v>0.26561511419512418</c:v>
                  </c:pt>
                  <c:pt idx="3">
                    <c:v>0.30453060419092343</c:v>
                  </c:pt>
                  <c:pt idx="4">
                    <c:v>0.30229906090198533</c:v>
                  </c:pt>
                </c:numCache>
              </c:numRef>
            </c:minus>
          </c:errBars>
          <c:xVal>
            <c:numRef>
              <c:f>Sheet2!$C$3:$C$17</c:f>
              <c:numCache>
                <c:formatCode>General</c:formatCode>
                <c:ptCount val="15"/>
                <c:pt idx="0">
                  <c:v>15</c:v>
                </c:pt>
                <c:pt idx="3">
                  <c:v>14</c:v>
                </c:pt>
                <c:pt idx="6">
                  <c:v>13</c:v>
                </c:pt>
                <c:pt idx="9">
                  <c:v>12</c:v>
                </c:pt>
                <c:pt idx="12">
                  <c:v>11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9.0916666666666668</c:v>
                </c:pt>
                <c:pt idx="3">
                  <c:v>8.7249999999999996</c:v>
                </c:pt>
                <c:pt idx="6">
                  <c:v>8.1083333333333325</c:v>
                </c:pt>
                <c:pt idx="9">
                  <c:v>7.1833333333333336</c:v>
                </c:pt>
                <c:pt idx="12">
                  <c:v>6.458333333333333</c:v>
                </c:pt>
              </c:numCache>
            </c:numRef>
          </c:yVal>
          <c:smooth val="0"/>
        </c:ser>
        <c:ser>
          <c:idx val="1"/>
          <c:order val="1"/>
          <c:tx>
            <c:v>m1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7034319084455393"/>
                  <c:y val="7.7321741032370953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Sheet2!$K$23:$K$27</c:f>
                <c:numCache>
                  <c:formatCode>General</c:formatCode>
                  <c:ptCount val="5"/>
                  <c:pt idx="0">
                    <c:v>0.29142132538455207</c:v>
                  </c:pt>
                  <c:pt idx="1">
                    <c:v>0.28564498167402769</c:v>
                  </c:pt>
                  <c:pt idx="2">
                    <c:v>0.2629876422952227</c:v>
                  </c:pt>
                  <c:pt idx="3">
                    <c:v>0.25541904566591916</c:v>
                  </c:pt>
                  <c:pt idx="4">
                    <c:v>0.25357718526888195</c:v>
                  </c:pt>
                </c:numCache>
              </c:numRef>
            </c:plus>
            <c:minus>
              <c:numRef>
                <c:f>Sheet2!$K$23:$K$27</c:f>
                <c:numCache>
                  <c:formatCode>General</c:formatCode>
                  <c:ptCount val="5"/>
                  <c:pt idx="0">
                    <c:v>0.29142132538455207</c:v>
                  </c:pt>
                  <c:pt idx="1">
                    <c:v>0.28564498167402769</c:v>
                  </c:pt>
                  <c:pt idx="2">
                    <c:v>0.2629876422952227</c:v>
                  </c:pt>
                  <c:pt idx="3">
                    <c:v>0.25541904566591916</c:v>
                  </c:pt>
                  <c:pt idx="4">
                    <c:v>0.25357718526888195</c:v>
                  </c:pt>
                </c:numCache>
              </c:numRef>
            </c:minus>
          </c:errBars>
          <c:xVal>
            <c:numRef>
              <c:f>Sheet2!$C$18:$C$32</c:f>
              <c:numCache>
                <c:formatCode>General</c:formatCode>
                <c:ptCount val="15"/>
                <c:pt idx="0">
                  <c:v>15</c:v>
                </c:pt>
                <c:pt idx="3">
                  <c:v>14</c:v>
                </c:pt>
                <c:pt idx="6">
                  <c:v>13</c:v>
                </c:pt>
                <c:pt idx="9">
                  <c:v>12</c:v>
                </c:pt>
                <c:pt idx="12">
                  <c:v>11</c:v>
                </c:pt>
              </c:numCache>
            </c:numRef>
          </c:xVal>
          <c:yVal>
            <c:numRef>
              <c:f>Sheet2!$F$18:$F$32</c:f>
              <c:numCache>
                <c:formatCode>General</c:formatCode>
                <c:ptCount val="15"/>
                <c:pt idx="0">
                  <c:v>8.6583333333333332</c:v>
                </c:pt>
                <c:pt idx="3">
                  <c:v>7.9416666666666664</c:v>
                </c:pt>
                <c:pt idx="6">
                  <c:v>7.125</c:v>
                </c:pt>
                <c:pt idx="9">
                  <c:v>6.2666666666666666</c:v>
                </c:pt>
                <c:pt idx="12">
                  <c:v>5.583333333333333</c:v>
                </c:pt>
              </c:numCache>
            </c:numRef>
          </c:yVal>
          <c:smooth val="0"/>
        </c:ser>
        <c:ser>
          <c:idx val="2"/>
          <c:order val="2"/>
          <c:tx>
            <c:v>m2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604168108160469"/>
                  <c:y val="6.5205234762321373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Sheet2!$K$28:$K$32</c:f>
                <c:numCache>
                  <c:formatCode>General</c:formatCode>
                  <c:ptCount val="5"/>
                  <c:pt idx="0">
                    <c:v>0.26659374002819763</c:v>
                  </c:pt>
                  <c:pt idx="1">
                    <c:v>0.25643658518671286</c:v>
                  </c:pt>
                  <c:pt idx="2">
                    <c:v>0.25275427241141191</c:v>
                  </c:pt>
                  <c:pt idx="3">
                    <c:v>0.25643658518671281</c:v>
                  </c:pt>
                  <c:pt idx="4">
                    <c:v>0.2520664594903495</c:v>
                  </c:pt>
                </c:numCache>
              </c:numRef>
            </c:plus>
            <c:minus>
              <c:numRef>
                <c:f>Sheet2!$K$28:$K$32</c:f>
                <c:numCache>
                  <c:formatCode>General</c:formatCode>
                  <c:ptCount val="5"/>
                  <c:pt idx="0">
                    <c:v>0.26659374002819763</c:v>
                  </c:pt>
                  <c:pt idx="1">
                    <c:v>0.25643658518671286</c:v>
                  </c:pt>
                  <c:pt idx="2">
                    <c:v>0.25275427241141191</c:v>
                  </c:pt>
                  <c:pt idx="3">
                    <c:v>0.25643658518671281</c:v>
                  </c:pt>
                  <c:pt idx="4">
                    <c:v>0.2520664594903495</c:v>
                  </c:pt>
                </c:numCache>
              </c:numRef>
            </c:minus>
          </c:errBars>
          <c:xVal>
            <c:numRef>
              <c:f>Sheet2!$C$33:$C$47</c:f>
              <c:numCache>
                <c:formatCode>General</c:formatCode>
                <c:ptCount val="15"/>
                <c:pt idx="0">
                  <c:v>15</c:v>
                </c:pt>
                <c:pt idx="3">
                  <c:v>14</c:v>
                </c:pt>
                <c:pt idx="6">
                  <c:v>13</c:v>
                </c:pt>
                <c:pt idx="9">
                  <c:v>12</c:v>
                </c:pt>
                <c:pt idx="12">
                  <c:v>11</c:v>
                </c:pt>
              </c:numCache>
            </c:numRef>
          </c:xVal>
          <c:yVal>
            <c:numRef>
              <c:f>Sheet2!$F$33:$F$47</c:f>
              <c:numCache>
                <c:formatCode>General</c:formatCode>
                <c:ptCount val="15"/>
                <c:pt idx="0">
                  <c:v>6.6916666666666664</c:v>
                </c:pt>
                <c:pt idx="3">
                  <c:v>6.1916666666666664</c:v>
                </c:pt>
                <c:pt idx="6">
                  <c:v>5.7666666666666657</c:v>
                </c:pt>
                <c:pt idx="9">
                  <c:v>5.4083333333333341</c:v>
                </c:pt>
                <c:pt idx="12">
                  <c:v>5.05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5008"/>
        <c:axId val="204476800"/>
      </c:scatterChart>
      <c:valAx>
        <c:axId val="204475008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-25000"/>
                  <a:t>z</a:t>
                </a:r>
                <a:r>
                  <a:rPr lang="en-US"/>
                  <a:t> (s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76800"/>
        <c:crosses val="autoZero"/>
        <c:crossBetween val="midCat"/>
      </c:valAx>
      <c:valAx>
        <c:axId val="204476800"/>
        <c:scaling>
          <c:orientation val="minMax"/>
          <c:min val="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-25000"/>
                  <a:t>nu</a:t>
                </a:r>
                <a:r>
                  <a:rPr lang="en-US" baseline="0"/>
                  <a:t> (s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7500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2</xdr:row>
      <xdr:rowOff>25400</xdr:rowOff>
    </xdr:from>
    <xdr:to>
      <xdr:col>12</xdr:col>
      <xdr:colOff>612775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21</xdr:row>
      <xdr:rowOff>19050</xdr:rowOff>
    </xdr:from>
    <xdr:to>
      <xdr:col>13</xdr:col>
      <xdr:colOff>6350</xdr:colOff>
      <xdr:row>35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0</xdr:row>
      <xdr:rowOff>184150</xdr:rowOff>
    </xdr:from>
    <xdr:to>
      <xdr:col>13</xdr:col>
      <xdr:colOff>612775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opLeftCell="D2" zoomScale="115" zoomScaleNormal="115" workbookViewId="0">
      <selection activeCell="N17" sqref="N17"/>
    </sheetView>
  </sheetViews>
  <sheetFormatPr defaultRowHeight="15.5" x14ac:dyDescent="0.35"/>
  <cols>
    <col min="2" max="2" width="19.6640625" bestFit="1" customWidth="1"/>
    <col min="3" max="3" width="23.9140625" bestFit="1" customWidth="1"/>
    <col min="4" max="4" width="19.08203125" customWidth="1"/>
    <col min="5" max="5" width="22" bestFit="1" customWidth="1"/>
    <col min="15" max="15" width="19.6640625" bestFit="1" customWidth="1"/>
    <col min="16" max="16" width="31.6640625" bestFit="1" customWidth="1"/>
    <col min="17" max="17" width="16.1640625" customWidth="1"/>
    <col min="18" max="18" width="34.58203125" bestFit="1" customWidth="1"/>
    <col min="19" max="19" width="16.25" bestFit="1" customWidth="1"/>
  </cols>
  <sheetData>
    <row r="1" spans="1:30" x14ac:dyDescent="0.35">
      <c r="A1" s="1"/>
      <c r="B1" s="1"/>
      <c r="C1" s="1"/>
      <c r="D1" s="1"/>
      <c r="E1" s="1"/>
      <c r="F1" s="1"/>
      <c r="V1" s="1"/>
      <c r="W1" s="1"/>
      <c r="X1" s="1"/>
      <c r="Y1" s="1"/>
      <c r="Z1" s="1"/>
      <c r="AA1" s="1"/>
      <c r="AB1" s="1"/>
      <c r="AC1" s="1"/>
      <c r="AD1" s="1"/>
    </row>
    <row r="2" spans="1:30" ht="18.5" x14ac:dyDescent="0.35">
      <c r="A2" s="1"/>
      <c r="B2" s="1" t="s">
        <v>0</v>
      </c>
      <c r="C2" s="1" t="s">
        <v>1</v>
      </c>
      <c r="D2" s="1" t="s">
        <v>2</v>
      </c>
      <c r="E2" s="1" t="s">
        <v>29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V2" s="1"/>
      <c r="W2" s="1"/>
      <c r="X2" s="1"/>
      <c r="Y2" s="1"/>
      <c r="Z2" s="1"/>
      <c r="AA2" s="1"/>
      <c r="AB2" s="1"/>
      <c r="AC2" s="1"/>
      <c r="AD2" s="1"/>
    </row>
    <row r="3" spans="1:30" ht="17.5" customHeight="1" x14ac:dyDescent="0.35">
      <c r="A3" s="1"/>
      <c r="B3" s="7" t="s">
        <v>3</v>
      </c>
      <c r="C3" s="1">
        <v>16</v>
      </c>
      <c r="D3" s="1">
        <v>15.25</v>
      </c>
      <c r="E3" s="4">
        <f>1/(D3*4)</f>
        <v>1.6393442622950821E-2</v>
      </c>
      <c r="G3" s="1"/>
      <c r="H3" s="1"/>
      <c r="I3" s="1"/>
      <c r="J3" s="1"/>
      <c r="K3" s="1"/>
      <c r="L3" s="1"/>
      <c r="M3" s="1"/>
      <c r="N3" s="1"/>
      <c r="O3" s="1" t="s">
        <v>0</v>
      </c>
      <c r="P3" s="4" t="s">
        <v>1</v>
      </c>
      <c r="Q3" s="4" t="s">
        <v>5</v>
      </c>
      <c r="R3" s="1" t="s">
        <v>14</v>
      </c>
      <c r="S3" s="1"/>
      <c r="V3" s="1"/>
      <c r="W3" s="1"/>
      <c r="X3" s="1"/>
      <c r="Y3" s="1"/>
      <c r="Z3" s="1"/>
      <c r="AA3" s="1"/>
      <c r="AB3" s="1"/>
      <c r="AC3" s="1"/>
      <c r="AD3" s="1"/>
    </row>
    <row r="4" spans="1:30" ht="17.5" x14ac:dyDescent="0.35">
      <c r="A4" s="1"/>
      <c r="B4" s="7"/>
      <c r="C4" s="1">
        <v>16</v>
      </c>
      <c r="D4" s="1">
        <v>15.92</v>
      </c>
      <c r="E4" s="4">
        <f t="shared" ref="E4:E29" si="0">1/(D4*4)</f>
        <v>1.5703517587939697E-2</v>
      </c>
      <c r="G4" s="1"/>
      <c r="H4" s="1"/>
      <c r="I4" s="1"/>
      <c r="J4" s="1"/>
      <c r="K4" s="1"/>
      <c r="L4" s="1"/>
      <c r="M4" s="1"/>
      <c r="N4" s="1"/>
      <c r="O4" s="3" t="s">
        <v>3</v>
      </c>
      <c r="P4" s="4">
        <f>AVERAGE(C3:C5)</f>
        <v>16</v>
      </c>
      <c r="Q4" s="4">
        <f>1/((AVERAGE(D3:D5))*4)</f>
        <v>1.5940488841657809E-2</v>
      </c>
      <c r="R4" s="4">
        <f t="shared" ref="R4:R6" si="1">(-0.0018*(P4))+0.0447</f>
        <v>1.5899999999999997E-2</v>
      </c>
      <c r="S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5">
      <c r="A5" s="1"/>
      <c r="B5" s="7"/>
      <c r="C5" s="1">
        <v>16</v>
      </c>
      <c r="D5" s="1">
        <v>15.88</v>
      </c>
      <c r="E5" s="4">
        <f t="shared" si="0"/>
        <v>1.5743073047858942E-2</v>
      </c>
      <c r="G5" s="1"/>
      <c r="H5" s="1"/>
      <c r="I5" s="1"/>
      <c r="J5" s="1"/>
      <c r="K5" s="1"/>
      <c r="L5" s="1"/>
      <c r="M5" s="1"/>
      <c r="N5" s="1"/>
      <c r="O5" s="3"/>
      <c r="P5" s="4">
        <f>AVERAGE(C6:C8)</f>
        <v>14</v>
      </c>
      <c r="Q5" s="4">
        <f>1/((AVERAGE(D6:D8))*4)</f>
        <v>1.8373346398824104E-2</v>
      </c>
      <c r="R5" s="4">
        <f t="shared" si="1"/>
        <v>1.9499999999999997E-2</v>
      </c>
      <c r="S5" s="1"/>
      <c r="V5" s="1"/>
      <c r="W5" s="1"/>
      <c r="X5" s="1"/>
      <c r="Y5" s="1"/>
      <c r="Z5" s="1"/>
      <c r="AA5" s="1"/>
      <c r="AB5" s="1"/>
      <c r="AC5" s="1"/>
      <c r="AD5" s="1"/>
    </row>
    <row r="6" spans="1:30" ht="17.5" customHeight="1" x14ac:dyDescent="0.35">
      <c r="A6" s="1"/>
      <c r="B6" s="7"/>
      <c r="C6" s="1">
        <v>14</v>
      </c>
      <c r="D6" s="1">
        <v>13.42</v>
      </c>
      <c r="E6" s="4">
        <f t="shared" si="0"/>
        <v>1.8628912071535022E-2</v>
      </c>
      <c r="G6" s="1"/>
      <c r="H6" s="1"/>
      <c r="I6" s="1"/>
      <c r="J6" s="1"/>
      <c r="K6" s="1"/>
      <c r="L6" s="1"/>
      <c r="M6" s="1"/>
      <c r="N6" s="1"/>
      <c r="O6" s="3"/>
      <c r="P6" s="4">
        <f>AVERAGE(C9:C11)</f>
        <v>12</v>
      </c>
      <c r="Q6" s="4">
        <f>1/((AVERAGE(D9:D11))*4)</f>
        <v>2.3234200743494426E-2</v>
      </c>
      <c r="R6" s="4">
        <f t="shared" si="1"/>
        <v>2.3099999999999996E-2</v>
      </c>
      <c r="S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5">
      <c r="A7" s="1"/>
      <c r="B7" s="7"/>
      <c r="C7" s="1">
        <v>14</v>
      </c>
      <c r="D7" s="1">
        <v>13.76</v>
      </c>
      <c r="E7" s="4">
        <f t="shared" si="0"/>
        <v>1.8168604651162792E-2</v>
      </c>
      <c r="G7" s="1"/>
      <c r="H7" s="1"/>
      <c r="I7" s="1"/>
      <c r="J7" s="1"/>
      <c r="K7" s="1"/>
      <c r="L7" s="1"/>
      <c r="M7" s="1"/>
      <c r="N7" s="1"/>
      <c r="P7" s="6">
        <v>10</v>
      </c>
      <c r="Q7" s="6">
        <v>2.6612948000000001E-2</v>
      </c>
      <c r="R7" s="1">
        <f>(-0.0018*(P7))+0.0447</f>
        <v>2.6699999999999998E-2</v>
      </c>
      <c r="S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35">
      <c r="A8" s="1"/>
      <c r="B8" s="7"/>
      <c r="C8" s="1">
        <v>14</v>
      </c>
      <c r="D8" s="1">
        <v>13.64</v>
      </c>
      <c r="E8" s="4">
        <f t="shared" si="0"/>
        <v>1.8328445747800584E-2</v>
      </c>
      <c r="G8" s="1"/>
      <c r="H8" s="1"/>
      <c r="I8" s="1"/>
      <c r="J8" s="1"/>
      <c r="K8" s="1"/>
      <c r="L8" s="1"/>
      <c r="M8" s="1"/>
      <c r="N8" s="1"/>
      <c r="P8" s="6">
        <v>8</v>
      </c>
      <c r="Q8" s="6">
        <v>3.0560237000000001E-2</v>
      </c>
      <c r="R8" s="4">
        <f>(-0.0018*(P8))+0.0447</f>
        <v>3.0299999999999997E-2</v>
      </c>
      <c r="S8" s="1"/>
      <c r="V8" s="1"/>
      <c r="W8" s="1"/>
      <c r="X8" s="1"/>
      <c r="Y8" s="1"/>
      <c r="Z8" s="1"/>
      <c r="AA8" s="1"/>
      <c r="AB8" s="1"/>
      <c r="AC8" s="1"/>
      <c r="AD8" s="1"/>
    </row>
    <row r="9" spans="1:30" ht="17.5" customHeight="1" x14ac:dyDescent="0.35">
      <c r="A9" s="1"/>
      <c r="B9" s="7"/>
      <c r="C9" s="1">
        <v>12</v>
      </c>
      <c r="D9" s="1">
        <v>10.76</v>
      </c>
      <c r="E9" s="4">
        <f t="shared" si="0"/>
        <v>2.3234200743494426E-2</v>
      </c>
      <c r="G9" s="1"/>
      <c r="H9" s="1"/>
      <c r="I9" s="1"/>
      <c r="J9" s="1"/>
      <c r="K9" s="1"/>
      <c r="L9" s="1"/>
      <c r="M9" s="1"/>
      <c r="N9" s="1"/>
      <c r="O9" s="3" t="s">
        <v>4</v>
      </c>
      <c r="P9" s="4">
        <f>AVERAGE(C12:C14)</f>
        <v>17.333333333333332</v>
      </c>
      <c r="Q9" s="4">
        <f>1/((AVERAGE(D12:D14))*4)</f>
        <v>6.714413607878246E-2</v>
      </c>
      <c r="R9" s="1">
        <f>(-0.0059*(P9))+0.17</f>
        <v>6.7733333333333354E-2</v>
      </c>
      <c r="S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5">
      <c r="A10" s="1"/>
      <c r="B10" s="7"/>
      <c r="C10" s="1">
        <v>12</v>
      </c>
      <c r="D10" s="1">
        <v>10.53</v>
      </c>
      <c r="E10" s="4">
        <f t="shared" si="0"/>
        <v>2.3741690408357077E-2</v>
      </c>
      <c r="G10" s="1"/>
      <c r="H10" s="1"/>
      <c r="I10" s="1"/>
      <c r="J10" s="1"/>
      <c r="K10" s="1"/>
      <c r="L10" s="1"/>
      <c r="M10" s="1"/>
      <c r="N10" s="1"/>
      <c r="O10" s="3"/>
      <c r="P10" s="4">
        <f>AVERAGE(C15:C17)</f>
        <v>16.766666666666666</v>
      </c>
      <c r="Q10" s="4">
        <f>1/((AVERAGE(D15:D17))*4)</f>
        <v>7.0955534531693468E-2</v>
      </c>
      <c r="R10" s="4">
        <f t="shared" ref="R10:R13" si="2">(-0.0059*(P10))+0.17</f>
        <v>7.1076666666666691E-2</v>
      </c>
      <c r="S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35">
      <c r="A11" s="1"/>
      <c r="B11" s="7"/>
      <c r="C11" s="1">
        <v>12</v>
      </c>
      <c r="D11" s="1">
        <v>10.99</v>
      </c>
      <c r="E11" s="4">
        <f t="shared" si="0"/>
        <v>2.2747952684258416E-2</v>
      </c>
      <c r="G11" s="1"/>
      <c r="H11" s="1"/>
      <c r="I11" s="1"/>
      <c r="J11" s="1"/>
      <c r="K11" s="1"/>
      <c r="L11" s="1"/>
      <c r="M11" s="1"/>
      <c r="N11" s="1"/>
      <c r="O11" s="3"/>
      <c r="P11" s="4">
        <f>AVERAGE(C18:C20)</f>
        <v>13.066666666666668</v>
      </c>
      <c r="Q11" s="4">
        <f>1/((AVERAGE(D18:D20))*4)</f>
        <v>9.2592592592592601E-2</v>
      </c>
      <c r="R11" s="4">
        <f t="shared" si="2"/>
        <v>9.2906666666666665E-2</v>
      </c>
      <c r="S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7.5" customHeight="1" x14ac:dyDescent="0.35">
      <c r="A12" s="1"/>
      <c r="B12" s="7" t="s">
        <v>4</v>
      </c>
      <c r="C12" s="1">
        <v>17.3</v>
      </c>
      <c r="D12" s="1">
        <v>3.97</v>
      </c>
      <c r="E12" s="4">
        <f t="shared" si="0"/>
        <v>6.2972292191435769E-2</v>
      </c>
      <c r="G12" s="1"/>
      <c r="H12" s="1"/>
      <c r="I12" s="1"/>
      <c r="J12" s="1"/>
      <c r="K12" s="1"/>
      <c r="L12" s="1"/>
      <c r="M12" s="1"/>
      <c r="N12" s="1"/>
      <c r="P12" s="6">
        <v>10</v>
      </c>
      <c r="Q12" s="6">
        <v>0.111532958</v>
      </c>
      <c r="R12" s="4">
        <f t="shared" si="2"/>
        <v>0.11100000000000002</v>
      </c>
      <c r="S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5">
      <c r="A13" s="1"/>
      <c r="B13" s="7"/>
      <c r="C13" s="1">
        <v>17.5</v>
      </c>
      <c r="D13" s="1">
        <v>3.4</v>
      </c>
      <c r="E13" s="4">
        <f t="shared" si="0"/>
        <v>7.3529411764705885E-2</v>
      </c>
      <c r="G13" s="1"/>
      <c r="H13" s="1"/>
      <c r="I13" s="1"/>
      <c r="J13" s="1"/>
      <c r="K13" s="1"/>
      <c r="L13" s="1"/>
      <c r="M13" s="1"/>
      <c r="N13" s="1"/>
      <c r="P13" s="6">
        <v>8</v>
      </c>
      <c r="Q13" s="6">
        <v>0.122025864</v>
      </c>
      <c r="R13" s="4">
        <f t="shared" si="2"/>
        <v>0.12280000000000002</v>
      </c>
      <c r="S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7.5" x14ac:dyDescent="0.35">
      <c r="A14" s="1"/>
      <c r="B14" s="7"/>
      <c r="C14" s="1">
        <v>17.2</v>
      </c>
      <c r="D14" s="1">
        <v>3.8</v>
      </c>
      <c r="E14" s="4">
        <f t="shared" si="0"/>
        <v>6.5789473684210523E-2</v>
      </c>
      <c r="G14" s="1"/>
      <c r="H14" s="1"/>
      <c r="I14" s="1"/>
      <c r="J14" s="1"/>
      <c r="K14" s="1"/>
      <c r="L14" s="1"/>
      <c r="M14" s="1"/>
      <c r="N14" s="1"/>
      <c r="O14" s="3" t="s">
        <v>6</v>
      </c>
      <c r="P14" s="4">
        <v>16</v>
      </c>
      <c r="Q14" s="4">
        <f>1/((AVERAGE(D21:D23))*4)</f>
        <v>6.1074918566775237E-2</v>
      </c>
      <c r="R14" s="4">
        <f>(-0.0054*(P14))+0.1474</f>
        <v>6.0999999999999999E-2</v>
      </c>
      <c r="S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35">
      <c r="A15" s="1"/>
      <c r="B15" s="7"/>
      <c r="C15" s="1">
        <v>16.899999999999999</v>
      </c>
      <c r="D15" s="1">
        <v>3.49</v>
      </c>
      <c r="E15" s="4">
        <f t="shared" si="0"/>
        <v>7.1633237822349566E-2</v>
      </c>
      <c r="G15" s="1"/>
      <c r="H15" s="1"/>
      <c r="I15" s="1"/>
      <c r="J15" s="1"/>
      <c r="K15" s="1"/>
      <c r="L15" s="1"/>
      <c r="M15" s="1"/>
      <c r="N15" s="1"/>
      <c r="O15" s="3"/>
      <c r="P15" s="4">
        <v>14</v>
      </c>
      <c r="Q15" s="4">
        <f>1/((AVERAGE(D24:D26))*4)</f>
        <v>7.2744907856450047E-2</v>
      </c>
      <c r="R15" s="4">
        <f t="shared" ref="R15:R18" si="3">(-0.0054*(P15))+0.1474</f>
        <v>7.1800000000000003E-2</v>
      </c>
      <c r="S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35">
      <c r="A16" s="1"/>
      <c r="B16" s="7"/>
      <c r="C16" s="1">
        <v>16.7</v>
      </c>
      <c r="D16" s="1">
        <v>3.49</v>
      </c>
      <c r="E16" s="4">
        <f t="shared" si="0"/>
        <v>7.1633237822349566E-2</v>
      </c>
      <c r="G16" s="1"/>
      <c r="H16" s="1"/>
      <c r="I16" s="1"/>
      <c r="J16" s="1"/>
      <c r="K16" s="1"/>
      <c r="L16" s="1"/>
      <c r="M16" s="1"/>
      <c r="N16" s="1"/>
      <c r="O16" s="3"/>
      <c r="P16" s="4">
        <v>13</v>
      </c>
      <c r="Q16" s="4">
        <f>1/((AVERAGE(D27:D29))*4)</f>
        <v>7.7002053388090352E-2</v>
      </c>
      <c r="R16" s="4">
        <f t="shared" si="3"/>
        <v>7.7200000000000005E-2</v>
      </c>
      <c r="S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35">
      <c r="A17" s="1"/>
      <c r="B17" s="7"/>
      <c r="C17" s="1">
        <v>16.7</v>
      </c>
      <c r="D17" s="1">
        <v>3.59</v>
      </c>
      <c r="E17" s="4">
        <f t="shared" si="0"/>
        <v>6.9637883008356549E-2</v>
      </c>
      <c r="G17" s="1"/>
      <c r="H17" s="1"/>
      <c r="I17" s="1"/>
      <c r="J17" s="1"/>
      <c r="K17" s="1"/>
      <c r="L17" s="1"/>
      <c r="M17" s="1"/>
      <c r="N17" s="1"/>
      <c r="O17" s="1"/>
      <c r="P17" s="1">
        <v>10</v>
      </c>
      <c r="Q17" s="1">
        <v>9.3512341999999998E-2</v>
      </c>
      <c r="R17" s="4">
        <f t="shared" si="3"/>
        <v>9.3399999999999997E-2</v>
      </c>
      <c r="S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35">
      <c r="A18" s="1"/>
      <c r="B18" s="7"/>
      <c r="C18" s="1">
        <v>13.1</v>
      </c>
      <c r="D18" s="1">
        <v>2.7</v>
      </c>
      <c r="E18" s="4">
        <f t="shared" si="0"/>
        <v>9.2592592592592587E-2</v>
      </c>
      <c r="G18" s="1"/>
      <c r="H18" s="1"/>
      <c r="I18" s="1"/>
      <c r="J18" s="1"/>
      <c r="K18" s="1"/>
      <c r="L18" s="1"/>
      <c r="M18" s="1"/>
      <c r="N18" s="1"/>
      <c r="O18" s="4"/>
      <c r="P18" s="4">
        <v>8</v>
      </c>
      <c r="Q18" s="4">
        <v>0.104034534</v>
      </c>
      <c r="R18" s="4">
        <f t="shared" si="3"/>
        <v>0.1042</v>
      </c>
      <c r="S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5">
      <c r="A19" s="1"/>
      <c r="B19" s="7"/>
      <c r="C19" s="1">
        <v>13</v>
      </c>
      <c r="D19" s="1">
        <v>2.73</v>
      </c>
      <c r="E19" s="4">
        <f t="shared" si="0"/>
        <v>9.1575091575091569E-2</v>
      </c>
      <c r="G19" s="1"/>
      <c r="H19" s="1"/>
      <c r="I19" s="1"/>
      <c r="J19" s="1"/>
      <c r="K19" s="1"/>
      <c r="L19" s="1"/>
      <c r="M19" s="1"/>
      <c r="N19" s="1"/>
      <c r="O19" s="3"/>
      <c r="P19" s="4"/>
      <c r="Q19" s="4"/>
      <c r="R19" s="3"/>
      <c r="S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5">
      <c r="A20" s="1"/>
      <c r="B20" s="7"/>
      <c r="C20" s="1">
        <v>13.1</v>
      </c>
      <c r="D20" s="1">
        <v>2.67</v>
      </c>
      <c r="E20" s="4">
        <f t="shared" si="0"/>
        <v>9.3632958801498134E-2</v>
      </c>
      <c r="G20" s="1"/>
      <c r="H20" s="1"/>
      <c r="I20" s="1"/>
      <c r="J20" s="1"/>
      <c r="K20" s="1"/>
      <c r="L20" s="1"/>
      <c r="M20" s="1"/>
      <c r="N20" s="1"/>
      <c r="O20" s="3"/>
      <c r="P20" s="4"/>
      <c r="Q20" s="4"/>
      <c r="R20" s="3"/>
      <c r="S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7.5" customHeight="1" x14ac:dyDescent="0.35">
      <c r="A21" s="1"/>
      <c r="B21" s="7" t="s">
        <v>6</v>
      </c>
      <c r="C21" s="1">
        <v>16</v>
      </c>
      <c r="D21" s="1">
        <v>4.1100000000000003</v>
      </c>
      <c r="E21" s="4">
        <f t="shared" si="0"/>
        <v>6.0827250608272501E-2</v>
      </c>
      <c r="G21" s="1"/>
      <c r="H21" s="1"/>
      <c r="I21" s="1"/>
      <c r="J21" s="1"/>
      <c r="K21" s="1"/>
      <c r="L21" s="1"/>
      <c r="M21" s="1"/>
      <c r="N21" s="1"/>
      <c r="O21" s="3"/>
      <c r="P21" s="4"/>
      <c r="Q21" s="4"/>
      <c r="R21" s="3"/>
      <c r="S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5" customHeight="1" x14ac:dyDescent="0.35">
      <c r="A22" s="1"/>
      <c r="B22" s="7"/>
      <c r="C22" s="1">
        <v>16</v>
      </c>
      <c r="D22" s="1">
        <v>3.97</v>
      </c>
      <c r="E22" s="4">
        <f t="shared" si="0"/>
        <v>6.2972292191435769E-2</v>
      </c>
      <c r="G22" s="1"/>
      <c r="H22" s="1"/>
      <c r="I22" s="1"/>
      <c r="J22" s="1"/>
      <c r="K22" s="1"/>
      <c r="L22" s="1"/>
      <c r="M22" s="1"/>
      <c r="N22" s="1"/>
      <c r="O22" s="4" t="s">
        <v>0</v>
      </c>
      <c r="P22" s="4" t="s">
        <v>11</v>
      </c>
      <c r="Q22" s="4" t="s">
        <v>5</v>
      </c>
      <c r="R22" s="4" t="s">
        <v>12</v>
      </c>
      <c r="S22" s="4" t="s">
        <v>13</v>
      </c>
      <c r="V22" s="1"/>
      <c r="W22" s="1"/>
      <c r="X22" s="1"/>
      <c r="Y22" s="1"/>
      <c r="Z22" s="1"/>
      <c r="AA22" s="1"/>
      <c r="AB22" s="1"/>
      <c r="AC22" s="1"/>
      <c r="AD22" s="1"/>
    </row>
    <row r="23" spans="1:30" ht="17.5" x14ac:dyDescent="0.35">
      <c r="A23" s="1"/>
      <c r="B23" s="7"/>
      <c r="C23" s="1">
        <v>16</v>
      </c>
      <c r="D23" s="1">
        <v>4.2</v>
      </c>
      <c r="E23" s="4">
        <f t="shared" si="0"/>
        <v>5.9523809523809521E-2</v>
      </c>
      <c r="G23" s="1"/>
      <c r="H23" s="1"/>
      <c r="I23" s="1"/>
      <c r="J23" s="1"/>
      <c r="K23" s="1"/>
      <c r="L23" s="1"/>
      <c r="M23" s="1"/>
      <c r="N23" s="1"/>
      <c r="O23" s="3" t="s">
        <v>3</v>
      </c>
      <c r="P23" s="4">
        <f>P4</f>
        <v>16</v>
      </c>
      <c r="Q23" s="4">
        <f>Q4</f>
        <v>1.5940488841657809E-2</v>
      </c>
      <c r="R23" s="1">
        <f>LN(P23)</f>
        <v>2.7725887222397811</v>
      </c>
      <c r="S23" s="1">
        <f>LN(Q23)</f>
        <v>-4.1388929384831696</v>
      </c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35">
      <c r="A24" s="1"/>
      <c r="B24" s="7"/>
      <c r="C24" s="1">
        <v>14</v>
      </c>
      <c r="D24" s="1">
        <v>3.64</v>
      </c>
      <c r="E24" s="4">
        <f t="shared" si="0"/>
        <v>6.8681318681318673E-2</v>
      </c>
      <c r="G24" s="1"/>
      <c r="H24" s="1"/>
      <c r="I24" s="1"/>
      <c r="J24" s="1"/>
      <c r="K24" s="1"/>
      <c r="L24" s="1"/>
      <c r="M24" s="1"/>
      <c r="N24" s="1"/>
      <c r="O24" s="3"/>
      <c r="P24" s="4">
        <f t="shared" ref="P24:P37" si="4">P5</f>
        <v>14</v>
      </c>
      <c r="Q24" s="4">
        <f t="shared" ref="Q24:Q37" si="5">Q5</f>
        <v>1.8373346398824104E-2</v>
      </c>
      <c r="R24" s="4">
        <f t="shared" ref="R24:R37" si="6">LN(P24)</f>
        <v>2.6390573296152584</v>
      </c>
      <c r="S24" s="4">
        <f t="shared" ref="S24:S37" si="7">LN(Q24)</f>
        <v>-3.9968542298334797</v>
      </c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5">
      <c r="A25" s="1"/>
      <c r="B25" s="7"/>
      <c r="C25" s="1">
        <v>14</v>
      </c>
      <c r="D25" s="1">
        <v>3.5</v>
      </c>
      <c r="E25" s="4">
        <f t="shared" si="0"/>
        <v>7.1428571428571425E-2</v>
      </c>
      <c r="G25" s="1"/>
      <c r="H25" s="1"/>
      <c r="I25" s="1"/>
      <c r="J25" s="1"/>
      <c r="K25" s="1"/>
      <c r="L25" s="1"/>
      <c r="M25" s="1"/>
      <c r="N25" s="1"/>
      <c r="O25" s="3"/>
      <c r="P25" s="4">
        <f t="shared" si="4"/>
        <v>12</v>
      </c>
      <c r="Q25" s="4">
        <f t="shared" si="5"/>
        <v>2.3234200743494426E-2</v>
      </c>
      <c r="R25" s="4">
        <f t="shared" si="6"/>
        <v>2.4849066497880004</v>
      </c>
      <c r="S25" s="4">
        <f t="shared" si="7"/>
        <v>-3.7621299158535288</v>
      </c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35">
      <c r="A26" s="1"/>
      <c r="B26" s="7"/>
      <c r="C26" s="1">
        <v>14</v>
      </c>
      <c r="D26" s="1">
        <v>3.17</v>
      </c>
      <c r="E26" s="4">
        <f t="shared" si="0"/>
        <v>7.8864353312302835E-2</v>
      </c>
      <c r="G26" s="1"/>
      <c r="H26" s="1"/>
      <c r="I26" s="1"/>
      <c r="J26" s="1"/>
      <c r="K26" s="1"/>
      <c r="L26" s="1"/>
      <c r="M26" s="1"/>
      <c r="N26" s="1"/>
      <c r="O26" s="3"/>
      <c r="P26" s="4">
        <f t="shared" si="4"/>
        <v>10</v>
      </c>
      <c r="Q26" s="4">
        <f t="shared" si="5"/>
        <v>2.6612948000000001E-2</v>
      </c>
      <c r="R26" s="4">
        <f t="shared" si="6"/>
        <v>2.3025850929940459</v>
      </c>
      <c r="S26" s="4">
        <f t="shared" si="7"/>
        <v>-3.626357414709775</v>
      </c>
      <c r="V26" s="1"/>
      <c r="W26" s="1"/>
      <c r="X26" s="1"/>
      <c r="Y26" s="1"/>
      <c r="Z26" s="1"/>
      <c r="AA26" s="1"/>
      <c r="AB26" s="1"/>
      <c r="AC26" s="1"/>
      <c r="AD26" s="1"/>
    </row>
    <row r="27" spans="1:30" ht="17.5" customHeight="1" x14ac:dyDescent="0.35">
      <c r="A27" s="1"/>
      <c r="B27" s="7"/>
      <c r="C27" s="1">
        <v>13</v>
      </c>
      <c r="D27" s="1">
        <v>3.23</v>
      </c>
      <c r="E27" s="4">
        <f t="shared" si="0"/>
        <v>7.7399380804953566E-2</v>
      </c>
      <c r="G27" s="1"/>
      <c r="H27" s="1"/>
      <c r="I27" s="1"/>
      <c r="J27" s="1"/>
      <c r="K27" s="1"/>
      <c r="L27" s="1"/>
      <c r="M27" s="1"/>
      <c r="N27" s="1"/>
      <c r="O27" s="3"/>
      <c r="P27" s="4">
        <f t="shared" si="4"/>
        <v>8</v>
      </c>
      <c r="Q27" s="4">
        <f t="shared" si="5"/>
        <v>3.0560237000000001E-2</v>
      </c>
      <c r="R27" s="4">
        <f t="shared" si="6"/>
        <v>2.0794415416798357</v>
      </c>
      <c r="S27" s="4">
        <f t="shared" si="7"/>
        <v>-3.4880555594782869</v>
      </c>
      <c r="V27" s="1"/>
      <c r="W27" s="1"/>
      <c r="X27" s="1"/>
      <c r="Y27" s="1"/>
      <c r="Z27" s="1"/>
      <c r="AA27" s="1"/>
      <c r="AB27" s="1"/>
      <c r="AC27" s="1"/>
      <c r="AD27" s="1"/>
    </row>
    <row r="28" spans="1:30" ht="17.5" x14ac:dyDescent="0.35">
      <c r="A28" s="1"/>
      <c r="B28" s="7"/>
      <c r="C28" s="1">
        <v>13</v>
      </c>
      <c r="D28" s="1">
        <v>3.24</v>
      </c>
      <c r="E28" s="4">
        <f t="shared" si="0"/>
        <v>7.716049382716049E-2</v>
      </c>
      <c r="F28" s="1"/>
      <c r="G28" s="1"/>
      <c r="H28" s="1"/>
      <c r="I28" s="1"/>
      <c r="J28" s="1"/>
      <c r="K28" s="1"/>
      <c r="L28" s="1"/>
      <c r="M28" s="1"/>
      <c r="N28" s="1"/>
      <c r="O28" s="3" t="s">
        <v>4</v>
      </c>
      <c r="P28" s="4">
        <f t="shared" si="4"/>
        <v>17.333333333333332</v>
      </c>
      <c r="Q28" s="4">
        <f t="shared" si="5"/>
        <v>6.714413607878246E-2</v>
      </c>
      <c r="R28" s="4">
        <f t="shared" si="6"/>
        <v>2.8526314299133175</v>
      </c>
      <c r="S28" s="4">
        <f t="shared" si="7"/>
        <v>-2.7009136855328904</v>
      </c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5">
      <c r="A29" s="1"/>
      <c r="B29" s="7"/>
      <c r="C29" s="1">
        <v>13</v>
      </c>
      <c r="D29" s="1">
        <v>3.27</v>
      </c>
      <c r="E29" s="4">
        <f t="shared" si="0"/>
        <v>7.64525993883792E-2</v>
      </c>
      <c r="F29" s="1"/>
      <c r="G29" s="1"/>
      <c r="H29" s="1"/>
      <c r="I29" s="1"/>
      <c r="J29" s="1"/>
      <c r="K29" s="1"/>
      <c r="L29" s="1"/>
      <c r="M29" s="1"/>
      <c r="N29" s="1"/>
      <c r="O29" s="3"/>
      <c r="P29" s="4">
        <f t="shared" si="4"/>
        <v>16.766666666666666</v>
      </c>
      <c r="Q29" s="4">
        <f t="shared" si="5"/>
        <v>7.0955534531693468E-2</v>
      </c>
      <c r="R29" s="4">
        <f t="shared" si="6"/>
        <v>2.8193927884375838</v>
      </c>
      <c r="S29" s="4">
        <f t="shared" si="7"/>
        <v>-2.6457018723339272</v>
      </c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  <c r="P30" s="4">
        <f t="shared" si="4"/>
        <v>13.066666666666668</v>
      </c>
      <c r="Q30" s="4">
        <f t="shared" si="5"/>
        <v>9.2592592592592601E-2</v>
      </c>
      <c r="R30" s="4">
        <f t="shared" si="6"/>
        <v>2.5700644581283072</v>
      </c>
      <c r="S30" s="4">
        <f t="shared" si="7"/>
        <v>-2.379546134130174</v>
      </c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35">
      <c r="A31" s="1"/>
      <c r="B31" s="1" t="s">
        <v>30</v>
      </c>
      <c r="C31" s="1" t="s">
        <v>31</v>
      </c>
      <c r="D31" s="1" t="s">
        <v>32</v>
      </c>
      <c r="E31" s="1" t="s">
        <v>33</v>
      </c>
      <c r="F31" s="1"/>
      <c r="G31" s="1"/>
      <c r="H31" s="1"/>
      <c r="I31" s="1"/>
      <c r="J31" s="1"/>
      <c r="K31" s="1"/>
      <c r="L31" s="1"/>
      <c r="M31" s="1"/>
      <c r="N31" s="1"/>
      <c r="O31" s="3"/>
      <c r="P31" s="4">
        <f t="shared" si="4"/>
        <v>10</v>
      </c>
      <c r="Q31" s="4">
        <f t="shared" si="5"/>
        <v>0.111532958</v>
      </c>
      <c r="R31" s="4">
        <f t="shared" si="6"/>
        <v>2.3025850929940459</v>
      </c>
      <c r="S31" s="4">
        <f t="shared" si="7"/>
        <v>-2.1934351443153792</v>
      </c>
      <c r="V31" s="1"/>
      <c r="W31" s="1"/>
      <c r="X31" s="1"/>
      <c r="Y31" s="1"/>
      <c r="Z31" s="1"/>
      <c r="AA31" s="1"/>
      <c r="AB31" s="1"/>
      <c r="AC31" s="1"/>
      <c r="AD31" s="1"/>
    </row>
    <row r="32" spans="1:30" ht="17.5" customHeight="1" x14ac:dyDescent="0.35">
      <c r="A32" s="1"/>
      <c r="B32" s="1">
        <f>STDEV(E3:E5)</f>
        <v>3.87414887975349E-4</v>
      </c>
      <c r="C32" s="1">
        <f>(0.04/(AVERAGE(D3:D5)*4))*(AVERAGE(E3:E5))</f>
        <v>1.0167913551275126E-5</v>
      </c>
      <c r="D32" s="1">
        <f>SQRT(((B32)^2)+((C32)^2))</f>
        <v>3.8754829620440653E-4</v>
      </c>
      <c r="E32" s="1">
        <f>D32/Q4</f>
        <v>2.431219644855644E-2</v>
      </c>
      <c r="F32" s="1"/>
      <c r="G32" s="1"/>
      <c r="H32" s="1"/>
      <c r="I32" s="1"/>
      <c r="J32" s="1"/>
      <c r="K32" s="1"/>
      <c r="L32" s="1"/>
      <c r="M32" s="1"/>
      <c r="N32" s="1"/>
      <c r="O32" s="3"/>
      <c r="P32" s="4">
        <f t="shared" si="4"/>
        <v>8</v>
      </c>
      <c r="Q32" s="4">
        <f t="shared" si="5"/>
        <v>0.122025864</v>
      </c>
      <c r="R32" s="4">
        <f t="shared" si="6"/>
        <v>2.0794415416798357</v>
      </c>
      <c r="S32" s="4">
        <f t="shared" si="7"/>
        <v>-2.1035222567177048</v>
      </c>
      <c r="V32" s="1"/>
      <c r="W32" s="1"/>
      <c r="X32" s="1"/>
      <c r="Y32" s="1"/>
      <c r="Z32" s="1"/>
      <c r="AA32" s="1"/>
      <c r="AB32" s="1"/>
      <c r="AC32" s="1"/>
      <c r="AD32" s="1"/>
    </row>
    <row r="33" spans="1:30" ht="17.5" x14ac:dyDescent="0.35">
      <c r="A33" s="1"/>
      <c r="B33" s="1">
        <f>STDEV(E6:E8)</f>
        <v>2.3370640738705939E-4</v>
      </c>
      <c r="C33" s="4">
        <f>(0.04/(AVERAGE(D6:D8)*4))*(AVERAGE(E6:E8))</f>
        <v>1.3504645387187262E-5</v>
      </c>
      <c r="D33" s="4">
        <f t="shared" ref="D33:D40" si="8">SQRT(((B33)^2)+((C33)^2))</f>
        <v>2.3409626289370758E-4</v>
      </c>
      <c r="E33" s="4">
        <f t="shared" ref="E33:E40" si="9">D33/Q5</f>
        <v>1.2741079268428192E-2</v>
      </c>
      <c r="F33" s="1"/>
      <c r="G33" s="1"/>
      <c r="H33" s="1"/>
      <c r="I33" s="1"/>
      <c r="J33" s="1"/>
      <c r="K33" s="1"/>
      <c r="L33" s="1"/>
      <c r="M33" s="1"/>
      <c r="N33" s="1"/>
      <c r="O33" s="3" t="s">
        <v>6</v>
      </c>
      <c r="P33" s="4">
        <f t="shared" si="4"/>
        <v>16</v>
      </c>
      <c r="Q33" s="4">
        <f t="shared" si="5"/>
        <v>6.1074918566775237E-2</v>
      </c>
      <c r="R33" s="4">
        <f t="shared" si="6"/>
        <v>2.7725887222397811</v>
      </c>
      <c r="S33" s="4">
        <f t="shared" si="7"/>
        <v>-2.7956539951707775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35">
      <c r="A34" s="1"/>
      <c r="B34" s="1">
        <f>STDEV(E9:E11)</f>
        <v>4.969066980413222E-4</v>
      </c>
      <c r="C34" s="4">
        <f>(0.04/(AVERAGE(D9:D11)*4))*(AVERAGE(E9:E11))</f>
        <v>2.1599703790616454E-5</v>
      </c>
      <c r="D34" s="4">
        <f t="shared" si="8"/>
        <v>4.9737592800835483E-4</v>
      </c>
      <c r="E34" s="4">
        <f t="shared" si="9"/>
        <v>2.1407059941479591E-2</v>
      </c>
      <c r="F34" s="1"/>
      <c r="G34" s="1"/>
      <c r="H34" s="1"/>
      <c r="I34" s="1"/>
      <c r="J34" s="1"/>
      <c r="K34" s="1"/>
      <c r="L34" s="1"/>
      <c r="M34" s="1"/>
      <c r="N34" s="1"/>
      <c r="O34" s="3"/>
      <c r="P34" s="4">
        <f t="shared" si="4"/>
        <v>14</v>
      </c>
      <c r="Q34" s="4">
        <f t="shared" si="5"/>
        <v>7.2744907856450047E-2</v>
      </c>
      <c r="R34" s="4">
        <f t="shared" si="6"/>
        <v>2.6390573296152584</v>
      </c>
      <c r="S34" s="4">
        <f t="shared" si="7"/>
        <v>-2.6207963704806496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35">
      <c r="A35" s="1"/>
      <c r="B35" s="4">
        <f>STDEV(E12:E14)</f>
        <v>5.4665029457819717E-3</v>
      </c>
      <c r="C35" s="4">
        <f>(0.04/(AVERAGE(D12:D14)*4))*(AVERAGE(E12:E14))</f>
        <v>1.8110221812027948E-4</v>
      </c>
      <c r="D35" s="4">
        <f t="shared" si="8"/>
        <v>5.4695020312320076E-3</v>
      </c>
      <c r="E35" s="4">
        <f t="shared" si="9"/>
        <v>0.20552033661329092</v>
      </c>
      <c r="F35" s="1"/>
      <c r="G35" s="1"/>
      <c r="H35" s="1"/>
      <c r="I35" s="1"/>
      <c r="J35" s="1"/>
      <c r="K35" s="1"/>
      <c r="L35" s="1"/>
      <c r="M35" s="1"/>
      <c r="N35" s="1"/>
      <c r="O35" s="3"/>
      <c r="P35" s="4">
        <f t="shared" si="4"/>
        <v>13</v>
      </c>
      <c r="Q35" s="4">
        <f t="shared" si="5"/>
        <v>7.7002053388090352E-2</v>
      </c>
      <c r="R35" s="4">
        <f t="shared" si="6"/>
        <v>2.5649493574615367</v>
      </c>
      <c r="S35" s="4">
        <f t="shared" si="7"/>
        <v>-2.5639231901062245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35">
      <c r="A36" s="1"/>
      <c r="B36" s="1">
        <f>STDEV(E15:E17)</f>
        <v>1.1520186389876838E-3</v>
      </c>
      <c r="C36" s="4">
        <f>(0.04/(AVERAGE(D15:D17)*4))*(AVERAGE(E15:E17))</f>
        <v>2.0142323429806592E-4</v>
      </c>
      <c r="D36" s="4">
        <f t="shared" si="8"/>
        <v>1.1694948755296575E-3</v>
      </c>
      <c r="E36" s="4">
        <f t="shared" si="9"/>
        <v>3.8268514590696974E-2</v>
      </c>
      <c r="F36" s="1"/>
      <c r="G36" s="1"/>
      <c r="H36" s="1"/>
      <c r="I36" s="1"/>
      <c r="J36" s="1"/>
      <c r="K36" s="1"/>
      <c r="L36" s="1"/>
      <c r="M36" s="1"/>
      <c r="N36" s="1"/>
      <c r="O36" s="3"/>
      <c r="P36" s="4">
        <f t="shared" si="4"/>
        <v>10</v>
      </c>
      <c r="Q36" s="4">
        <f t="shared" si="5"/>
        <v>9.3512341999999998E-2</v>
      </c>
      <c r="R36" s="4">
        <f t="shared" si="6"/>
        <v>2.3025850929940459</v>
      </c>
      <c r="S36" s="4">
        <f t="shared" si="7"/>
        <v>-2.3696618513987291</v>
      </c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35">
      <c r="A37" s="1"/>
      <c r="B37" s="1">
        <f>STDEV(E18:E20)</f>
        <v>1.0289547844589964E-3</v>
      </c>
      <c r="C37" s="4">
        <f>(0.04/(AVERAGE(D18:D20)*4))*(AVERAGE(E18:E20))</f>
        <v>3.4296375675207691E-4</v>
      </c>
      <c r="D37" s="4">
        <f t="shared" si="8"/>
        <v>1.0846068812738364E-3</v>
      </c>
      <c r="E37" s="4">
        <f t="shared" si="9"/>
        <v>1.6153411818438334E-2</v>
      </c>
      <c r="F37" s="1"/>
      <c r="G37" s="1"/>
      <c r="H37" s="1"/>
      <c r="I37" s="1"/>
      <c r="J37" s="1"/>
      <c r="K37" s="1"/>
      <c r="L37" s="1"/>
      <c r="M37" s="1"/>
      <c r="N37" s="1"/>
      <c r="O37" s="3"/>
      <c r="P37" s="4">
        <f t="shared" si="4"/>
        <v>8</v>
      </c>
      <c r="Q37" s="4">
        <f t="shared" si="5"/>
        <v>0.104034534</v>
      </c>
      <c r="R37" s="4">
        <f t="shared" si="6"/>
        <v>2.0794415416798357</v>
      </c>
      <c r="S37" s="4">
        <f t="shared" si="7"/>
        <v>-2.2630323772674106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35">
      <c r="A38" s="1"/>
      <c r="B38" s="4">
        <f>STDEV(E21:E23)</f>
        <v>1.7412732297126844E-3</v>
      </c>
      <c r="C38" s="4">
        <f>(0.04/(AVERAGE(D21:D23)*4))*(AVERAGE(E21:E23))</f>
        <v>1.4928611752729461E-4</v>
      </c>
      <c r="D38" s="4">
        <f t="shared" si="8"/>
        <v>1.7476609526451109E-3</v>
      </c>
      <c r="E38" s="4">
        <f t="shared" si="9"/>
        <v>2.463036835927843E-2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35">
      <c r="A39" s="1"/>
      <c r="B39" s="1">
        <f>STDEV(E24:E26)</f>
        <v>5.2683400955699311E-3</v>
      </c>
      <c r="C39" s="4">
        <f>(0.04/(AVERAGE(D24:D26)*4))*(AVERAGE(E24:E26))</f>
        <v>2.1239014880911051E-4</v>
      </c>
      <c r="D39" s="4">
        <f t="shared" si="8"/>
        <v>5.272619551788366E-3</v>
      </c>
      <c r="E39" s="4">
        <f t="shared" si="9"/>
        <v>5.6944291159314347E-2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35">
      <c r="A40" s="1"/>
      <c r="B40" s="1">
        <f>STDEV(E27:E29)</f>
        <v>4.9237123111651397E-4</v>
      </c>
      <c r="C40" s="4">
        <f>(0.04/(AVERAGE(D27:D29)*4))*(AVERAGE(E27:E29))</f>
        <v>2.3717913143787812E-4</v>
      </c>
      <c r="D40" s="4">
        <f t="shared" si="8"/>
        <v>5.4651932227581658E-4</v>
      </c>
      <c r="E40" s="4">
        <f t="shared" si="9"/>
        <v>4.9000701862118336E-3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35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35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5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35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35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35">
      <c r="A56" s="1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</sheetData>
  <mergeCells count="3">
    <mergeCell ref="B3:B11"/>
    <mergeCell ref="B12:B20"/>
    <mergeCell ref="B21:B2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abSelected="1" topLeftCell="G1" zoomScale="115" zoomScaleNormal="115" workbookViewId="0">
      <selection activeCell="O11" sqref="O11"/>
    </sheetView>
  </sheetViews>
  <sheetFormatPr defaultRowHeight="15.5" x14ac:dyDescent="0.35"/>
  <cols>
    <col min="2" max="2" width="19.6640625" bestFit="1" customWidth="1"/>
    <col min="3" max="3" width="23.9140625" bestFit="1" customWidth="1"/>
    <col min="4" max="4" width="7.4140625" bestFit="1" customWidth="1"/>
    <col min="5" max="5" width="14" bestFit="1" customWidth="1"/>
    <col min="6" max="6" width="20.75" bestFit="1" customWidth="1"/>
    <col min="8" max="8" width="7.25" customWidth="1"/>
    <col min="9" max="9" width="21.58203125" bestFit="1" customWidth="1"/>
    <col min="10" max="10" width="20.58203125" bestFit="1" customWidth="1"/>
    <col min="11" max="11" width="20.08203125" bestFit="1" customWidth="1"/>
  </cols>
  <sheetData>
    <row r="2" spans="2:6" x14ac:dyDescent="0.35">
      <c r="B2" s="2" t="s">
        <v>0</v>
      </c>
      <c r="C2" s="2" t="s">
        <v>1</v>
      </c>
      <c r="D2" s="2" t="s">
        <v>7</v>
      </c>
      <c r="E2" s="2" t="s">
        <v>5</v>
      </c>
      <c r="F2" s="2" t="s">
        <v>8</v>
      </c>
    </row>
    <row r="3" spans="2:6" x14ac:dyDescent="0.35">
      <c r="B3" s="7">
        <v>0</v>
      </c>
      <c r="C3" s="8">
        <v>15</v>
      </c>
      <c r="D3" s="5">
        <v>332</v>
      </c>
      <c r="E3" s="5">
        <f>(D3/4)/10</f>
        <v>8.3000000000000007</v>
      </c>
      <c r="F3" s="8">
        <f>AVERAGE(E3:E5)</f>
        <v>9.0916666666666668</v>
      </c>
    </row>
    <row r="4" spans="2:6" x14ac:dyDescent="0.35">
      <c r="B4" s="7"/>
      <c r="C4" s="8"/>
      <c r="D4" s="5">
        <v>382</v>
      </c>
      <c r="E4" s="5">
        <f t="shared" ref="E4:E47" si="0">(D4/4)/10</f>
        <v>9.5500000000000007</v>
      </c>
      <c r="F4" s="8"/>
    </row>
    <row r="5" spans="2:6" x14ac:dyDescent="0.35">
      <c r="B5" s="7"/>
      <c r="C5" s="8"/>
      <c r="D5" s="5">
        <v>377</v>
      </c>
      <c r="E5" s="5">
        <f t="shared" si="0"/>
        <v>9.4250000000000007</v>
      </c>
      <c r="F5" s="8"/>
    </row>
    <row r="6" spans="2:6" x14ac:dyDescent="0.35">
      <c r="B6" s="7"/>
      <c r="C6" s="8">
        <v>14</v>
      </c>
      <c r="D6" s="5">
        <v>351</v>
      </c>
      <c r="E6" s="5">
        <f t="shared" si="0"/>
        <v>8.7750000000000004</v>
      </c>
      <c r="F6" s="8">
        <f>AVERAGE(E6:E8)</f>
        <v>8.7249999999999996</v>
      </c>
    </row>
    <row r="7" spans="2:6" x14ac:dyDescent="0.35">
      <c r="B7" s="7"/>
      <c r="C7" s="8"/>
      <c r="D7" s="5">
        <v>328</v>
      </c>
      <c r="E7" s="5">
        <f t="shared" si="0"/>
        <v>8.1999999999999993</v>
      </c>
      <c r="F7" s="8"/>
    </row>
    <row r="8" spans="2:6" x14ac:dyDescent="0.35">
      <c r="B8" s="7"/>
      <c r="C8" s="8"/>
      <c r="D8" s="5">
        <v>368</v>
      </c>
      <c r="E8" s="5">
        <f t="shared" si="0"/>
        <v>9.1999999999999993</v>
      </c>
      <c r="F8" s="8"/>
    </row>
    <row r="9" spans="2:6" x14ac:dyDescent="0.35">
      <c r="B9" s="7"/>
      <c r="C9" s="8">
        <v>13</v>
      </c>
      <c r="D9" s="5">
        <v>317</v>
      </c>
      <c r="E9" s="5">
        <f t="shared" si="0"/>
        <v>7.9249999999999998</v>
      </c>
      <c r="F9" s="8">
        <f>AVERAGE(E9:E11)</f>
        <v>8.1083333333333325</v>
      </c>
    </row>
    <row r="10" spans="2:6" x14ac:dyDescent="0.35">
      <c r="B10" s="7"/>
      <c r="C10" s="8"/>
      <c r="D10" s="5">
        <v>334</v>
      </c>
      <c r="E10" s="5">
        <f t="shared" si="0"/>
        <v>8.35</v>
      </c>
      <c r="F10" s="8"/>
    </row>
    <row r="11" spans="2:6" x14ac:dyDescent="0.35">
      <c r="B11" s="7"/>
      <c r="C11" s="8"/>
      <c r="D11" s="5">
        <v>322</v>
      </c>
      <c r="E11" s="5">
        <f t="shared" si="0"/>
        <v>8.0500000000000007</v>
      </c>
      <c r="F11" s="8"/>
    </row>
    <row r="12" spans="2:6" x14ac:dyDescent="0.35">
      <c r="B12" s="7"/>
      <c r="C12" s="8">
        <v>12</v>
      </c>
      <c r="D12" s="5">
        <v>304</v>
      </c>
      <c r="E12" s="5">
        <f t="shared" si="0"/>
        <v>7.6</v>
      </c>
      <c r="F12" s="8">
        <f>AVERAGE(E12:E14)</f>
        <v>7.1833333333333336</v>
      </c>
    </row>
    <row r="13" spans="2:6" x14ac:dyDescent="0.35">
      <c r="B13" s="7"/>
      <c r="C13" s="8"/>
      <c r="D13" s="5">
        <v>288</v>
      </c>
      <c r="E13" s="5">
        <f t="shared" si="0"/>
        <v>7.2</v>
      </c>
      <c r="F13" s="8"/>
    </row>
    <row r="14" spans="2:6" x14ac:dyDescent="0.35">
      <c r="B14" s="7"/>
      <c r="C14" s="8"/>
      <c r="D14" s="5">
        <v>270</v>
      </c>
      <c r="E14" s="5">
        <f t="shared" si="0"/>
        <v>6.75</v>
      </c>
      <c r="F14" s="8"/>
    </row>
    <row r="15" spans="2:6" x14ac:dyDescent="0.35">
      <c r="B15" s="7"/>
      <c r="C15" s="8">
        <v>11</v>
      </c>
      <c r="D15" s="5">
        <v>243</v>
      </c>
      <c r="E15" s="5">
        <f t="shared" si="0"/>
        <v>6.0750000000000002</v>
      </c>
      <c r="F15" s="8">
        <f>AVERAGE(E15:E17)</f>
        <v>6.458333333333333</v>
      </c>
    </row>
    <row r="16" spans="2:6" x14ac:dyDescent="0.35">
      <c r="B16" s="7"/>
      <c r="C16" s="8"/>
      <c r="D16" s="5">
        <v>276</v>
      </c>
      <c r="E16" s="5">
        <f t="shared" si="0"/>
        <v>6.9</v>
      </c>
      <c r="F16" s="8"/>
    </row>
    <row r="17" spans="2:11" x14ac:dyDescent="0.35">
      <c r="B17" s="7"/>
      <c r="C17" s="8"/>
      <c r="D17" s="5">
        <v>256</v>
      </c>
      <c r="E17" s="5">
        <f t="shared" si="0"/>
        <v>6.4</v>
      </c>
      <c r="F17" s="8"/>
      <c r="H17" s="20" t="s">
        <v>30</v>
      </c>
      <c r="I17" s="21" t="s">
        <v>46</v>
      </c>
      <c r="J17" s="20" t="s">
        <v>47</v>
      </c>
      <c r="K17" s="20" t="s">
        <v>48</v>
      </c>
    </row>
    <row r="18" spans="2:11" x14ac:dyDescent="0.35">
      <c r="B18" s="7" t="s">
        <v>9</v>
      </c>
      <c r="C18" s="8">
        <v>15</v>
      </c>
      <c r="D18" s="5">
        <v>344</v>
      </c>
      <c r="E18" s="5">
        <f>(D18/4)/10</f>
        <v>8.6</v>
      </c>
      <c r="F18" s="8">
        <f>AVERAGE(E18:E20)</f>
        <v>8.6583333333333332</v>
      </c>
      <c r="H18">
        <f>STDEV(E3:E5)/SQRT(6)</f>
        <v>0.28105703256733422</v>
      </c>
      <c r="I18">
        <f>1/4</f>
        <v>0.25</v>
      </c>
      <c r="J18">
        <v>0.01</v>
      </c>
      <c r="K18">
        <f>SQRT(((H18)^2)+((I18)^2)+((J18)^2))</f>
        <v>0.3762885270049508</v>
      </c>
    </row>
    <row r="19" spans="2:11" x14ac:dyDescent="0.35">
      <c r="B19" s="7"/>
      <c r="C19" s="8"/>
      <c r="D19" s="5">
        <v>362</v>
      </c>
      <c r="E19" s="5">
        <f t="shared" si="0"/>
        <v>9.0500000000000007</v>
      </c>
      <c r="F19" s="8"/>
      <c r="H19">
        <f>STDEV(E6:E8)/SQRT(6)</f>
        <v>0.20488818088573749</v>
      </c>
      <c r="I19">
        <f t="shared" ref="I19:I32" si="1">1/4</f>
        <v>0.25</v>
      </c>
      <c r="J19">
        <v>0.01</v>
      </c>
      <c r="K19">
        <f t="shared" ref="K19:K27" si="2">SQRT(((H19)^2)+((I19)^2)+((J19)^2))</f>
        <v>0.32338702303380495</v>
      </c>
    </row>
    <row r="20" spans="2:11" x14ac:dyDescent="0.35">
      <c r="B20" s="7"/>
      <c r="C20" s="8"/>
      <c r="D20" s="5">
        <v>333</v>
      </c>
      <c r="E20" s="5">
        <f t="shared" si="0"/>
        <v>8.3249999999999993</v>
      </c>
      <c r="F20" s="8"/>
      <c r="H20">
        <f>STDEV(E9:E11)/SQRT(6)</f>
        <v>8.917056066263615E-2</v>
      </c>
      <c r="I20">
        <f t="shared" si="1"/>
        <v>0.25</v>
      </c>
      <c r="J20">
        <v>0.01</v>
      </c>
      <c r="K20">
        <f t="shared" si="2"/>
        <v>0.26561511419512418</v>
      </c>
    </row>
    <row r="21" spans="2:11" x14ac:dyDescent="0.35">
      <c r="B21" s="7"/>
      <c r="C21" s="8">
        <v>14</v>
      </c>
      <c r="D21" s="5">
        <v>331</v>
      </c>
      <c r="E21" s="5">
        <f t="shared" si="0"/>
        <v>8.2750000000000004</v>
      </c>
      <c r="F21" s="8">
        <f>AVERAGE(E21:E23)</f>
        <v>7.9416666666666664</v>
      </c>
      <c r="H21">
        <f>STDEV(E12:E14)/SQRT(6)</f>
        <v>0.17360555546666376</v>
      </c>
      <c r="I21">
        <f t="shared" si="1"/>
        <v>0.25</v>
      </c>
      <c r="J21">
        <v>0.01</v>
      </c>
      <c r="K21">
        <f t="shared" si="2"/>
        <v>0.30453060419092343</v>
      </c>
    </row>
    <row r="22" spans="2:11" x14ac:dyDescent="0.35">
      <c r="B22" s="7"/>
      <c r="C22" s="8"/>
      <c r="D22" s="5">
        <v>304</v>
      </c>
      <c r="E22" s="5">
        <f t="shared" si="0"/>
        <v>7.6</v>
      </c>
      <c r="F22" s="8"/>
      <c r="H22">
        <f>STDEV(E15:E17)/SQRT(6)</f>
        <v>0.16966060892918614</v>
      </c>
      <c r="I22">
        <f t="shared" si="1"/>
        <v>0.25</v>
      </c>
      <c r="J22">
        <v>0.01</v>
      </c>
      <c r="K22">
        <f t="shared" si="2"/>
        <v>0.30229906090198533</v>
      </c>
    </row>
    <row r="23" spans="2:11" x14ac:dyDescent="0.35">
      <c r="B23" s="7"/>
      <c r="C23" s="8"/>
      <c r="D23" s="5">
        <v>318</v>
      </c>
      <c r="E23" s="5">
        <f t="shared" si="0"/>
        <v>7.95</v>
      </c>
      <c r="F23" s="8"/>
      <c r="H23">
        <f>STDEV(E18:E20)/SQRT(6)</f>
        <v>0.14942017564200955</v>
      </c>
      <c r="I23">
        <f t="shared" si="1"/>
        <v>0.25</v>
      </c>
      <c r="J23">
        <v>0.01</v>
      </c>
      <c r="K23">
        <f t="shared" si="2"/>
        <v>0.29142132538455207</v>
      </c>
    </row>
    <row r="24" spans="2:11" x14ac:dyDescent="0.35">
      <c r="B24" s="7"/>
      <c r="C24" s="8">
        <v>13</v>
      </c>
      <c r="D24" s="5">
        <v>279</v>
      </c>
      <c r="E24" s="5">
        <f t="shared" si="0"/>
        <v>6.9749999999999996</v>
      </c>
      <c r="F24" s="8">
        <f>AVERAGE(E24:E26)</f>
        <v>7.125</v>
      </c>
      <c r="H24">
        <f>STDEV(E21:E23)/SQRT(6)</f>
        <v>0.13781529507117704</v>
      </c>
      <c r="I24">
        <f t="shared" si="1"/>
        <v>0.25</v>
      </c>
      <c r="J24">
        <v>0.01</v>
      </c>
      <c r="K24">
        <f t="shared" si="2"/>
        <v>0.28564498167402769</v>
      </c>
    </row>
    <row r="25" spans="2:11" x14ac:dyDescent="0.35">
      <c r="B25" s="7"/>
      <c r="C25" s="8"/>
      <c r="D25" s="5">
        <v>282</v>
      </c>
      <c r="E25" s="5">
        <f t="shared" si="0"/>
        <v>7.05</v>
      </c>
      <c r="F25" s="8"/>
      <c r="H25">
        <f>STDEV(E24:E26)/SQRT(6)</f>
        <v>8.1009258730098246E-2</v>
      </c>
      <c r="I25">
        <f t="shared" si="1"/>
        <v>0.25</v>
      </c>
      <c r="J25">
        <v>0.01</v>
      </c>
      <c r="K25">
        <f t="shared" si="2"/>
        <v>0.2629876422952227</v>
      </c>
    </row>
    <row r="26" spans="2:11" x14ac:dyDescent="0.35">
      <c r="B26" s="7"/>
      <c r="C26" s="8"/>
      <c r="D26" s="5">
        <v>294</v>
      </c>
      <c r="E26" s="5">
        <f t="shared" si="0"/>
        <v>7.35</v>
      </c>
      <c r="F26" s="8"/>
      <c r="H26">
        <f>STDEV(E27:E29)/SQRT(6)</f>
        <v>5.1370116691408153E-2</v>
      </c>
      <c r="I26">
        <f t="shared" si="1"/>
        <v>0.25</v>
      </c>
      <c r="J26">
        <v>0.01</v>
      </c>
      <c r="K26">
        <f t="shared" si="2"/>
        <v>0.25541904566591916</v>
      </c>
    </row>
    <row r="27" spans="2:11" x14ac:dyDescent="0.35">
      <c r="B27" s="7"/>
      <c r="C27" s="8">
        <v>12</v>
      </c>
      <c r="D27" s="5">
        <v>250</v>
      </c>
      <c r="E27" s="5">
        <f t="shared" si="0"/>
        <v>6.25</v>
      </c>
      <c r="F27" s="8">
        <f>AVERAGE(E27:E29)</f>
        <v>6.2666666666666666</v>
      </c>
      <c r="H27">
        <f>STDEV(E30:E32)/SQRT(6)</f>
        <v>4.1247895569215313E-2</v>
      </c>
      <c r="I27">
        <f t="shared" si="1"/>
        <v>0.25</v>
      </c>
      <c r="J27">
        <v>0.01</v>
      </c>
      <c r="K27">
        <f t="shared" si="2"/>
        <v>0.25357718526888195</v>
      </c>
    </row>
    <row r="28" spans="2:11" x14ac:dyDescent="0.35">
      <c r="B28" s="7"/>
      <c r="C28" s="8"/>
      <c r="D28" s="5">
        <v>256</v>
      </c>
      <c r="E28" s="5">
        <f t="shared" si="0"/>
        <v>6.4</v>
      </c>
      <c r="F28" s="8"/>
      <c r="H28">
        <f>STDEV(E33:E35)/SQRT(6)</f>
        <v>9.2044675143227214E-2</v>
      </c>
      <c r="I28">
        <f>1/4</f>
        <v>0.25</v>
      </c>
      <c r="J28">
        <v>0.01</v>
      </c>
      <c r="K28">
        <f>SQRT(((H28)^2)+((I28)^2)+((J28)^2))</f>
        <v>0.26659374002819763</v>
      </c>
    </row>
    <row r="29" spans="2:11" x14ac:dyDescent="0.35">
      <c r="B29" s="7"/>
      <c r="C29" s="8"/>
      <c r="D29" s="5">
        <v>246</v>
      </c>
      <c r="E29" s="5">
        <f t="shared" si="0"/>
        <v>6.15</v>
      </c>
      <c r="F29" s="8"/>
      <c r="H29">
        <f>STDEV(E36:E38)/SQRT(6)</f>
        <v>5.621140651346692E-2</v>
      </c>
      <c r="I29">
        <f t="shared" si="1"/>
        <v>0.25</v>
      </c>
      <c r="J29">
        <v>0.01</v>
      </c>
      <c r="K29">
        <f t="shared" ref="K29:K32" si="3">SQRT(((H29)^2)+((I29)^2)+((J29)^2))</f>
        <v>0.25643658518671286</v>
      </c>
    </row>
    <row r="30" spans="2:11" x14ac:dyDescent="0.35">
      <c r="B30" s="7"/>
      <c r="C30" s="8">
        <v>11</v>
      </c>
      <c r="D30" s="5">
        <v>219</v>
      </c>
      <c r="E30" s="5">
        <f t="shared" si="0"/>
        <v>5.4749999999999996</v>
      </c>
      <c r="F30" s="8">
        <f>AVERAGE(E30:E32)</f>
        <v>5.583333333333333</v>
      </c>
      <c r="H30">
        <f>STDEV(E39:E41)/SQRT(6)</f>
        <v>3.5843021946010925E-2</v>
      </c>
      <c r="I30">
        <f t="shared" si="1"/>
        <v>0.25</v>
      </c>
      <c r="J30">
        <v>0.01</v>
      </c>
      <c r="K30">
        <f t="shared" si="3"/>
        <v>0.25275427241141191</v>
      </c>
    </row>
    <row r="31" spans="2:11" x14ac:dyDescent="0.35">
      <c r="B31" s="7"/>
      <c r="C31" s="8"/>
      <c r="D31" s="5">
        <v>224</v>
      </c>
      <c r="E31" s="5">
        <f t="shared" si="0"/>
        <v>5.6</v>
      </c>
      <c r="F31" s="8"/>
      <c r="H31">
        <f>STDEV(E42:E44)/SQRT(6)</f>
        <v>5.6211406513466733E-2</v>
      </c>
      <c r="I31">
        <f t="shared" si="1"/>
        <v>0.25</v>
      </c>
      <c r="J31">
        <v>0.01</v>
      </c>
      <c r="K31">
        <f t="shared" si="3"/>
        <v>0.25643658518671281</v>
      </c>
    </row>
    <row r="32" spans="2:11" x14ac:dyDescent="0.35">
      <c r="B32" s="7"/>
      <c r="C32" s="8"/>
      <c r="D32" s="5">
        <v>227</v>
      </c>
      <c r="E32" s="5">
        <f t="shared" si="0"/>
        <v>5.6749999999999998</v>
      </c>
      <c r="F32" s="8"/>
      <c r="H32">
        <f>STDEV(E45:E47)/SQRT(6)</f>
        <v>3.0618621784789801E-2</v>
      </c>
      <c r="I32">
        <f t="shared" si="1"/>
        <v>0.25</v>
      </c>
      <c r="J32">
        <v>0.01</v>
      </c>
      <c r="K32">
        <f t="shared" si="3"/>
        <v>0.2520664594903495</v>
      </c>
    </row>
    <row r="33" spans="2:6" x14ac:dyDescent="0.35">
      <c r="B33" s="7" t="s">
        <v>10</v>
      </c>
      <c r="C33" s="8">
        <v>15</v>
      </c>
      <c r="D33" s="5">
        <v>259</v>
      </c>
      <c r="E33" s="5">
        <f>(D33/4)/10</f>
        <v>6.4749999999999996</v>
      </c>
      <c r="F33" s="8">
        <f>AVERAGE(E33:E35)</f>
        <v>6.6916666666666664</v>
      </c>
    </row>
    <row r="34" spans="2:6" x14ac:dyDescent="0.35">
      <c r="B34" s="7"/>
      <c r="C34" s="8"/>
      <c r="D34" s="5">
        <v>267</v>
      </c>
      <c r="E34" s="5">
        <f t="shared" si="0"/>
        <v>6.6749999999999998</v>
      </c>
      <c r="F34" s="8"/>
    </row>
    <row r="35" spans="2:6" x14ac:dyDescent="0.35">
      <c r="B35" s="7"/>
      <c r="C35" s="8"/>
      <c r="D35" s="5">
        <v>277</v>
      </c>
      <c r="E35" s="5">
        <f t="shared" si="0"/>
        <v>6.9249999999999998</v>
      </c>
      <c r="F35" s="8"/>
    </row>
    <row r="36" spans="2:6" x14ac:dyDescent="0.35">
      <c r="B36" s="7"/>
      <c r="C36" s="8">
        <v>14</v>
      </c>
      <c r="D36" s="5">
        <v>248</v>
      </c>
      <c r="E36" s="5">
        <f t="shared" si="0"/>
        <v>6.2</v>
      </c>
      <c r="F36" s="8">
        <f>AVERAGE(E36:E38)</f>
        <v>6.1916666666666664</v>
      </c>
    </row>
    <row r="37" spans="2:6" x14ac:dyDescent="0.35">
      <c r="B37" s="7"/>
      <c r="C37" s="8"/>
      <c r="D37" s="5">
        <v>253</v>
      </c>
      <c r="E37" s="5">
        <f t="shared" si="0"/>
        <v>6.3250000000000002</v>
      </c>
      <c r="F37" s="8"/>
    </row>
    <row r="38" spans="2:6" x14ac:dyDescent="0.35">
      <c r="B38" s="7"/>
      <c r="C38" s="8"/>
      <c r="D38" s="5">
        <v>242</v>
      </c>
      <c r="E38" s="5">
        <f t="shared" si="0"/>
        <v>6.05</v>
      </c>
      <c r="F38" s="8"/>
    </row>
    <row r="39" spans="2:6" x14ac:dyDescent="0.35">
      <c r="B39" s="7"/>
      <c r="C39" s="8">
        <v>13</v>
      </c>
      <c r="D39" s="5">
        <v>227</v>
      </c>
      <c r="E39" s="5">
        <f t="shared" si="0"/>
        <v>5.6749999999999998</v>
      </c>
      <c r="F39" s="8">
        <f>AVERAGE(E39:E41)</f>
        <v>5.7666666666666657</v>
      </c>
    </row>
    <row r="40" spans="2:6" x14ac:dyDescent="0.35">
      <c r="B40" s="7"/>
      <c r="C40" s="8"/>
      <c r="D40" s="5">
        <v>231</v>
      </c>
      <c r="E40" s="5">
        <f t="shared" si="0"/>
        <v>5.7750000000000004</v>
      </c>
      <c r="F40" s="8"/>
    </row>
    <row r="41" spans="2:6" x14ac:dyDescent="0.35">
      <c r="B41" s="7"/>
      <c r="C41" s="8"/>
      <c r="D41" s="5">
        <v>234</v>
      </c>
      <c r="E41" s="5">
        <f t="shared" si="0"/>
        <v>5.85</v>
      </c>
      <c r="F41" s="8"/>
    </row>
    <row r="42" spans="2:6" x14ac:dyDescent="0.35">
      <c r="B42" s="7"/>
      <c r="C42" s="8">
        <v>12</v>
      </c>
      <c r="D42" s="5">
        <v>216</v>
      </c>
      <c r="E42" s="5">
        <f t="shared" si="0"/>
        <v>5.4</v>
      </c>
      <c r="F42" s="8">
        <f>AVERAGE(E42:E44)</f>
        <v>5.4083333333333341</v>
      </c>
    </row>
    <row r="43" spans="2:6" x14ac:dyDescent="0.35">
      <c r="B43" s="7"/>
      <c r="C43" s="8"/>
      <c r="D43" s="5">
        <v>222</v>
      </c>
      <c r="E43" s="5">
        <f t="shared" si="0"/>
        <v>5.55</v>
      </c>
      <c r="F43" s="8"/>
    </row>
    <row r="44" spans="2:6" x14ac:dyDescent="0.35">
      <c r="B44" s="7"/>
      <c r="C44" s="8"/>
      <c r="D44" s="5">
        <v>211</v>
      </c>
      <c r="E44" s="5">
        <f t="shared" si="0"/>
        <v>5.2750000000000004</v>
      </c>
      <c r="F44" s="8"/>
    </row>
    <row r="45" spans="2:6" x14ac:dyDescent="0.35">
      <c r="B45" s="7"/>
      <c r="C45" s="8">
        <v>11</v>
      </c>
      <c r="D45" s="5">
        <v>205</v>
      </c>
      <c r="E45" s="5">
        <f t="shared" si="0"/>
        <v>5.125</v>
      </c>
      <c r="F45" s="8">
        <f>AVERAGE(E45:E47)</f>
        <v>5.05</v>
      </c>
    </row>
    <row r="46" spans="2:6" x14ac:dyDescent="0.35">
      <c r="B46" s="7"/>
      <c r="C46" s="8"/>
      <c r="D46" s="5">
        <v>202</v>
      </c>
      <c r="E46" s="5">
        <f t="shared" si="0"/>
        <v>5.05</v>
      </c>
      <c r="F46" s="8"/>
    </row>
    <row r="47" spans="2:6" x14ac:dyDescent="0.35">
      <c r="B47" s="7"/>
      <c r="C47" s="8"/>
      <c r="D47" s="5">
        <v>199</v>
      </c>
      <c r="E47" s="5">
        <f t="shared" si="0"/>
        <v>4.9749999999999996</v>
      </c>
      <c r="F47" s="8"/>
    </row>
  </sheetData>
  <mergeCells count="33">
    <mergeCell ref="B3:B17"/>
    <mergeCell ref="C3:C5"/>
    <mergeCell ref="C6:C8"/>
    <mergeCell ref="C9:C11"/>
    <mergeCell ref="C12:C14"/>
    <mergeCell ref="C15:C17"/>
    <mergeCell ref="B18:B32"/>
    <mergeCell ref="C18:C20"/>
    <mergeCell ref="F18:F20"/>
    <mergeCell ref="C21:C23"/>
    <mergeCell ref="F21:F23"/>
    <mergeCell ref="F3:F5"/>
    <mergeCell ref="F6:F8"/>
    <mergeCell ref="F9:F11"/>
    <mergeCell ref="F12:F14"/>
    <mergeCell ref="F15:F17"/>
    <mergeCell ref="C24:C26"/>
    <mergeCell ref="F24:F26"/>
    <mergeCell ref="C27:C29"/>
    <mergeCell ref="F27:F29"/>
    <mergeCell ref="C30:C32"/>
    <mergeCell ref="F30:F32"/>
    <mergeCell ref="F45:F47"/>
    <mergeCell ref="B33:B47"/>
    <mergeCell ref="C33:C35"/>
    <mergeCell ref="F33:F35"/>
    <mergeCell ref="C36:C38"/>
    <mergeCell ref="F36:F38"/>
    <mergeCell ref="C39:C41"/>
    <mergeCell ref="F39:F41"/>
    <mergeCell ref="C42:C44"/>
    <mergeCell ref="F42:F44"/>
    <mergeCell ref="C45:C4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A15" zoomScale="85" zoomScaleNormal="85" workbookViewId="0">
      <selection activeCell="D16" sqref="D16"/>
    </sheetView>
  </sheetViews>
  <sheetFormatPr defaultRowHeight="15.5" x14ac:dyDescent="0.35"/>
  <cols>
    <col min="2" max="3" width="7.58203125" customWidth="1"/>
    <col min="4" max="4" width="5.83203125" customWidth="1"/>
    <col min="5" max="5" width="12.83203125" customWidth="1"/>
    <col min="6" max="6" width="13.5" customWidth="1"/>
    <col min="7" max="7" width="12.83203125" customWidth="1"/>
    <col min="8" max="8" width="13.5" customWidth="1"/>
    <col min="9" max="10" width="12.83203125" customWidth="1"/>
    <col min="11" max="12" width="7.6640625" customWidth="1"/>
    <col min="13" max="13" width="13.5" customWidth="1"/>
    <col min="14" max="14" width="11.75" customWidth="1"/>
    <col min="15" max="15" width="12.83203125" customWidth="1"/>
    <col min="16" max="16" width="8.1640625" customWidth="1"/>
    <col min="17" max="17" width="8" customWidth="1"/>
    <col min="18" max="18" width="25.6640625" customWidth="1"/>
  </cols>
  <sheetData>
    <row r="1" spans="1:20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0" ht="18.5" x14ac:dyDescent="0.35">
      <c r="A2" s="6"/>
      <c r="B2" s="9" t="s">
        <v>27</v>
      </c>
      <c r="C2" s="9" t="s">
        <v>28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1" t="s">
        <v>22</v>
      </c>
      <c r="L2" s="11" t="s">
        <v>23</v>
      </c>
      <c r="M2" s="12" t="s">
        <v>24</v>
      </c>
      <c r="N2" s="10" t="s">
        <v>25</v>
      </c>
      <c r="O2" s="10" t="s">
        <v>26</v>
      </c>
      <c r="R2" s="16" t="s">
        <v>34</v>
      </c>
      <c r="S2" s="17" t="s">
        <v>35</v>
      </c>
      <c r="T2" s="4">
        <f>H8/E8</f>
        <v>-3.8344315397468405</v>
      </c>
    </row>
    <row r="3" spans="1:20" x14ac:dyDescent="0.35">
      <c r="A3" s="6"/>
      <c r="B3" s="13">
        <f>Sheet1!$R23</f>
        <v>2.7725887222397811</v>
      </c>
      <c r="C3" s="13">
        <f>Sheet1!$S23</f>
        <v>-4.1388929384831696</v>
      </c>
      <c r="D3" s="14">
        <f>Sheet1!E32</f>
        <v>2.431219644855644E-2</v>
      </c>
      <c r="E3" s="12">
        <f t="shared" ref="E3:E8" si="0">1/D3^2</f>
        <v>1691.8100769080856</v>
      </c>
      <c r="F3" s="12">
        <f>B3*E3</f>
        <v>4690.6935394069751</v>
      </c>
      <c r="G3" s="12">
        <f>(B3^2)*E3</f>
        <v>13005.364006842781</v>
      </c>
      <c r="H3" s="12">
        <f>C3*E3</f>
        <v>-7002.2207805695434</v>
      </c>
      <c r="I3" s="12">
        <f>(C3^2)*E3</f>
        <v>28981.442142399392</v>
      </c>
      <c r="J3" s="12">
        <f t="shared" ref="J3:J8" si="1">C3*B3*E3</f>
        <v>-19414.278366840153</v>
      </c>
      <c r="K3" s="12"/>
      <c r="L3" s="12"/>
      <c r="M3" s="12">
        <f>($T$4*B3)+$T$8</f>
        <v>-4.1123514773361389</v>
      </c>
      <c r="N3" s="11">
        <f>((C3-$T$2)^2)*E3</f>
        <v>156.82528444615374</v>
      </c>
      <c r="O3" s="11">
        <f>((C3-M3)^2)*E3</f>
        <v>1.1917941872517952</v>
      </c>
      <c r="R3" s="18"/>
      <c r="S3" s="18"/>
      <c r="T3" s="4"/>
    </row>
    <row r="4" spans="1:20" x14ac:dyDescent="0.35">
      <c r="A4" s="6"/>
      <c r="B4" s="13">
        <f>Sheet1!$R24</f>
        <v>2.6390573296152584</v>
      </c>
      <c r="C4" s="13">
        <f>Sheet1!$S24</f>
        <v>-3.9968542298334797</v>
      </c>
      <c r="D4" s="14">
        <f>Sheet1!E33</f>
        <v>1.2741079268428192E-2</v>
      </c>
      <c r="E4" s="12">
        <f t="shared" si="0"/>
        <v>6160.0971958977871</v>
      </c>
      <c r="F4" s="12">
        <f t="shared" ref="F4:F7" si="2">B4*E4</f>
        <v>16256.849655976455</v>
      </c>
      <c r="G4" s="12">
        <f t="shared" ref="G4:G7" si="3">(B4^2)*E4</f>
        <v>42902.758241057956</v>
      </c>
      <c r="H4" s="12">
        <f t="shared" ref="H4:H7" si="4">C4*E4</f>
        <v>-24621.010533609428</v>
      </c>
      <c r="I4" s="12">
        <f t="shared" ref="I4:I7" si="5">(C4^2)*E4</f>
        <v>98406.590094031504</v>
      </c>
      <c r="J4" s="12">
        <f t="shared" si="1"/>
        <v>-64976.258311256446</v>
      </c>
      <c r="K4" s="12"/>
      <c r="L4" s="12"/>
      <c r="M4" s="12">
        <f t="shared" ref="M4:M7" si="6">($T$4*B4)+$T$8</f>
        <v>-3.9822846749190037</v>
      </c>
      <c r="N4" s="11">
        <f t="shared" ref="N4:N7" si="7">((C4-$T$2)^2)*E4</f>
        <v>162.51032650831937</v>
      </c>
      <c r="O4" s="11">
        <f t="shared" ref="O4:O7" si="8">((C4-M4)^2)*E4</f>
        <v>1.3076157232613868</v>
      </c>
      <c r="R4" s="16" t="s">
        <v>36</v>
      </c>
      <c r="S4" s="17" t="s">
        <v>37</v>
      </c>
      <c r="T4" s="4">
        <f>L8*((E8*J8)-(F8*H8))</f>
        <v>-0.97405411462209368</v>
      </c>
    </row>
    <row r="5" spans="1:20" x14ac:dyDescent="0.35">
      <c r="A5" s="6"/>
      <c r="B5" s="13">
        <f>Sheet1!$R25</f>
        <v>2.4849066497880004</v>
      </c>
      <c r="C5" s="13">
        <f>Sheet1!$S25</f>
        <v>-3.7621299158535288</v>
      </c>
      <c r="D5" s="14">
        <f>Sheet1!E34</f>
        <v>2.1407059941479591E-2</v>
      </c>
      <c r="E5" s="12">
        <f t="shared" si="0"/>
        <v>2182.1567795246056</v>
      </c>
      <c r="F5" s="12">
        <f t="shared" si="2"/>
        <v>5422.4558923206596</v>
      </c>
      <c r="G5" s="12">
        <f t="shared" si="3"/>
        <v>13474.296705009732</v>
      </c>
      <c r="H5" s="12">
        <f t="shared" si="4"/>
        <v>-8209.5573013321118</v>
      </c>
      <c r="I5" s="12">
        <f t="shared" si="5"/>
        <v>30885.421119255301</v>
      </c>
      <c r="J5" s="12">
        <f t="shared" si="1"/>
        <v>-20399.983529895795</v>
      </c>
      <c r="K5" s="12"/>
      <c r="L5" s="12"/>
      <c r="M5" s="12">
        <f t="shared" si="6"/>
        <v>-3.8321335709614699</v>
      </c>
      <c r="N5" s="11">
        <f t="shared" si="7"/>
        <v>11.407278720880552</v>
      </c>
      <c r="O5" s="11">
        <f t="shared" si="8"/>
        <v>10.693684891424057</v>
      </c>
      <c r="R5" s="19"/>
      <c r="S5" s="18"/>
      <c r="T5" s="4"/>
    </row>
    <row r="6" spans="1:20" ht="17.5" x14ac:dyDescent="0.45">
      <c r="A6" s="6"/>
      <c r="B6" s="13">
        <f>Sheet1!$R26</f>
        <v>2.3025850929940459</v>
      </c>
      <c r="C6" s="13">
        <f>Sheet1!$S26</f>
        <v>-3.626357414709775</v>
      </c>
      <c r="D6" s="14">
        <v>1.7999999999999999E-2</v>
      </c>
      <c r="E6" s="12">
        <f t="shared" si="0"/>
        <v>3086.4197530864203</v>
      </c>
      <c r="F6" s="12">
        <f t="shared" si="2"/>
        <v>7106.7441141791551</v>
      </c>
      <c r="G6" s="12">
        <f t="shared" si="3"/>
        <v>16363.883057032099</v>
      </c>
      <c r="H6" s="12">
        <f t="shared" si="4"/>
        <v>-11192.461156511654</v>
      </c>
      <c r="I6" s="12">
        <f t="shared" si="5"/>
        <v>40587.864503767174</v>
      </c>
      <c r="J6" s="12">
        <f t="shared" si="1"/>
        <v>-25771.594212898628</v>
      </c>
      <c r="K6" s="12"/>
      <c r="L6" s="12"/>
      <c r="M6" s="12">
        <f t="shared" si="6"/>
        <v>-3.6545425083820131</v>
      </c>
      <c r="N6" s="11">
        <f t="shared" si="7"/>
        <v>133.62605404302582</v>
      </c>
      <c r="O6" s="11">
        <f t="shared" si="8"/>
        <v>2.4518503250396173</v>
      </c>
      <c r="R6" s="16" t="s">
        <v>38</v>
      </c>
      <c r="S6" s="17" t="s">
        <v>39</v>
      </c>
      <c r="T6" s="4">
        <f>SQRT(L8*E8)</f>
        <v>3.7047715366619494E-2</v>
      </c>
    </row>
    <row r="7" spans="1:20" x14ac:dyDescent="0.35">
      <c r="A7" s="6"/>
      <c r="B7" s="13">
        <f>Sheet1!$R27</f>
        <v>2.0794415416798357</v>
      </c>
      <c r="C7" s="13">
        <f>Sheet1!$S27</f>
        <v>-3.4880555594782869</v>
      </c>
      <c r="D7" s="14">
        <v>2.1999999999999999E-2</v>
      </c>
      <c r="E7" s="12">
        <f t="shared" si="0"/>
        <v>2066.1157024793392</v>
      </c>
      <c r="F7" s="12">
        <f t="shared" si="2"/>
        <v>4296.3668216525539</v>
      </c>
      <c r="G7" s="12">
        <f t="shared" si="3"/>
        <v>8934.0436472392812</v>
      </c>
      <c r="H7" s="12">
        <f t="shared" si="4"/>
        <v>-7206.7263625584455</v>
      </c>
      <c r="I7" s="12">
        <f t="shared" si="5"/>
        <v>25137.46195456072</v>
      </c>
      <c r="J7" s="12">
        <f t="shared" si="1"/>
        <v>-14985.966177823249</v>
      </c>
      <c r="K7" s="12"/>
      <c r="L7" s="12"/>
      <c r="M7" s="12">
        <f t="shared" si="6"/>
        <v>-3.4371886140730203</v>
      </c>
      <c r="N7" s="11">
        <f t="shared" si="7"/>
        <v>247.88495807231695</v>
      </c>
      <c r="O7" s="11">
        <f t="shared" si="8"/>
        <v>5.3459630885586211</v>
      </c>
      <c r="R7" s="19"/>
      <c r="S7" s="18"/>
      <c r="T7" s="4"/>
    </row>
    <row r="8" spans="1:20" x14ac:dyDescent="0.35">
      <c r="A8" s="6"/>
      <c r="B8" s="15">
        <f>SUM(B3:B7)</f>
        <v>12.278579336316922</v>
      </c>
      <c r="C8" s="15">
        <f>SUM(C3:C7)</f>
        <v>-19.012290058358239</v>
      </c>
      <c r="D8" s="13">
        <f>SUM(D3:D7)</f>
        <v>9.8460335658464238E-2</v>
      </c>
      <c r="E8" s="13">
        <f t="shared" ref="E8:J8" si="9">SUM(E3:E7)</f>
        <v>15186.599507896239</v>
      </c>
      <c r="F8" s="13">
        <f t="shared" si="9"/>
        <v>37773.110023535803</v>
      </c>
      <c r="G8" s="13">
        <f t="shared" si="9"/>
        <v>94680.345657181853</v>
      </c>
      <c r="H8" s="13">
        <f t="shared" si="9"/>
        <v>-58231.976134581186</v>
      </c>
      <c r="I8" s="13">
        <f t="shared" si="9"/>
        <v>223998.77981401407</v>
      </c>
      <c r="J8" s="13">
        <f t="shared" si="9"/>
        <v>-145548.08059871427</v>
      </c>
      <c r="K8" s="9">
        <f>(E8*G8)-(F8)^2</f>
        <v>11064649.914662838</v>
      </c>
      <c r="L8" s="9">
        <f>1/K8</f>
        <v>9.0377915949677114E-8</v>
      </c>
      <c r="M8" s="9">
        <f>SUM(M3:M7)</f>
        <v>-19.018500845671646</v>
      </c>
      <c r="N8" s="9">
        <f>SUM(N3:N7)</f>
        <v>712.25390179069643</v>
      </c>
      <c r="O8" s="9">
        <f>SUM(O3:O7)</f>
        <v>20.990908215535477</v>
      </c>
      <c r="R8" s="16" t="s">
        <v>40</v>
      </c>
      <c r="S8" s="17" t="s">
        <v>41</v>
      </c>
      <c r="T8" s="4">
        <f>L8*((G8*H8)-(F8*J8))</f>
        <v>-1.4117000242836664</v>
      </c>
    </row>
    <row r="9" spans="1:20" x14ac:dyDescent="0.35">
      <c r="A9" s="6"/>
      <c r="R9" s="19"/>
      <c r="S9" s="18"/>
      <c r="T9" s="4"/>
    </row>
    <row r="10" spans="1:20" ht="17.5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R10" s="16" t="s">
        <v>42</v>
      </c>
      <c r="S10" s="17" t="s">
        <v>43</v>
      </c>
      <c r="T10" s="4">
        <f>SQRT(L8*G8)</f>
        <v>9.2504120567092354E-2</v>
      </c>
    </row>
    <row r="11" spans="1:20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R11" s="19"/>
      <c r="S11" s="17"/>
      <c r="T11" s="4"/>
    </row>
    <row r="12" spans="1:20" ht="18.5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R12" s="16" t="s">
        <v>44</v>
      </c>
      <c r="S12" s="17" t="s">
        <v>45</v>
      </c>
      <c r="T12" s="4">
        <f>1-ABS(O8/N8)</f>
        <v>0.97052889684035193</v>
      </c>
    </row>
    <row r="13" spans="1:20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0" ht="18.5" x14ac:dyDescent="0.35">
      <c r="A14" s="6"/>
      <c r="B14" s="9" t="s">
        <v>27</v>
      </c>
      <c r="C14" s="9" t="s">
        <v>28</v>
      </c>
      <c r="D14" s="10" t="s">
        <v>15</v>
      </c>
      <c r="E14" s="10" t="s">
        <v>16</v>
      </c>
      <c r="F14" s="10" t="s">
        <v>17</v>
      </c>
      <c r="G14" s="10" t="s">
        <v>18</v>
      </c>
      <c r="H14" s="10" t="s">
        <v>19</v>
      </c>
      <c r="I14" s="10" t="s">
        <v>20</v>
      </c>
      <c r="J14" s="10" t="s">
        <v>21</v>
      </c>
      <c r="K14" s="11" t="s">
        <v>22</v>
      </c>
      <c r="L14" s="11" t="s">
        <v>23</v>
      </c>
      <c r="M14" s="12" t="s">
        <v>24</v>
      </c>
      <c r="N14" s="10" t="s">
        <v>25</v>
      </c>
      <c r="O14" s="10" t="s">
        <v>26</v>
      </c>
      <c r="R14" s="16" t="s">
        <v>34</v>
      </c>
      <c r="S14" s="17" t="s">
        <v>35</v>
      </c>
      <c r="T14" s="4">
        <f>H20/E20</f>
        <v>-2.3876387960925469</v>
      </c>
    </row>
    <row r="15" spans="1:20" x14ac:dyDescent="0.35">
      <c r="A15" s="6"/>
      <c r="B15" s="13">
        <f>Sheet1!R28</f>
        <v>2.8526314299133175</v>
      </c>
      <c r="C15" s="13">
        <f>Sheet1!S28</f>
        <v>-2.7009136855328904</v>
      </c>
      <c r="D15" s="14">
        <f>Sheet1!E35</f>
        <v>0.20552033661329092</v>
      </c>
      <c r="E15" s="12">
        <f t="shared" ref="E15:E20" si="10">1/D15^2</f>
        <v>23.675022196947079</v>
      </c>
      <c r="F15" s="12">
        <f>B15*E15</f>
        <v>67.536112422906683</v>
      </c>
      <c r="G15" s="12">
        <f>(B15^2)*E15</f>
        <v>192.65563695174285</v>
      </c>
      <c r="H15" s="12">
        <f>C15*E15</f>
        <v>-63.944191457029319</v>
      </c>
      <c r="I15" s="12">
        <f>(C15^2)*E15</f>
        <v>172.70774181662583</v>
      </c>
      <c r="J15" s="12">
        <f t="shared" ref="J15:J20" si="11">C15*B15*E15</f>
        <v>-182.4092103107165</v>
      </c>
      <c r="K15" s="12"/>
      <c r="L15" s="12"/>
      <c r="M15" s="12">
        <f>($T$16*B15)+$T$20</f>
        <v>-2.5988429987900066</v>
      </c>
      <c r="N15" s="11">
        <f>((C15-T$14)^2)*E15</f>
        <v>2.3234940551116749</v>
      </c>
      <c r="O15" s="11">
        <f>((C15-M15)^2)*E15</f>
        <v>0.24665644531421099</v>
      </c>
      <c r="R15" s="18"/>
      <c r="S15" s="18"/>
      <c r="T15" s="4"/>
    </row>
    <row r="16" spans="1:20" x14ac:dyDescent="0.35">
      <c r="A16" s="6"/>
      <c r="B16" s="13">
        <f>Sheet1!R29</f>
        <v>2.8193927884375838</v>
      </c>
      <c r="C16" s="13">
        <f>Sheet1!S29</f>
        <v>-2.6457018723339272</v>
      </c>
      <c r="D16" s="14">
        <f>Sheet1!E36</f>
        <v>3.8268514590696974E-2</v>
      </c>
      <c r="E16" s="12">
        <f t="shared" si="10"/>
        <v>682.83659738508311</v>
      </c>
      <c r="F16" s="12">
        <f t="shared" ref="F16:F19" si="12">B16*E16</f>
        <v>1925.1845783487613</v>
      </c>
      <c r="G16" s="12">
        <f t="shared" ref="G16:G19" si="13">(B16^2)*E16</f>
        <v>5427.8515166077477</v>
      </c>
      <c r="H16" s="12">
        <f t="shared" ref="H16:H19" si="14">C16*E16</f>
        <v>-1806.5820641998423</v>
      </c>
      <c r="I16" s="12">
        <f t="shared" ref="I16:I19" si="15">(C16^2)*E16</f>
        <v>4779.6775497784138</v>
      </c>
      <c r="J16" s="12">
        <f t="shared" si="11"/>
        <v>-5093.4644435257196</v>
      </c>
      <c r="K16" s="12"/>
      <c r="L16" s="12"/>
      <c r="M16" s="12">
        <f t="shared" ref="M16:M19" si="16">($T$16*B16)+$T$20</f>
        <v>-2.5753794403947432</v>
      </c>
      <c r="N16" s="11">
        <f t="shared" ref="N16:N19" si="17">((C16-T$14)^2)*E16</f>
        <v>45.474562500359312</v>
      </c>
      <c r="O16" s="11">
        <f t="shared" ref="O16:O19" si="18">((C16-M16)^2)*E16</f>
        <v>3.3767938824416208</v>
      </c>
      <c r="R16" s="16" t="s">
        <v>36</v>
      </c>
      <c r="S16" s="17" t="s">
        <v>37</v>
      </c>
      <c r="T16" s="4">
        <f>L20*((E20*J20)-(F20*H20))</f>
        <v>-0.70591207563020175</v>
      </c>
    </row>
    <row r="17" spans="1:20" x14ac:dyDescent="0.35">
      <c r="A17" s="6"/>
      <c r="B17" s="13">
        <f>Sheet1!R30</f>
        <v>2.5700644581283072</v>
      </c>
      <c r="C17" s="13">
        <f>Sheet1!S30</f>
        <v>-2.379546134130174</v>
      </c>
      <c r="D17" s="14">
        <f>Sheet1!E37</f>
        <v>1.6153411818438334E-2</v>
      </c>
      <c r="E17" s="12">
        <f t="shared" si="10"/>
        <v>3832.4056307910041</v>
      </c>
      <c r="F17" s="12">
        <f t="shared" si="12"/>
        <v>9849.5295008267549</v>
      </c>
      <c r="G17" s="12">
        <f t="shared" si="13"/>
        <v>25313.925699361091</v>
      </c>
      <c r="H17" s="12">
        <f t="shared" si="14"/>
        <v>-9119.3860031674449</v>
      </c>
      <c r="I17" s="12">
        <f t="shared" si="15"/>
        <v>21699.99970947791</v>
      </c>
      <c r="J17" s="12">
        <f t="shared" si="11"/>
        <v>-23437.409846693408</v>
      </c>
      <c r="K17" s="12"/>
      <c r="L17" s="12"/>
      <c r="M17" s="12">
        <f t="shared" si="16"/>
        <v>-2.3993755612327092</v>
      </c>
      <c r="N17" s="11">
        <f t="shared" si="17"/>
        <v>0.25098875794408204</v>
      </c>
      <c r="O17" s="11">
        <f t="shared" si="18"/>
        <v>1.5069255752844555</v>
      </c>
      <c r="R17" s="19"/>
      <c r="S17" s="18"/>
      <c r="T17" s="4"/>
    </row>
    <row r="18" spans="1:20" ht="17.5" x14ac:dyDescent="0.45">
      <c r="A18" s="6"/>
      <c r="B18" s="13">
        <f>Sheet1!R31</f>
        <v>2.3025850929940459</v>
      </c>
      <c r="C18" s="13">
        <f>Sheet1!S31</f>
        <v>-2.1934351443153792</v>
      </c>
      <c r="D18" s="14">
        <v>0.182</v>
      </c>
      <c r="E18" s="12">
        <f t="shared" si="10"/>
        <v>30.18959062915107</v>
      </c>
      <c r="F18" s="12">
        <f t="shared" si="12"/>
        <v>69.514101346275993</v>
      </c>
      <c r="G18" s="12">
        <f t="shared" si="13"/>
        <v>160.06213351281244</v>
      </c>
      <c r="H18" s="12">
        <f t="shared" si="14"/>
        <v>-66.218909078474198</v>
      </c>
      <c r="I18" s="12">
        <f t="shared" si="15"/>
        <v>145.24688239095002</v>
      </c>
      <c r="J18" s="12">
        <f t="shared" si="11"/>
        <v>-152.47467291842278</v>
      </c>
      <c r="K18" s="12"/>
      <c r="L18" s="12"/>
      <c r="M18" s="12">
        <f t="shared" si="16"/>
        <v>-2.210558647402534</v>
      </c>
      <c r="N18" s="11">
        <f t="shared" si="17"/>
        <v>1.1386021725512443</v>
      </c>
      <c r="O18" s="11">
        <f t="shared" si="18"/>
        <v>8.8520214338787817E-3</v>
      </c>
      <c r="R18" s="16" t="s">
        <v>38</v>
      </c>
      <c r="S18" s="17" t="s">
        <v>39</v>
      </c>
      <c r="T18" s="4">
        <f>SQRT(L20*E20)</f>
        <v>7.68261359821759E-2</v>
      </c>
    </row>
    <row r="19" spans="1:20" x14ac:dyDescent="0.35">
      <c r="A19" s="6"/>
      <c r="B19" s="13">
        <f>Sheet1!R32</f>
        <v>2.0794415416798357</v>
      </c>
      <c r="C19" s="13">
        <f>Sheet1!S32</f>
        <v>-2.1035222567177048</v>
      </c>
      <c r="D19" s="14">
        <v>4.3999999999999997E-2</v>
      </c>
      <c r="E19" s="12">
        <f t="shared" si="10"/>
        <v>516.52892561983481</v>
      </c>
      <c r="F19" s="12">
        <f t="shared" si="12"/>
        <v>1074.0917054131385</v>
      </c>
      <c r="G19" s="12">
        <f t="shared" si="13"/>
        <v>2233.5109118098203</v>
      </c>
      <c r="H19" s="12">
        <f t="shared" si="14"/>
        <v>-1086.5300912798064</v>
      </c>
      <c r="I19" s="12">
        <f t="shared" si="15"/>
        <v>2285.5402296005918</v>
      </c>
      <c r="J19" s="12">
        <f t="shared" si="11"/>
        <v>-2259.3758080924131</v>
      </c>
      <c r="K19" s="12"/>
      <c r="L19" s="12"/>
      <c r="M19" s="12">
        <f t="shared" si="16"/>
        <v>-2.0530389199308257</v>
      </c>
      <c r="N19" s="11">
        <f t="shared" si="17"/>
        <v>41.695355344181948</v>
      </c>
      <c r="O19" s="11">
        <f t="shared" si="18"/>
        <v>1.3164087257941435</v>
      </c>
      <c r="R19" s="19"/>
      <c r="S19" s="18"/>
      <c r="T19" s="4"/>
    </row>
    <row r="20" spans="1:20" x14ac:dyDescent="0.35">
      <c r="A20" s="6"/>
      <c r="B20" s="15">
        <f>SUM(B15:B19)</f>
        <v>12.624115311153092</v>
      </c>
      <c r="C20" s="15">
        <f>SUM(C15:C19)</f>
        <v>-12.023119093030076</v>
      </c>
      <c r="D20" s="13">
        <f>SUM(D15:D19)</f>
        <v>0.48594226302242621</v>
      </c>
      <c r="E20" s="13">
        <f t="shared" ref="E20" si="19">SUM(E15:E19)</f>
        <v>5085.6357666220201</v>
      </c>
      <c r="F20" s="13">
        <f t="shared" ref="F20" si="20">SUM(F15:F19)</f>
        <v>12985.855998357838</v>
      </c>
      <c r="G20" s="13">
        <f t="shared" ref="G20" si="21">SUM(G15:G19)</f>
        <v>33328.005898243217</v>
      </c>
      <c r="H20" s="13">
        <f t="shared" ref="H20" si="22">SUM(H15:H19)</f>
        <v>-12142.661259182598</v>
      </c>
      <c r="I20" s="13">
        <f t="shared" ref="I20" si="23">SUM(I15:I19)</f>
        <v>29083.172113064495</v>
      </c>
      <c r="J20" s="13">
        <f t="shared" ref="J20" si="24">SUM(J15:J19)</f>
        <v>-31125.133981540679</v>
      </c>
      <c r="K20" s="9">
        <f>(E20*G20)-(F20)^2</f>
        <v>861642.81620910764</v>
      </c>
      <c r="L20" s="9">
        <f>1/K20</f>
        <v>1.1605737101129792E-6</v>
      </c>
      <c r="M20" s="9">
        <f>SUM(M15:M19)</f>
        <v>-11.837195567750818</v>
      </c>
      <c r="N20" s="9">
        <f>SUM(N15:N19)</f>
        <v>90.883002830148257</v>
      </c>
      <c r="O20" s="9">
        <f>SUM(O15:O19)</f>
        <v>6.4556366502683087</v>
      </c>
      <c r="R20" s="16" t="s">
        <v>40</v>
      </c>
      <c r="S20" s="17" t="s">
        <v>41</v>
      </c>
      <c r="T20" s="4">
        <f>L20*((G20*H20)-(F20*J20))</f>
        <v>-0.58513602509194618</v>
      </c>
    </row>
    <row r="21" spans="1:20" x14ac:dyDescent="0.35">
      <c r="A21" s="6"/>
      <c r="R21" s="19"/>
      <c r="S21" s="18"/>
      <c r="T21" s="4"/>
    </row>
    <row r="22" spans="1:20" ht="17.5" x14ac:dyDescent="0.4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R22" s="16" t="s">
        <v>42</v>
      </c>
      <c r="S22" s="17" t="s">
        <v>43</v>
      </c>
      <c r="T22" s="4">
        <f>SQRT(L20*G20)</f>
        <v>0.19667131833592663</v>
      </c>
    </row>
    <row r="23" spans="1:20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R23" s="19"/>
      <c r="S23" s="17"/>
      <c r="T23" s="4"/>
    </row>
    <row r="24" spans="1:20" ht="18.5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R24" s="16" t="s">
        <v>44</v>
      </c>
      <c r="S24" s="17" t="s">
        <v>45</v>
      </c>
      <c r="T24" s="4">
        <f>1-ABS(O20/N20)</f>
        <v>0.92896761276326567</v>
      </c>
    </row>
    <row r="25" spans="1:20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20" ht="18.5" x14ac:dyDescent="0.35">
      <c r="A26" s="6"/>
      <c r="B26" s="9" t="s">
        <v>27</v>
      </c>
      <c r="C26" s="9" t="s">
        <v>28</v>
      </c>
      <c r="D26" s="10" t="s">
        <v>15</v>
      </c>
      <c r="E26" s="10" t="s">
        <v>16</v>
      </c>
      <c r="F26" s="10" t="s">
        <v>17</v>
      </c>
      <c r="G26" s="10" t="s">
        <v>18</v>
      </c>
      <c r="H26" s="10" t="s">
        <v>19</v>
      </c>
      <c r="I26" s="10" t="s">
        <v>20</v>
      </c>
      <c r="J26" s="10" t="s">
        <v>21</v>
      </c>
      <c r="K26" s="11" t="s">
        <v>22</v>
      </c>
      <c r="L26" s="11" t="s">
        <v>23</v>
      </c>
      <c r="M26" s="12" t="s">
        <v>24</v>
      </c>
      <c r="N26" s="10" t="s">
        <v>25</v>
      </c>
      <c r="O26" s="10" t="s">
        <v>26</v>
      </c>
      <c r="R26" s="16" t="s">
        <v>34</v>
      </c>
      <c r="S26" s="17" t="s">
        <v>35</v>
      </c>
      <c r="T26" s="4">
        <f>H32/E32</f>
        <v>-2.514744541828053</v>
      </c>
    </row>
    <row r="27" spans="1:20" x14ac:dyDescent="0.35">
      <c r="A27" s="6"/>
      <c r="B27" s="13">
        <f>Sheet1!R33</f>
        <v>2.7725887222397811</v>
      </c>
      <c r="C27" s="13">
        <f>Sheet1!S32</f>
        <v>-2.1035222567177048</v>
      </c>
      <c r="D27" s="14">
        <f>Sheet1!E38</f>
        <v>2.463036835927843E-2</v>
      </c>
      <c r="E27" s="12">
        <f t="shared" ref="E27:E32" si="25">1/D27^2</f>
        <v>1648.383224362954</v>
      </c>
      <c r="F27" s="12">
        <f>B27*E27</f>
        <v>4570.2887377979732</v>
      </c>
      <c r="G27" s="12">
        <f>(B27^2)*E27</f>
        <v>12671.531011798144</v>
      </c>
      <c r="H27" s="12">
        <f>C27*E27</f>
        <v>-3467.4108000475676</v>
      </c>
      <c r="I27" s="12">
        <f>(C27^2)*E27</f>
        <v>7293.7757910834016</v>
      </c>
      <c r="J27" s="12">
        <f t="shared" ref="J27:J32" si="26">C27*B27*E27</f>
        <v>-9613.7040795843041</v>
      </c>
      <c r="K27" s="12"/>
      <c r="L27" s="12"/>
      <c r="M27" s="12">
        <f>($T$28*B27)+$T$32</f>
        <v>-2.7823083762547398</v>
      </c>
      <c r="N27" s="11">
        <f>((C27-T$26)^2)*E27</f>
        <v>278.74781397090578</v>
      </c>
      <c r="O27" s="11">
        <f>((C27-M27)^2)*E27</f>
        <v>759.49355318715061</v>
      </c>
      <c r="R27" s="18"/>
      <c r="S27" s="18"/>
      <c r="T27" s="4"/>
    </row>
    <row r="28" spans="1:20" x14ac:dyDescent="0.35">
      <c r="A28" s="6"/>
      <c r="B28" s="13">
        <f>Sheet1!R34</f>
        <v>2.6390573296152584</v>
      </c>
      <c r="C28" s="13">
        <f>Sheet1!S33</f>
        <v>-2.7956539951707775</v>
      </c>
      <c r="D28" s="14">
        <f>Sheet1!E39</f>
        <v>5.6944291159314347E-2</v>
      </c>
      <c r="E28" s="12">
        <f t="shared" si="25"/>
        <v>308.38952463252861</v>
      </c>
      <c r="F28" s="12">
        <f t="shared" ref="F28:F31" si="27">B28*E28</f>
        <v>813.85763535803994</v>
      </c>
      <c r="G28" s="12">
        <f t="shared" ref="G28:G31" si="28">(B28^2)*E28</f>
        <v>2147.8169578549773</v>
      </c>
      <c r="H28" s="12">
        <f t="shared" ref="H28:H31" si="29">C28*E28</f>
        <v>-862.15040660774548</v>
      </c>
      <c r="I28" s="12">
        <f t="shared" ref="I28:I31" si="30">(C28^2)*E28</f>
        <v>2410.2742286710541</v>
      </c>
      <c r="J28" s="12">
        <f t="shared" si="26"/>
        <v>-2275.2643497889462</v>
      </c>
      <c r="K28" s="12"/>
      <c r="L28" s="12"/>
      <c r="M28" s="12">
        <f t="shared" ref="M28:M31" si="31">($T$28*B28)+$T$32</f>
        <v>-2.7111503079775057</v>
      </c>
      <c r="N28" s="11">
        <f t="shared" ref="N28:N30" si="32">((C28-T$26)^2)*E28</f>
        <v>24.335054696887443</v>
      </c>
      <c r="O28" s="11">
        <f t="shared" ref="O28:O31" si="33">((C28-M28)^2)*E28</f>
        <v>2.2021704759609655</v>
      </c>
      <c r="R28" s="16" t="s">
        <v>36</v>
      </c>
      <c r="S28" s="17" t="s">
        <v>37</v>
      </c>
      <c r="T28" s="4">
        <f>L32*((E32*J32)-(F32*H32))</f>
        <v>-0.53289392762737053</v>
      </c>
    </row>
    <row r="29" spans="1:20" x14ac:dyDescent="0.35">
      <c r="A29" s="6"/>
      <c r="B29" s="13">
        <f>Sheet1!R35</f>
        <v>2.5649493574615367</v>
      </c>
      <c r="C29" s="13">
        <f>Sheet1!S34</f>
        <v>-2.6207963704806496</v>
      </c>
      <c r="D29" s="14">
        <f>Sheet1!E40</f>
        <v>4.9000701862118336E-3</v>
      </c>
      <c r="E29" s="12">
        <f t="shared" si="25"/>
        <v>41648.119666059698</v>
      </c>
      <c r="F29" s="12">
        <f t="shared" si="27"/>
        <v>106825.31777694101</v>
      </c>
      <c r="G29" s="12">
        <f t="shared" si="28"/>
        <v>274001.53019258933</v>
      </c>
      <c r="H29" s="12">
        <f t="shared" si="29"/>
        <v>-109151.24085815302</v>
      </c>
      <c r="I29" s="12">
        <f t="shared" si="30"/>
        <v>286063.17587450665</v>
      </c>
      <c r="J29" s="12">
        <f t="shared" si="26"/>
        <v>-279967.40510524902</v>
      </c>
      <c r="K29" s="12"/>
      <c r="L29" s="12"/>
      <c r="M29" s="12">
        <f t="shared" si="31"/>
        <v>-2.6716586196280088</v>
      </c>
      <c r="N29" s="11">
        <f t="shared" si="32"/>
        <v>468.41600041961118</v>
      </c>
      <c r="O29" s="11">
        <f t="shared" si="33"/>
        <v>107.74236900939967</v>
      </c>
      <c r="R29" s="19"/>
      <c r="S29" s="18"/>
      <c r="T29" s="4"/>
    </row>
    <row r="30" spans="1:20" ht="17.5" x14ac:dyDescent="0.45">
      <c r="A30" s="6"/>
      <c r="B30" s="13">
        <f>Sheet1!R36</f>
        <v>2.3025850929940459</v>
      </c>
      <c r="C30" s="13">
        <f>Sheet1!S35</f>
        <v>-2.5639231901062245</v>
      </c>
      <c r="D30" s="14">
        <v>2E-3</v>
      </c>
      <c r="E30" s="12">
        <f t="shared" si="25"/>
        <v>250000</v>
      </c>
      <c r="F30" s="12">
        <f t="shared" si="27"/>
        <v>575646.27324851148</v>
      </c>
      <c r="G30" s="12">
        <f t="shared" si="28"/>
        <v>1325474.5276195998</v>
      </c>
      <c r="H30" s="12">
        <f t="shared" si="29"/>
        <v>-640980.79752655607</v>
      </c>
      <c r="I30" s="12">
        <f t="shared" si="30"/>
        <v>1643425.5311911197</v>
      </c>
      <c r="J30" s="12">
        <f t="shared" si="26"/>
        <v>-1475912.8292800828</v>
      </c>
      <c r="K30" s="12"/>
      <c r="L30" s="12"/>
      <c r="M30" s="12">
        <f t="shared" si="31"/>
        <v>-2.5318462962668615</v>
      </c>
      <c r="N30" s="11">
        <f t="shared" si="32"/>
        <v>604.63486161702599</v>
      </c>
      <c r="O30" s="11">
        <f t="shared" si="33"/>
        <v>257.2317795954404</v>
      </c>
      <c r="R30" s="16" t="s">
        <v>38</v>
      </c>
      <c r="S30" s="17" t="s">
        <v>39</v>
      </c>
      <c r="T30" s="4">
        <f>SQRT(L32*E32)</f>
        <v>1.0922841452340636E-2</v>
      </c>
    </row>
    <row r="31" spans="1:20" x14ac:dyDescent="0.35">
      <c r="A31" s="6"/>
      <c r="B31" s="13">
        <f>Sheet1!R37</f>
        <v>2.0794415416798357</v>
      </c>
      <c r="C31" s="13">
        <f>Sheet1!S36</f>
        <v>-2.3696618513987291</v>
      </c>
      <c r="D31" s="14">
        <v>3.0000000000000001E-3</v>
      </c>
      <c r="E31" s="12">
        <f t="shared" si="25"/>
        <v>111111.11111111111</v>
      </c>
      <c r="F31" s="12">
        <f t="shared" si="27"/>
        <v>231049.06018664842</v>
      </c>
      <c r="G31" s="12">
        <f t="shared" si="28"/>
        <v>480453.01391820132</v>
      </c>
      <c r="H31" s="12">
        <f t="shared" si="29"/>
        <v>-263295.76126652543</v>
      </c>
      <c r="I31" s="12">
        <f t="shared" si="30"/>
        <v>623921.92110827251</v>
      </c>
      <c r="J31" s="12">
        <f t="shared" si="26"/>
        <v>-547508.14372582966</v>
      </c>
      <c r="K31" s="12"/>
      <c r="L31" s="12"/>
      <c r="M31" s="12">
        <f t="shared" si="31"/>
        <v>-2.412934452782312</v>
      </c>
      <c r="N31" s="11">
        <f>((C31-T$26)^2)*E31</f>
        <v>2338.776340245669</v>
      </c>
      <c r="O31" s="11">
        <f t="shared" si="33"/>
        <v>208.05755894471795</v>
      </c>
      <c r="R31" s="19"/>
      <c r="S31" s="18"/>
      <c r="T31" s="4"/>
    </row>
    <row r="32" spans="1:20" x14ac:dyDescent="0.35">
      <c r="A32" s="6"/>
      <c r="B32" s="15">
        <f>SUM(B27:B31)</f>
        <v>12.35862204399046</v>
      </c>
      <c r="C32" s="15">
        <f>SUM(C27:C31)</f>
        <v>-12.453557663874086</v>
      </c>
      <c r="D32" s="13">
        <f>SUM(D27:D31)</f>
        <v>9.1474729704804608E-2</v>
      </c>
      <c r="E32" s="13">
        <f t="shared" ref="E32" si="34">SUM(E27:E31)</f>
        <v>404716.00352616631</v>
      </c>
      <c r="F32" s="13">
        <f t="shared" ref="F32" si="35">SUM(F27:F31)</f>
        <v>918904.79758525686</v>
      </c>
      <c r="G32" s="13">
        <f t="shared" ref="G32" si="36">SUM(G27:G31)</f>
        <v>2094748.4197000437</v>
      </c>
      <c r="H32" s="13">
        <f t="shared" ref="H32" si="37">SUM(H27:H31)</f>
        <v>-1017757.3608578898</v>
      </c>
      <c r="I32" s="13">
        <f t="shared" ref="I32" si="38">SUM(I27:I31)</f>
        <v>2563114.6781936535</v>
      </c>
      <c r="J32" s="13">
        <f t="shared" ref="J32" si="39">SUM(J27:J31)</f>
        <v>-2315277.3465405349</v>
      </c>
      <c r="K32" s="9">
        <f>(E32*G32)-(F32)^2</f>
        <v>3392181788.5523682</v>
      </c>
      <c r="L32" s="9">
        <f>1/K32</f>
        <v>2.9479552168303912E-10</v>
      </c>
      <c r="M32" s="9">
        <f>SUM(M27:M31)</f>
        <v>-13.109898052909429</v>
      </c>
      <c r="N32" s="9">
        <f>SUM(N27:N31)</f>
        <v>3714.9100709500995</v>
      </c>
      <c r="O32" s="9">
        <f>SUM(O27:O31)</f>
        <v>1334.7274312126697</v>
      </c>
      <c r="R32" s="16" t="s">
        <v>40</v>
      </c>
      <c r="S32" s="17" t="s">
        <v>41</v>
      </c>
      <c r="T32" s="4">
        <f>L32*((G32*H32)-(F32*J32))</f>
        <v>-1.3048126823650301</v>
      </c>
    </row>
    <row r="33" spans="2:20" x14ac:dyDescent="0.35">
      <c r="R33" s="19"/>
      <c r="S33" s="18"/>
      <c r="T33" s="4"/>
    </row>
    <row r="34" spans="2:20" ht="17.5" x14ac:dyDescent="0.4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R34" s="16" t="s">
        <v>42</v>
      </c>
      <c r="S34" s="17" t="s">
        <v>43</v>
      </c>
      <c r="T34" s="4">
        <f>SQRT(L32*G32)</f>
        <v>2.4849999057951617E-2</v>
      </c>
    </row>
    <row r="35" spans="2:20" x14ac:dyDescent="0.3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R35" s="19"/>
      <c r="S35" s="17"/>
      <c r="T35" s="4"/>
    </row>
    <row r="36" spans="2:20" ht="18.5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R36" s="16" t="s">
        <v>44</v>
      </c>
      <c r="S36" s="17" t="s">
        <v>45</v>
      </c>
      <c r="T36" s="4">
        <f>1-ABS(O32/N32)</f>
        <v>0.64071070208401859</v>
      </c>
    </row>
    <row r="38" spans="2:20" ht="18.5" x14ac:dyDescent="0.35">
      <c r="B38" s="9" t="s">
        <v>49</v>
      </c>
      <c r="C38" s="9" t="s">
        <v>50</v>
      </c>
      <c r="D38" s="10" t="s">
        <v>15</v>
      </c>
      <c r="E38" s="10" t="s">
        <v>16</v>
      </c>
      <c r="F38" s="10" t="s">
        <v>17</v>
      </c>
      <c r="G38" s="10" t="s">
        <v>18</v>
      </c>
      <c r="H38" s="10" t="s">
        <v>19</v>
      </c>
      <c r="I38" s="10" t="s">
        <v>20</v>
      </c>
      <c r="J38" s="10" t="s">
        <v>21</v>
      </c>
      <c r="K38" s="11" t="s">
        <v>22</v>
      </c>
      <c r="L38" s="11" t="s">
        <v>23</v>
      </c>
      <c r="M38" s="12" t="s">
        <v>24</v>
      </c>
      <c r="N38" s="10" t="s">
        <v>25</v>
      </c>
      <c r="O38" s="10" t="s">
        <v>26</v>
      </c>
      <c r="R38" s="16" t="s">
        <v>34</v>
      </c>
      <c r="S38" s="17" t="s">
        <v>35</v>
      </c>
      <c r="T38" s="4">
        <f>H44/E44</f>
        <v>7.8191660171796267</v>
      </c>
    </row>
    <row r="39" spans="2:20" x14ac:dyDescent="0.35">
      <c r="B39" s="13">
        <f>Sheet2!C3</f>
        <v>15</v>
      </c>
      <c r="C39" s="13">
        <f>Sheet2!F3</f>
        <v>9.0916666666666668</v>
      </c>
      <c r="D39" s="14">
        <f>Sheet2!K18</f>
        <v>0.3762885270049508</v>
      </c>
      <c r="E39" s="12">
        <f t="shared" ref="E39:E44" si="40">1/D39^2</f>
        <v>7.0624932562998399</v>
      </c>
      <c r="F39" s="12">
        <f>B39*E39</f>
        <v>105.93739884449759</v>
      </c>
      <c r="G39" s="12">
        <f>(B39^2)*E39</f>
        <v>1589.060982667464</v>
      </c>
      <c r="H39" s="12">
        <f>C39*E39</f>
        <v>64.209834521859378</v>
      </c>
      <c r="I39" s="12">
        <f>(C39^2)*E39</f>
        <v>583.77441219457148</v>
      </c>
      <c r="J39" s="12">
        <f t="shared" ref="J39:J44" si="41">C39*B39*E39</f>
        <v>963.14751782789062</v>
      </c>
      <c r="K39" s="12"/>
      <c r="L39" s="12"/>
      <c r="M39" s="12">
        <f>($T$40*B39)+$T$44</f>
        <v>9.3315285814050402</v>
      </c>
      <c r="N39" s="11">
        <f>((C39-T$38)^2)*E39</f>
        <v>11.435998019758852</v>
      </c>
      <c r="O39" s="11">
        <f>((C39-M39)^2)*E39</f>
        <v>0.40633163763730418</v>
      </c>
      <c r="R39" s="18"/>
      <c r="S39" s="18"/>
      <c r="T39" s="4"/>
    </row>
    <row r="40" spans="2:20" x14ac:dyDescent="0.35">
      <c r="B40" s="13">
        <f>Sheet2!C6</f>
        <v>14</v>
      </c>
      <c r="C40" s="13">
        <f>Sheet2!F6</f>
        <v>8.7249999999999996</v>
      </c>
      <c r="D40" s="14">
        <f>Sheet2!K19</f>
        <v>0.32338702303380495</v>
      </c>
      <c r="E40" s="12">
        <f t="shared" si="40"/>
        <v>9.5621339495597404</v>
      </c>
      <c r="F40" s="12">
        <f t="shared" ref="F40:F43" si="42">B40*E40</f>
        <v>133.86987529383637</v>
      </c>
      <c r="G40" s="12">
        <f t="shared" ref="G40:G43" si="43">(B40^2)*E40</f>
        <v>1874.178254113709</v>
      </c>
      <c r="H40" s="12">
        <f t="shared" ref="H40:H43" si="44">C40*E40</f>
        <v>83.429618709908738</v>
      </c>
      <c r="I40" s="12">
        <f t="shared" ref="I40:I43" si="45">(C40^2)*E40</f>
        <v>727.92342324395372</v>
      </c>
      <c r="J40" s="12">
        <f t="shared" si="41"/>
        <v>1168.0146619387222</v>
      </c>
      <c r="K40" s="12"/>
      <c r="L40" s="12"/>
      <c r="M40" s="12">
        <f t="shared" ref="M40:M43" si="46">($T$40*B40)+$T$44</f>
        <v>8.6349062886270342</v>
      </c>
      <c r="N40" s="11">
        <f t="shared" ref="N40:N43" si="47">((C40-T$38)^2)*E40</f>
        <v>7.8460675351102704</v>
      </c>
      <c r="O40" s="11">
        <f t="shared" ref="O40:O43" si="48">((C40-M40)^2)*E40</f>
        <v>7.7614663490547284E-2</v>
      </c>
      <c r="R40" s="16" t="s">
        <v>36</v>
      </c>
      <c r="S40" s="17" t="s">
        <v>37</v>
      </c>
      <c r="T40" s="4">
        <f>L44*((E44*J44)-(F44*H44))</f>
        <v>0.69662229277800614</v>
      </c>
    </row>
    <row r="41" spans="2:20" x14ac:dyDescent="0.35">
      <c r="B41" s="13">
        <f>Sheet2!C9</f>
        <v>13</v>
      </c>
      <c r="C41" s="13">
        <f>Sheet2!F9</f>
        <v>8.1083333333333325</v>
      </c>
      <c r="D41" s="14">
        <f>Sheet2!K20</f>
        <v>0.26561511419512418</v>
      </c>
      <c r="E41" s="12">
        <f t="shared" si="40"/>
        <v>14.174065397562854</v>
      </c>
      <c r="F41" s="12">
        <f t="shared" si="42"/>
        <v>184.2628501683171</v>
      </c>
      <c r="G41" s="12">
        <f t="shared" si="43"/>
        <v>2395.4170521881224</v>
      </c>
      <c r="H41" s="12">
        <f t="shared" si="44"/>
        <v>114.92804693190547</v>
      </c>
      <c r="I41" s="12">
        <f t="shared" si="45"/>
        <v>931.87491387286661</v>
      </c>
      <c r="J41" s="12">
        <f t="shared" si="41"/>
        <v>1494.0646101147711</v>
      </c>
      <c r="K41" s="12"/>
      <c r="L41" s="12"/>
      <c r="M41" s="12">
        <f t="shared" si="46"/>
        <v>7.9382839958490283</v>
      </c>
      <c r="N41" s="11">
        <f t="shared" si="47"/>
        <v>1.1852032688290028</v>
      </c>
      <c r="O41" s="11">
        <f t="shared" si="48"/>
        <v>0.40986829081978399</v>
      </c>
      <c r="R41" s="19"/>
      <c r="S41" s="18"/>
      <c r="T41" s="4"/>
    </row>
    <row r="42" spans="2:20" ht="17.5" x14ac:dyDescent="0.45">
      <c r="B42" s="13">
        <f>Sheet2!C12</f>
        <v>12</v>
      </c>
      <c r="C42" s="13">
        <f>Sheet2!F12</f>
        <v>7.1833333333333336</v>
      </c>
      <c r="D42" s="14">
        <f>Sheet2!K21</f>
        <v>0.30453060419092343</v>
      </c>
      <c r="E42" s="12">
        <f t="shared" si="40"/>
        <v>10.782962918588632</v>
      </c>
      <c r="F42" s="12">
        <f t="shared" si="42"/>
        <v>129.39555502306359</v>
      </c>
      <c r="G42" s="12">
        <f t="shared" si="43"/>
        <v>1552.7466602767631</v>
      </c>
      <c r="H42" s="12">
        <f t="shared" si="44"/>
        <v>77.457616965195015</v>
      </c>
      <c r="I42" s="12">
        <f t="shared" si="45"/>
        <v>556.40388186665086</v>
      </c>
      <c r="J42" s="12">
        <f t="shared" si="41"/>
        <v>929.49140358234013</v>
      </c>
      <c r="K42" s="12"/>
      <c r="L42" s="12"/>
      <c r="M42" s="12">
        <f t="shared" si="46"/>
        <v>7.2416617030710224</v>
      </c>
      <c r="N42" s="11">
        <f t="shared" si="47"/>
        <v>4.3593707741264263</v>
      </c>
      <c r="O42" s="11">
        <f t="shared" si="48"/>
        <v>3.6685782599064076E-2</v>
      </c>
      <c r="R42" s="16" t="s">
        <v>38</v>
      </c>
      <c r="S42" s="17" t="s">
        <v>39</v>
      </c>
      <c r="T42" s="4">
        <f>SQRT(L44*E44)</f>
        <v>0.104926358319972</v>
      </c>
    </row>
    <row r="43" spans="2:20" x14ac:dyDescent="0.35">
      <c r="B43" s="13">
        <f>Sheet2!C15</f>
        <v>11</v>
      </c>
      <c r="C43" s="13">
        <f>Sheet2!F15</f>
        <v>6.458333333333333</v>
      </c>
      <c r="D43" s="14">
        <f>Sheet2!K22</f>
        <v>0.30229906090198533</v>
      </c>
      <c r="E43" s="12">
        <f t="shared" si="40"/>
        <v>10.942748149611683</v>
      </c>
      <c r="F43" s="12">
        <f t="shared" si="42"/>
        <v>120.37022964572851</v>
      </c>
      <c r="G43" s="12">
        <f t="shared" si="43"/>
        <v>1324.0725261030136</v>
      </c>
      <c r="H43" s="12">
        <f t="shared" si="44"/>
        <v>70.671915132908779</v>
      </c>
      <c r="I43" s="12">
        <f t="shared" si="45"/>
        <v>456.42278523336921</v>
      </c>
      <c r="J43" s="12">
        <f t="shared" si="41"/>
        <v>777.3910664619965</v>
      </c>
      <c r="K43" s="12"/>
      <c r="L43" s="12"/>
      <c r="M43" s="12">
        <f t="shared" si="46"/>
        <v>6.5450394102930156</v>
      </c>
      <c r="N43" s="11">
        <f t="shared" si="47"/>
        <v>20.26449879577337</v>
      </c>
      <c r="O43" s="11">
        <f t="shared" si="48"/>
        <v>8.226696540650251E-2</v>
      </c>
      <c r="R43" s="19"/>
      <c r="S43" s="18"/>
      <c r="T43" s="4"/>
    </row>
    <row r="44" spans="2:20" x14ac:dyDescent="0.35">
      <c r="B44" s="15">
        <f>SUM(B39:B43)</f>
        <v>65</v>
      </c>
      <c r="C44" s="15">
        <f>SUM(C39:C43)</f>
        <v>39.56666666666667</v>
      </c>
      <c r="D44" s="13">
        <f>SUM(D39:D43)</f>
        <v>1.5721203293267887</v>
      </c>
      <c r="E44" s="13">
        <f t="shared" ref="E44" si="49">SUM(E39:E43)</f>
        <v>52.52440367162275</v>
      </c>
      <c r="F44" s="13">
        <f t="shared" ref="F44" si="50">SUM(F39:F43)</f>
        <v>673.8359089754432</v>
      </c>
      <c r="G44" s="13">
        <f t="shared" ref="G44" si="51">SUM(G39:G43)</f>
        <v>8735.4754753490724</v>
      </c>
      <c r="H44" s="13">
        <f t="shared" ref="H44" si="52">SUM(H39:H43)</f>
        <v>410.69703226177739</v>
      </c>
      <c r="I44" s="13">
        <f t="shared" ref="I44" si="53">SUM(I39:I43)</f>
        <v>3256.3994164114119</v>
      </c>
      <c r="J44" s="13">
        <f t="shared" ref="J44" si="54">SUM(J39:J43)</f>
        <v>5332.1092599257208</v>
      </c>
      <c r="K44" s="9">
        <f>(E44*G44)-(F44)^2</f>
        <v>4770.8079060335294</v>
      </c>
      <c r="L44" s="9">
        <f>1/K44</f>
        <v>2.0960810405619629E-4</v>
      </c>
      <c r="M44" s="9">
        <f>SUM(M39:M43)</f>
        <v>39.69141997924514</v>
      </c>
      <c r="N44" s="9">
        <f>SUM(N39:N43)</f>
        <v>45.091138393597916</v>
      </c>
      <c r="O44" s="9">
        <f>SUM(O39:O43)</f>
        <v>1.012767339953202</v>
      </c>
      <c r="R44" s="16" t="s">
        <v>40</v>
      </c>
      <c r="S44" s="17" t="s">
        <v>41</v>
      </c>
      <c r="T44" s="4">
        <f>L44*((G44*H44)-(F44*J44))</f>
        <v>-1.1178058102650521</v>
      </c>
    </row>
    <row r="45" spans="2:20" x14ac:dyDescent="0.35">
      <c r="R45" s="19"/>
      <c r="S45" s="18"/>
      <c r="T45" s="4"/>
    </row>
    <row r="46" spans="2:20" ht="17.5" x14ac:dyDescent="0.4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R46" s="16" t="s">
        <v>42</v>
      </c>
      <c r="S46" s="17" t="s">
        <v>43</v>
      </c>
      <c r="T46" s="4">
        <f>SQRT(L44*G44)</f>
        <v>1.3531542603921103</v>
      </c>
    </row>
    <row r="47" spans="2:20" x14ac:dyDescent="0.3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R47" s="19"/>
      <c r="S47" s="17"/>
      <c r="T47" s="4"/>
    </row>
    <row r="48" spans="2:20" ht="18.5" x14ac:dyDescent="0.3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R48" s="16" t="s">
        <v>44</v>
      </c>
      <c r="S48" s="17" t="s">
        <v>45</v>
      </c>
      <c r="T48" s="4">
        <f>1-ABS(O44/N44)</f>
        <v>0.97753954821204969</v>
      </c>
    </row>
    <row r="50" spans="2:20" ht="18.5" x14ac:dyDescent="0.35">
      <c r="B50" s="9" t="s">
        <v>49</v>
      </c>
      <c r="C50" s="9" t="s">
        <v>50</v>
      </c>
      <c r="D50" s="10" t="s">
        <v>15</v>
      </c>
      <c r="E50" s="10" t="s">
        <v>16</v>
      </c>
      <c r="F50" s="10" t="s">
        <v>17</v>
      </c>
      <c r="G50" s="10" t="s">
        <v>18</v>
      </c>
      <c r="H50" s="10" t="s">
        <v>19</v>
      </c>
      <c r="I50" s="10" t="s">
        <v>20</v>
      </c>
      <c r="J50" s="10" t="s">
        <v>21</v>
      </c>
      <c r="K50" s="11" t="s">
        <v>22</v>
      </c>
      <c r="L50" s="11" t="s">
        <v>23</v>
      </c>
      <c r="M50" s="12" t="s">
        <v>24</v>
      </c>
      <c r="N50" s="10" t="s">
        <v>25</v>
      </c>
      <c r="O50" s="10" t="s">
        <v>26</v>
      </c>
      <c r="R50" s="16" t="s">
        <v>34</v>
      </c>
      <c r="S50" s="17" t="s">
        <v>35</v>
      </c>
      <c r="T50" s="4">
        <f>H56/E56</f>
        <v>6.9760446587175231</v>
      </c>
    </row>
    <row r="51" spans="2:20" x14ac:dyDescent="0.35">
      <c r="B51" s="13">
        <f>B39</f>
        <v>15</v>
      </c>
      <c r="C51" s="13">
        <f>Sheet2!F18</f>
        <v>8.6583333333333332</v>
      </c>
      <c r="D51" s="14">
        <f>Sheet2!K22</f>
        <v>0.30229906090198533</v>
      </c>
      <c r="E51" s="12">
        <f t="shared" ref="E51:E56" si="55">1/D51^2</f>
        <v>10.942748149611683</v>
      </c>
      <c r="F51" s="12">
        <f>B51*E51</f>
        <v>164.14122224417525</v>
      </c>
      <c r="G51" s="12">
        <f>(B51^2)*E51</f>
        <v>2462.1183336626286</v>
      </c>
      <c r="H51" s="12">
        <f>C51*E51</f>
        <v>94.745961062054491</v>
      </c>
      <c r="I51" s="12">
        <f>(C51^2)*E51</f>
        <v>820.34211286228833</v>
      </c>
      <c r="J51" s="12">
        <f t="shared" ref="J51:J56" si="56">C51*B51*E51</f>
        <v>1421.1894159308174</v>
      </c>
      <c r="K51" s="12"/>
      <c r="L51" s="12"/>
      <c r="M51" s="12">
        <f>($T$52*B51)+$T$56</f>
        <v>8.6789414138343979</v>
      </c>
      <c r="N51" s="11">
        <f>((C51-T$50)^2)*E51</f>
        <v>30.969018846045341</v>
      </c>
      <c r="O51" s="11">
        <f>((C51-M51)^2)*E51</f>
        <v>4.6473083422590737E-3</v>
      </c>
      <c r="R51" s="18"/>
      <c r="S51" s="18"/>
      <c r="T51" s="4"/>
    </row>
    <row r="52" spans="2:20" x14ac:dyDescent="0.35">
      <c r="B52" s="13">
        <f t="shared" ref="B52:B55" si="57">B40</f>
        <v>14</v>
      </c>
      <c r="C52" s="13">
        <f>Sheet2!F21</f>
        <v>7.9416666666666664</v>
      </c>
      <c r="D52" s="14">
        <f>Sheet2!K23</f>
        <v>0.29142132538455207</v>
      </c>
      <c r="E52" s="12">
        <f t="shared" si="55"/>
        <v>11.774903102359875</v>
      </c>
      <c r="F52" s="12">
        <f t="shared" ref="F52:F55" si="58">B52*E52</f>
        <v>164.84864343303826</v>
      </c>
      <c r="G52" s="12">
        <f t="shared" ref="G52:G55" si="59">(B52^2)*E52</f>
        <v>2307.8810080625358</v>
      </c>
      <c r="H52" s="12">
        <f t="shared" ref="H52:H55" si="60">C52*E52</f>
        <v>93.512355471241335</v>
      </c>
      <c r="I52" s="12">
        <f t="shared" ref="I52:I55" si="61">(C52^2)*E52</f>
        <v>742.64395636744166</v>
      </c>
      <c r="J52" s="12">
        <f t="shared" si="56"/>
        <v>1309.1729765973789</v>
      </c>
      <c r="K52" s="12"/>
      <c r="L52" s="12"/>
      <c r="M52" s="12">
        <f t="shared" ref="M52:M55" si="62">($T$52*B52)+$T$56</f>
        <v>7.8966766138729794</v>
      </c>
      <c r="N52" s="11">
        <f t="shared" ref="N52:N55" si="63">((C52-T$50)^2)*E52</f>
        <v>10.979224177960143</v>
      </c>
      <c r="O52" s="11">
        <f t="shared" ref="O52:O55" si="64">((C52-M52)^2)*E52</f>
        <v>2.3833638482226405E-2</v>
      </c>
      <c r="R52" s="16" t="s">
        <v>36</v>
      </c>
      <c r="S52" s="17" t="s">
        <v>37</v>
      </c>
      <c r="T52" s="4">
        <f>L56*((E56*J56)-(F56*H56))</f>
        <v>0.78226479996142051</v>
      </c>
    </row>
    <row r="53" spans="2:20" x14ac:dyDescent="0.35">
      <c r="B53" s="13">
        <f t="shared" si="57"/>
        <v>13</v>
      </c>
      <c r="C53" s="13">
        <f>Sheet2!F24</f>
        <v>7.125</v>
      </c>
      <c r="D53" s="14">
        <f>Sheet2!K24</f>
        <v>0.28564498167402769</v>
      </c>
      <c r="E53" s="12">
        <f t="shared" si="55"/>
        <v>12.255944984424728</v>
      </c>
      <c r="F53" s="12">
        <f t="shared" si="58"/>
        <v>159.32728479752146</v>
      </c>
      <c r="G53" s="12">
        <f t="shared" si="59"/>
        <v>2071.2547023677789</v>
      </c>
      <c r="H53" s="12">
        <f t="shared" si="60"/>
        <v>87.323608014026192</v>
      </c>
      <c r="I53" s="12">
        <f t="shared" si="61"/>
        <v>622.18070709993663</v>
      </c>
      <c r="J53" s="12">
        <f t="shared" si="56"/>
        <v>1135.2069041823404</v>
      </c>
      <c r="K53" s="12"/>
      <c r="L53" s="12"/>
      <c r="M53" s="12">
        <f t="shared" si="62"/>
        <v>7.1144118139115582</v>
      </c>
      <c r="N53" s="11">
        <f t="shared" si="63"/>
        <v>0.27193115327654155</v>
      </c>
      <c r="O53" s="11">
        <f t="shared" si="64"/>
        <v>1.3740101272116066E-3</v>
      </c>
      <c r="R53" s="19"/>
      <c r="S53" s="18"/>
      <c r="T53" s="4"/>
    </row>
    <row r="54" spans="2:20" ht="17.5" x14ac:dyDescent="0.45">
      <c r="B54" s="13">
        <f t="shared" si="57"/>
        <v>12</v>
      </c>
      <c r="C54" s="13">
        <f>Sheet2!F27</f>
        <v>6.2666666666666666</v>
      </c>
      <c r="D54" s="14">
        <f>Sheet2!K25</f>
        <v>0.2629876422952227</v>
      </c>
      <c r="E54" s="12">
        <f t="shared" si="55"/>
        <v>14.458702331465751</v>
      </c>
      <c r="F54" s="12">
        <f t="shared" si="58"/>
        <v>173.50442797758902</v>
      </c>
      <c r="G54" s="12">
        <f t="shared" si="59"/>
        <v>2082.0531357310683</v>
      </c>
      <c r="H54" s="12">
        <f t="shared" si="60"/>
        <v>90.607867943852042</v>
      </c>
      <c r="I54" s="12">
        <f t="shared" si="61"/>
        <v>567.80930578147274</v>
      </c>
      <c r="J54" s="12">
        <f t="shared" si="56"/>
        <v>1087.2944153262245</v>
      </c>
      <c r="K54" s="12"/>
      <c r="L54" s="12"/>
      <c r="M54" s="12">
        <f t="shared" si="62"/>
        <v>6.3321470139501388</v>
      </c>
      <c r="N54" s="11">
        <f t="shared" si="63"/>
        <v>7.2758667718215078</v>
      </c>
      <c r="O54" s="11">
        <f t="shared" si="64"/>
        <v>6.1994229247990217E-2</v>
      </c>
      <c r="R54" s="16" t="s">
        <v>38</v>
      </c>
      <c r="S54" s="17" t="s">
        <v>39</v>
      </c>
      <c r="T54" s="4">
        <f>SQRT(L56*E56)</f>
        <v>8.7945753700790399E-2</v>
      </c>
    </row>
    <row r="55" spans="2:20" x14ac:dyDescent="0.35">
      <c r="B55" s="13">
        <f t="shared" si="57"/>
        <v>11</v>
      </c>
      <c r="C55" s="13">
        <f>Sheet2!F30</f>
        <v>5.583333333333333</v>
      </c>
      <c r="D55" s="14">
        <f>Sheet2!K26</f>
        <v>0.25541904566591916</v>
      </c>
      <c r="E55" s="12">
        <f t="shared" si="55"/>
        <v>15.328280677850632</v>
      </c>
      <c r="F55" s="12">
        <f t="shared" si="58"/>
        <v>168.61108745635696</v>
      </c>
      <c r="G55" s="12">
        <f t="shared" si="59"/>
        <v>1854.7219620199264</v>
      </c>
      <c r="H55" s="12">
        <f t="shared" si="60"/>
        <v>85.582900451332691</v>
      </c>
      <c r="I55" s="12">
        <f t="shared" si="61"/>
        <v>477.83786085327415</v>
      </c>
      <c r="J55" s="12">
        <f t="shared" si="56"/>
        <v>941.41190496465958</v>
      </c>
      <c r="K55" s="12"/>
      <c r="L55" s="12"/>
      <c r="M55" s="12">
        <f t="shared" si="62"/>
        <v>5.5498822139887176</v>
      </c>
      <c r="N55" s="11">
        <f t="shared" si="63"/>
        <v>29.731420459304239</v>
      </c>
      <c r="O55" s="11">
        <f t="shared" si="64"/>
        <v>1.715199943569673E-2</v>
      </c>
      <c r="R55" s="19"/>
      <c r="S55" s="18"/>
      <c r="T55" s="4"/>
    </row>
    <row r="56" spans="2:20" x14ac:dyDescent="0.35">
      <c r="B56" s="15">
        <f>SUM(B51:B55)</f>
        <v>65</v>
      </c>
      <c r="C56" s="15">
        <f>SUM(C51:C55)</f>
        <v>35.575000000000003</v>
      </c>
      <c r="D56" s="13">
        <f>SUM(D51:D55)</f>
        <v>1.3977720559217068</v>
      </c>
      <c r="E56" s="13">
        <f t="shared" ref="E56" si="65">SUM(E51:E55)</f>
        <v>64.760579245712677</v>
      </c>
      <c r="F56" s="13">
        <f t="shared" ref="F56" si="66">SUM(F51:F55)</f>
        <v>830.43266590868086</v>
      </c>
      <c r="G56" s="13">
        <f t="shared" ref="G56" si="67">SUM(G51:G55)</f>
        <v>10778.029141843939</v>
      </c>
      <c r="H56" s="13">
        <f t="shared" ref="H56" si="68">SUM(H51:H55)</f>
        <v>451.77269294250681</v>
      </c>
      <c r="I56" s="13">
        <f t="shared" ref="I56" si="69">SUM(I51:I55)</f>
        <v>3230.8139429644134</v>
      </c>
      <c r="J56" s="13">
        <f t="shared" ref="J56" si="70">SUM(J51:J55)</f>
        <v>5894.2756170014209</v>
      </c>
      <c r="K56" s="9">
        <f>(E56*G56)-(F56)^2</f>
        <v>8372.9977447863203</v>
      </c>
      <c r="L56" s="9">
        <f>1/K56</f>
        <v>1.1943153819940747E-4</v>
      </c>
      <c r="M56" s="9">
        <f>SUM(M51:M55)</f>
        <v>35.572059069557795</v>
      </c>
      <c r="N56" s="9">
        <f>SUM(N51:N55)</f>
        <v>79.227461408407777</v>
      </c>
      <c r="O56" s="9">
        <f>SUM(O51:O55)</f>
        <v>0.10900118563538404</v>
      </c>
      <c r="R56" s="16" t="s">
        <v>40</v>
      </c>
      <c r="S56" s="17" t="s">
        <v>41</v>
      </c>
      <c r="T56" s="4">
        <f>L56*((G56*H56)-(F56*J56))</f>
        <v>-3.0550305855869082</v>
      </c>
    </row>
    <row r="57" spans="2:20" x14ac:dyDescent="0.35">
      <c r="R57" s="19"/>
      <c r="S57" s="18"/>
      <c r="T57" s="4"/>
    </row>
    <row r="58" spans="2:20" ht="17.5" x14ac:dyDescent="0.4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R58" s="16" t="s">
        <v>42</v>
      </c>
      <c r="S58" s="17" t="s">
        <v>43</v>
      </c>
      <c r="T58" s="4">
        <f>SQRT(L56*G56)</f>
        <v>1.1345644975797813</v>
      </c>
    </row>
    <row r="59" spans="2:20" x14ac:dyDescent="0.3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R59" s="19"/>
      <c r="S59" s="17"/>
      <c r="T59" s="4"/>
    </row>
    <row r="60" spans="2:20" ht="18.5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R60" s="16" t="s">
        <v>44</v>
      </c>
      <c r="S60" s="17" t="s">
        <v>45</v>
      </c>
      <c r="T60" s="4">
        <f>1-ABS(O56/N56)</f>
        <v>0.99862419944173786</v>
      </c>
    </row>
    <row r="62" spans="2:20" ht="18.5" x14ac:dyDescent="0.35">
      <c r="B62" s="9" t="s">
        <v>49</v>
      </c>
      <c r="C62" s="9" t="s">
        <v>50</v>
      </c>
      <c r="D62" s="10" t="s">
        <v>15</v>
      </c>
      <c r="E62" s="10" t="s">
        <v>16</v>
      </c>
      <c r="F62" s="10" t="s">
        <v>17</v>
      </c>
      <c r="G62" s="10" t="s">
        <v>18</v>
      </c>
      <c r="H62" s="10" t="s">
        <v>19</v>
      </c>
      <c r="I62" s="10" t="s">
        <v>20</v>
      </c>
      <c r="J62" s="10" t="s">
        <v>21</v>
      </c>
      <c r="K62" s="11" t="s">
        <v>22</v>
      </c>
      <c r="L62" s="11" t="s">
        <v>23</v>
      </c>
      <c r="M62" s="12" t="s">
        <v>24</v>
      </c>
      <c r="N62" s="10" t="s">
        <v>25</v>
      </c>
      <c r="O62" s="10" t="s">
        <v>26</v>
      </c>
      <c r="R62" s="16" t="s">
        <v>34</v>
      </c>
      <c r="S62" s="17" t="s">
        <v>35</v>
      </c>
      <c r="T62" s="4">
        <f>H68/E68</f>
        <v>5.8029007593402655</v>
      </c>
    </row>
    <row r="63" spans="2:20" x14ac:dyDescent="0.35">
      <c r="B63" s="13">
        <f>B51</f>
        <v>15</v>
      </c>
      <c r="C63" s="13">
        <f>Sheet2!F33</f>
        <v>6.6916666666666664</v>
      </c>
      <c r="D63" s="14">
        <f>Sheet2!K28</f>
        <v>0.26659374002819763</v>
      </c>
      <c r="E63" s="12">
        <f t="shared" ref="E63:E68" si="71">1/D63^2</f>
        <v>14.070194637692486</v>
      </c>
      <c r="F63" s="12">
        <f>B63*E63</f>
        <v>211.0529195653873</v>
      </c>
      <c r="G63" s="12">
        <f>(B63^2)*E63</f>
        <v>3165.7937934808092</v>
      </c>
      <c r="H63" s="12">
        <f>C63*E63</f>
        <v>94.153052450558889</v>
      </c>
      <c r="I63" s="12">
        <f>(C63^2)*E63</f>
        <v>630.04084264832318</v>
      </c>
      <c r="J63" s="12">
        <f t="shared" ref="J63:J68" si="72">C63*B63*E63</f>
        <v>1412.2957867583832</v>
      </c>
      <c r="K63" s="12"/>
      <c r="L63" s="12"/>
      <c r="M63" s="12">
        <f>($T$64*B63)+$T$68</f>
        <v>6.6317122426723216</v>
      </c>
      <c r="N63" s="11">
        <f>((C63-T$62)^2)*E63</f>
        <v>11.114114816276846</v>
      </c>
      <c r="O63" s="11">
        <f>((C63-M63)^2)*E63</f>
        <v>5.057577832946613E-2</v>
      </c>
      <c r="R63" s="18"/>
      <c r="S63" s="18"/>
      <c r="T63" s="4"/>
    </row>
    <row r="64" spans="2:20" x14ac:dyDescent="0.35">
      <c r="B64" s="13">
        <f t="shared" ref="B64:B67" si="73">B52</f>
        <v>14</v>
      </c>
      <c r="C64" s="13">
        <f>Sheet2!F36</f>
        <v>6.1916666666666664</v>
      </c>
      <c r="D64" s="14">
        <f>Sheet2!K29</f>
        <v>0.25643658518671286</v>
      </c>
      <c r="E64" s="12">
        <f t="shared" si="71"/>
        <v>15.206876887659192</v>
      </c>
      <c r="F64" s="12">
        <f t="shared" ref="F64:F67" si="74">B64*E64</f>
        <v>212.89627642722868</v>
      </c>
      <c r="G64" s="12">
        <f t="shared" ref="G64:G67" si="75">(B64^2)*E64</f>
        <v>2980.5478699812015</v>
      </c>
      <c r="H64" s="12">
        <f t="shared" ref="H64:H67" si="76">C64*E64</f>
        <v>94.155912729423164</v>
      </c>
      <c r="I64" s="12">
        <f t="shared" ref="I64:I67" si="77">(C64^2)*E64</f>
        <v>582.98202631634501</v>
      </c>
      <c r="J64" s="12">
        <f t="shared" si="72"/>
        <v>1318.1827782119244</v>
      </c>
      <c r="K64" s="12"/>
      <c r="L64" s="12"/>
      <c r="M64" s="12">
        <f t="shared" ref="M64:M67" si="78">($T$64*B64)+$T$68</f>
        <v>6.2262233708349832</v>
      </c>
      <c r="N64" s="11">
        <f t="shared" ref="N64:N67" si="79">((C64-T$62)^2)*E64</f>
        <v>2.2983511120770097</v>
      </c>
      <c r="O64" s="11">
        <f t="shared" ref="O64:O67" si="80">((C64-M64)^2)*E64</f>
        <v>1.8159532349317286E-2</v>
      </c>
      <c r="R64" s="16" t="s">
        <v>36</v>
      </c>
      <c r="S64" s="17" t="s">
        <v>37</v>
      </c>
      <c r="T64" s="4">
        <f>L68*((E68*J68)-(F68*H68))</f>
        <v>0.40548887183733834</v>
      </c>
    </row>
    <row r="65" spans="2:20" x14ac:dyDescent="0.35">
      <c r="B65" s="13">
        <f t="shared" si="73"/>
        <v>13</v>
      </c>
      <c r="C65" s="13">
        <f>Sheet2!F39</f>
        <v>5.7666666666666657</v>
      </c>
      <c r="D65" s="14">
        <f>Sheet2!K30</f>
        <v>0.25275427241141191</v>
      </c>
      <c r="E65" s="12">
        <f t="shared" si="71"/>
        <v>15.65319477357219</v>
      </c>
      <c r="F65" s="12">
        <f t="shared" si="74"/>
        <v>203.49153205643847</v>
      </c>
      <c r="G65" s="12">
        <f t="shared" si="75"/>
        <v>2645.3899167337004</v>
      </c>
      <c r="H65" s="12">
        <f t="shared" si="76"/>
        <v>90.266756527599611</v>
      </c>
      <c r="I65" s="12">
        <f t="shared" si="77"/>
        <v>520.53829597582433</v>
      </c>
      <c r="J65" s="12">
        <f t="shared" si="72"/>
        <v>1173.467834858795</v>
      </c>
      <c r="K65" s="12"/>
      <c r="L65" s="12"/>
      <c r="M65" s="12">
        <f t="shared" si="78"/>
        <v>5.8207344989976448</v>
      </c>
      <c r="N65" s="11">
        <f t="shared" si="79"/>
        <v>2.0551227683390062E-2</v>
      </c>
      <c r="O65" s="11">
        <f t="shared" si="80"/>
        <v>4.575946159399584E-2</v>
      </c>
      <c r="R65" s="19"/>
      <c r="S65" s="18"/>
      <c r="T65" s="4"/>
    </row>
    <row r="66" spans="2:20" ht="17.5" x14ac:dyDescent="0.45">
      <c r="B66" s="13">
        <f t="shared" si="73"/>
        <v>12</v>
      </c>
      <c r="C66" s="13">
        <f>Sheet2!F42</f>
        <v>5.4083333333333341</v>
      </c>
      <c r="D66" s="14">
        <f>Sheet2!K31</f>
        <v>0.25643658518671281</v>
      </c>
      <c r="E66" s="12">
        <f t="shared" si="71"/>
        <v>15.206876887659197</v>
      </c>
      <c r="F66" s="12">
        <f t="shared" si="74"/>
        <v>182.48252265191036</v>
      </c>
      <c r="G66" s="12">
        <f t="shared" si="75"/>
        <v>2189.7902718229243</v>
      </c>
      <c r="H66" s="12">
        <f t="shared" si="76"/>
        <v>82.243859167423508</v>
      </c>
      <c r="I66" s="12">
        <f t="shared" si="77"/>
        <v>444.80220499714886</v>
      </c>
      <c r="J66" s="12">
        <f t="shared" si="72"/>
        <v>986.92631000908193</v>
      </c>
      <c r="K66" s="12"/>
      <c r="L66" s="12"/>
      <c r="M66" s="12">
        <f t="shared" si="78"/>
        <v>5.4152456271603064</v>
      </c>
      <c r="N66" s="11">
        <f t="shared" si="79"/>
        <v>2.367459113340431</v>
      </c>
      <c r="O66" s="11">
        <f t="shared" si="80"/>
        <v>7.2658162680397744E-4</v>
      </c>
      <c r="R66" s="16" t="s">
        <v>38</v>
      </c>
      <c r="S66" s="17" t="s">
        <v>39</v>
      </c>
      <c r="T66" s="4">
        <f>SQRT(L68*E68)</f>
        <v>8.1785340087859107E-2</v>
      </c>
    </row>
    <row r="67" spans="2:20" x14ac:dyDescent="0.35">
      <c r="B67" s="13">
        <f t="shared" si="73"/>
        <v>11</v>
      </c>
      <c r="C67" s="13">
        <f>Sheet2!F45</f>
        <v>5.05</v>
      </c>
      <c r="D67" s="14">
        <f>Sheet2!K32</f>
        <v>0.2520664594903495</v>
      </c>
      <c r="E67" s="12">
        <f t="shared" si="71"/>
        <v>15.738736966358447</v>
      </c>
      <c r="F67" s="12">
        <f t="shared" si="74"/>
        <v>173.12610662994291</v>
      </c>
      <c r="G67" s="12">
        <f t="shared" si="75"/>
        <v>1904.3871729293721</v>
      </c>
      <c r="H67" s="12">
        <f t="shared" si="76"/>
        <v>79.480621680110147</v>
      </c>
      <c r="I67" s="12">
        <f t="shared" si="77"/>
        <v>401.37713948455627</v>
      </c>
      <c r="J67" s="12">
        <f t="shared" si="72"/>
        <v>874.2868384812117</v>
      </c>
      <c r="K67" s="12"/>
      <c r="L67" s="12"/>
      <c r="M67" s="12">
        <f t="shared" si="78"/>
        <v>5.009756755322968</v>
      </c>
      <c r="N67" s="11">
        <f t="shared" si="79"/>
        <v>8.9216534080684422</v>
      </c>
      <c r="O67" s="11">
        <f t="shared" si="80"/>
        <v>2.5489179494557482E-2</v>
      </c>
      <c r="R67" s="19"/>
      <c r="S67" s="18"/>
      <c r="T67" s="4"/>
    </row>
    <row r="68" spans="2:20" x14ac:dyDescent="0.35">
      <c r="B68" s="15">
        <f>SUM(B63:B67)</f>
        <v>65</v>
      </c>
      <c r="C68" s="15">
        <f>SUM(C63:C67)</f>
        <v>29.108333333333334</v>
      </c>
      <c r="D68" s="13">
        <f>SUM(D63:D67)</f>
        <v>1.2842876423033847</v>
      </c>
      <c r="E68" s="13">
        <f t="shared" ref="E68" si="81">SUM(E63:E67)</f>
        <v>75.875880152941519</v>
      </c>
      <c r="F68" s="13">
        <f t="shared" ref="F68" si="82">SUM(F63:F67)</f>
        <v>983.0493573309077</v>
      </c>
      <c r="G68" s="13">
        <f t="shared" ref="G68" si="83">SUM(G63:G67)</f>
        <v>12885.909024948007</v>
      </c>
      <c r="H68" s="13">
        <f t="shared" ref="H68" si="84">SUM(H63:H67)</f>
        <v>440.30020255511533</v>
      </c>
      <c r="I68" s="13">
        <f t="shared" ref="I68" si="85">SUM(I63:I67)</f>
        <v>2579.7405094221976</v>
      </c>
      <c r="J68" s="13">
        <f t="shared" ref="J68" si="86">SUM(J63:J67)</f>
        <v>5765.159548319396</v>
      </c>
      <c r="K68" s="9">
        <f>(E68*G68)-(F68)^2</f>
        <v>11343.649889951805</v>
      </c>
      <c r="L68" s="9">
        <f>1/K68</f>
        <v>8.8155047952052823E-5</v>
      </c>
      <c r="M68" s="9">
        <f>SUM(M63:M67)</f>
        <v>29.103672494988224</v>
      </c>
      <c r="N68" s="9">
        <f>SUM(N63:N67)</f>
        <v>24.722129677446119</v>
      </c>
      <c r="O68" s="9">
        <f>SUM(O63:O67)</f>
        <v>0.14071053339414072</v>
      </c>
      <c r="R68" s="16" t="s">
        <v>40</v>
      </c>
      <c r="S68" s="17" t="s">
        <v>41</v>
      </c>
      <c r="T68" s="4">
        <f>L68*((G68*H68)-(F68*J68))</f>
        <v>0.54937916511224683</v>
      </c>
    </row>
    <row r="69" spans="2:20" x14ac:dyDescent="0.35">
      <c r="R69" s="19"/>
      <c r="S69" s="18"/>
      <c r="T69" s="4"/>
    </row>
    <row r="70" spans="2:20" ht="17.5" x14ac:dyDescent="0.4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R70" s="16" t="s">
        <v>42</v>
      </c>
      <c r="S70" s="17" t="s">
        <v>43</v>
      </c>
      <c r="T70" s="4">
        <f>SQRT(L68*G68)</f>
        <v>1.0658132706999297</v>
      </c>
    </row>
    <row r="71" spans="2:20" x14ac:dyDescent="0.3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R71" s="19"/>
      <c r="S71" s="17"/>
      <c r="T71" s="4"/>
    </row>
    <row r="72" spans="2:20" ht="18.5" x14ac:dyDescent="0.3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R72" s="16" t="s">
        <v>44</v>
      </c>
      <c r="S72" s="17" t="s">
        <v>45</v>
      </c>
      <c r="T72" s="4">
        <f>1-ABS(O68/N68)</f>
        <v>0.99430831666891095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Shairil Danil</dc:creator>
  <cp:lastModifiedBy>Shairil Danil</cp:lastModifiedBy>
  <dcterms:created xsi:type="dcterms:W3CDTF">2021-03-01T06:07:12Z</dcterms:created>
  <dcterms:modified xsi:type="dcterms:W3CDTF">2021-03-10T03:52:14Z</dcterms:modified>
</cp:coreProperties>
</file>