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420" windowWidth="18290" windowHeight="6560"/>
  </bookViews>
  <sheets>
    <sheet name="Sheet2" sheetId="1" r:id="rId1"/>
  </sheets>
  <calcPr calcId="144525"/>
</workbook>
</file>

<file path=xl/calcChain.xml><?xml version="1.0" encoding="utf-8"?>
<calcChain xmlns="http://schemas.openxmlformats.org/spreadsheetml/2006/main">
  <c r="K16" i="1" l="1"/>
  <c r="L16" i="1"/>
  <c r="K17" i="1"/>
  <c r="L17" i="1"/>
  <c r="K18" i="1"/>
  <c r="L18" i="1"/>
  <c r="K19" i="1"/>
  <c r="L19" i="1"/>
  <c r="K20" i="1"/>
  <c r="L20" i="1"/>
  <c r="K21" i="1"/>
  <c r="L21" i="1"/>
  <c r="L15" i="1"/>
  <c r="K15" i="1"/>
  <c r="I17" i="1"/>
  <c r="J17" i="1"/>
  <c r="I18" i="1"/>
  <c r="J18" i="1" s="1"/>
  <c r="J16" i="1"/>
  <c r="I16" i="1"/>
  <c r="J15" i="1"/>
  <c r="W9" i="1"/>
  <c r="W7" i="1"/>
  <c r="W5" i="1"/>
  <c r="I19" i="1" l="1"/>
  <c r="O10" i="1"/>
  <c r="J19" i="1" l="1"/>
  <c r="I20" i="1"/>
  <c r="Y7" i="1"/>
  <c r="G21" i="1"/>
  <c r="G20" i="1"/>
  <c r="J20" i="1" l="1"/>
  <c r="I21" i="1"/>
  <c r="J21" i="1" s="1"/>
  <c r="D325" i="1"/>
  <c r="D324" i="1"/>
  <c r="D323" i="1"/>
  <c r="D322" i="1"/>
  <c r="D321" i="1"/>
  <c r="E314" i="1"/>
  <c r="F314" i="1" s="1"/>
  <c r="E315" i="1"/>
  <c r="E316" i="1"/>
  <c r="F316" i="1" s="1"/>
  <c r="E317" i="1"/>
  <c r="E318" i="1"/>
  <c r="E313" i="1"/>
  <c r="D318" i="1"/>
  <c r="D317" i="1"/>
  <c r="F317" i="1" s="1"/>
  <c r="D316" i="1"/>
  <c r="D315" i="1"/>
  <c r="D314" i="1"/>
  <c r="D313" i="1"/>
  <c r="Y249" i="1"/>
  <c r="Y245" i="1"/>
  <c r="Y246" i="1"/>
  <c r="Y247" i="1"/>
  <c r="Y248" i="1"/>
  <c r="Y244" i="1"/>
  <c r="F318" i="1"/>
  <c r="F313" i="1"/>
  <c r="Y182" i="1"/>
  <c r="Y183" i="1"/>
  <c r="Y184" i="1"/>
  <c r="Y185" i="1"/>
  <c r="Y186" i="1"/>
  <c r="Y181" i="1"/>
  <c r="Y125" i="1"/>
  <c r="Y126" i="1"/>
  <c r="Y124" i="1"/>
  <c r="Y68" i="1"/>
  <c r="Y69" i="1"/>
  <c r="Y67" i="1"/>
  <c r="Y5" i="1"/>
  <c r="Y6" i="1"/>
  <c r="Y8" i="1"/>
  <c r="Y9" i="1"/>
  <c r="Y4" i="1"/>
  <c r="Y70" i="1"/>
  <c r="C244" i="1"/>
  <c r="E244" i="1" s="1"/>
  <c r="F244" i="1" s="1"/>
  <c r="C185" i="1"/>
  <c r="E185" i="1" s="1"/>
  <c r="F185" i="1" s="1"/>
  <c r="C184" i="1"/>
  <c r="E184" i="1" s="1"/>
  <c r="F184" i="1" s="1"/>
  <c r="C183" i="1"/>
  <c r="C182" i="1"/>
  <c r="E182" i="1" s="1"/>
  <c r="F182" i="1" s="1"/>
  <c r="C181" i="1"/>
  <c r="E126" i="1"/>
  <c r="E125" i="1"/>
  <c r="F125" i="1" s="1"/>
  <c r="E124" i="1"/>
  <c r="F124" i="1" s="1"/>
  <c r="E69" i="1"/>
  <c r="E68" i="1"/>
  <c r="F68" i="1" s="1"/>
  <c r="E67" i="1"/>
  <c r="F67" i="1" s="1"/>
  <c r="E310" i="1"/>
  <c r="E309" i="1"/>
  <c r="E308" i="1"/>
  <c r="E307" i="1"/>
  <c r="E306" i="1"/>
  <c r="D248" i="1"/>
  <c r="D247" i="1"/>
  <c r="D246" i="1"/>
  <c r="G246" i="1" s="1"/>
  <c r="D245" i="1"/>
  <c r="G245" i="1" s="1"/>
  <c r="G248" i="1"/>
  <c r="D244" i="1"/>
  <c r="G247" i="1"/>
  <c r="E258" i="1"/>
  <c r="G258" i="1" s="1"/>
  <c r="E257" i="1"/>
  <c r="G257" i="1" s="1"/>
  <c r="H248" i="1" s="1"/>
  <c r="I248" i="1" s="1"/>
  <c r="E256" i="1"/>
  <c r="G256" i="1" s="1"/>
  <c r="H247" i="1" s="1"/>
  <c r="I247" i="1" s="1"/>
  <c r="E255" i="1"/>
  <c r="G255" i="1" s="1"/>
  <c r="H246" i="1" s="1"/>
  <c r="I246" i="1" s="1"/>
  <c r="E254" i="1"/>
  <c r="G254" i="1" s="1"/>
  <c r="H245" i="1" s="1"/>
  <c r="I245" i="1" s="1"/>
  <c r="J253" i="1"/>
  <c r="F253" i="1"/>
  <c r="E253" i="1"/>
  <c r="G253" i="1" s="1"/>
  <c r="H244" i="1" s="1"/>
  <c r="E248" i="1"/>
  <c r="F248" i="1" s="1"/>
  <c r="E247" i="1"/>
  <c r="F247" i="1" s="1"/>
  <c r="E246" i="1"/>
  <c r="F246" i="1" s="1"/>
  <c r="E245" i="1"/>
  <c r="F245" i="1" s="1"/>
  <c r="F195" i="1"/>
  <c r="E195" i="1" s="1"/>
  <c r="G195" i="1" s="1"/>
  <c r="H186" i="1" s="1"/>
  <c r="I186" i="1" s="1"/>
  <c r="F194" i="1"/>
  <c r="E194" i="1" s="1"/>
  <c r="G194" i="1" s="1"/>
  <c r="H185" i="1" s="1"/>
  <c r="I185" i="1" s="1"/>
  <c r="J185" i="1" s="1"/>
  <c r="F193" i="1"/>
  <c r="E193" i="1" s="1"/>
  <c r="G193" i="1" s="1"/>
  <c r="H184" i="1" s="1"/>
  <c r="I184" i="1" s="1"/>
  <c r="J184" i="1" s="1"/>
  <c r="F192" i="1"/>
  <c r="E192" i="1" s="1"/>
  <c r="G192" i="1" s="1"/>
  <c r="H183" i="1" s="1"/>
  <c r="I183" i="1" s="1"/>
  <c r="J183" i="1" s="1"/>
  <c r="E183" i="1"/>
  <c r="F183" i="1" s="1"/>
  <c r="E181" i="1"/>
  <c r="F181" i="1" s="1"/>
  <c r="F191" i="1"/>
  <c r="E191" i="1" s="1"/>
  <c r="G191" i="1" s="1"/>
  <c r="H182" i="1" s="1"/>
  <c r="I182" i="1" s="1"/>
  <c r="F190" i="1"/>
  <c r="E190" i="1" s="1"/>
  <c r="G190" i="1" s="1"/>
  <c r="H181" i="1" s="1"/>
  <c r="J190" i="1"/>
  <c r="G186" i="1"/>
  <c r="E186" i="1"/>
  <c r="F186" i="1" s="1"/>
  <c r="G185" i="1"/>
  <c r="G184" i="1"/>
  <c r="G183" i="1"/>
  <c r="G182" i="1"/>
  <c r="G181" i="1"/>
  <c r="C126" i="1"/>
  <c r="C125" i="1"/>
  <c r="G125" i="1" s="1"/>
  <c r="C124" i="1"/>
  <c r="G124" i="1" s="1"/>
  <c r="E9" i="1"/>
  <c r="F9" i="1" s="1"/>
  <c r="E8" i="1"/>
  <c r="E7" i="1"/>
  <c r="F7" i="1" s="1"/>
  <c r="E6" i="1"/>
  <c r="F6" i="1" s="1"/>
  <c r="E5" i="1"/>
  <c r="F5" i="1" s="1"/>
  <c r="E4" i="1"/>
  <c r="F4" i="1" s="1"/>
  <c r="F69" i="1"/>
  <c r="J130" i="1"/>
  <c r="G126" i="1"/>
  <c r="F126" i="1"/>
  <c r="F131" i="1"/>
  <c r="F130" i="1"/>
  <c r="E130" i="1" s="1"/>
  <c r="G130" i="1" s="1"/>
  <c r="H124" i="1" s="1"/>
  <c r="E132" i="1"/>
  <c r="G132" i="1" s="1"/>
  <c r="H126" i="1" s="1"/>
  <c r="I126" i="1" s="1"/>
  <c r="E131" i="1"/>
  <c r="G131" i="1" s="1"/>
  <c r="H125" i="1" s="1"/>
  <c r="I125" i="1" s="1"/>
  <c r="D126" i="1"/>
  <c r="D125" i="1"/>
  <c r="D124" i="1"/>
  <c r="J73" i="1"/>
  <c r="J13" i="1"/>
  <c r="G68" i="1"/>
  <c r="G69" i="1"/>
  <c r="G67" i="1"/>
  <c r="F74" i="1"/>
  <c r="E74" i="1" s="1"/>
  <c r="G74" i="1" s="1"/>
  <c r="H68" i="1" s="1"/>
  <c r="I68" i="1" s="1"/>
  <c r="F73" i="1"/>
  <c r="E73" i="1" s="1"/>
  <c r="G73" i="1" s="1"/>
  <c r="H67" i="1" s="1"/>
  <c r="H70" i="1" s="1"/>
  <c r="D69" i="1"/>
  <c r="D68" i="1"/>
  <c r="D67" i="1"/>
  <c r="E75" i="1"/>
  <c r="G75" i="1" s="1"/>
  <c r="H69" i="1" s="1"/>
  <c r="I69" i="1" s="1"/>
  <c r="G4" i="1"/>
  <c r="G5" i="1"/>
  <c r="G6" i="1"/>
  <c r="G7" i="1"/>
  <c r="F8" i="1"/>
  <c r="G8" i="1"/>
  <c r="G9" i="1"/>
  <c r="F13" i="1"/>
  <c r="E13" i="1" s="1"/>
  <c r="G13" i="1" s="1"/>
  <c r="H4" i="1" s="1"/>
  <c r="E14" i="1"/>
  <c r="G14" i="1" s="1"/>
  <c r="H5" i="1" s="1"/>
  <c r="I5" i="1" s="1"/>
  <c r="J5" i="1" s="1"/>
  <c r="F14" i="1"/>
  <c r="E15" i="1"/>
  <c r="G15" i="1" s="1"/>
  <c r="H6" i="1" s="1"/>
  <c r="I6" i="1" s="1"/>
  <c r="F16" i="1"/>
  <c r="E16" i="1" s="1"/>
  <c r="G16" i="1" s="1"/>
  <c r="H7" i="1" s="1"/>
  <c r="I7" i="1" s="1"/>
  <c r="F17" i="1"/>
  <c r="E17" i="1" s="1"/>
  <c r="G17" i="1" s="1"/>
  <c r="H8" i="1" s="1"/>
  <c r="I8" i="1" s="1"/>
  <c r="E18" i="1"/>
  <c r="G18" i="1" s="1"/>
  <c r="H9" i="1" s="1"/>
  <c r="I9" i="1" s="1"/>
  <c r="F315" i="1" l="1"/>
  <c r="Y187" i="1"/>
  <c r="Y127" i="1"/>
  <c r="L8" i="1"/>
  <c r="J246" i="1"/>
  <c r="K245" i="1"/>
  <c r="G244" i="1"/>
  <c r="L246" i="1"/>
  <c r="N246" i="1"/>
  <c r="M246" i="1"/>
  <c r="I244" i="1"/>
  <c r="L244" i="1" s="1"/>
  <c r="H250" i="1"/>
  <c r="L247" i="1"/>
  <c r="M247" i="1"/>
  <c r="N247" i="1"/>
  <c r="J248" i="1"/>
  <c r="K248" i="1"/>
  <c r="M245" i="1"/>
  <c r="L245" i="1"/>
  <c r="N245" i="1"/>
  <c r="M248" i="1"/>
  <c r="L248" i="1"/>
  <c r="K247" i="1"/>
  <c r="J245" i="1"/>
  <c r="K246" i="1"/>
  <c r="N248" i="1"/>
  <c r="J247" i="1"/>
  <c r="J186" i="1"/>
  <c r="K184" i="1"/>
  <c r="K183" i="1"/>
  <c r="M186" i="1"/>
  <c r="L186" i="1"/>
  <c r="M183" i="1"/>
  <c r="L183" i="1"/>
  <c r="H187" i="1"/>
  <c r="I181" i="1"/>
  <c r="M181" i="1" s="1"/>
  <c r="M184" i="1"/>
  <c r="L184" i="1"/>
  <c r="N184" i="1"/>
  <c r="M182" i="1"/>
  <c r="L182" i="1"/>
  <c r="K186" i="1"/>
  <c r="J182" i="1"/>
  <c r="N183" i="1"/>
  <c r="K185" i="1"/>
  <c r="N186" i="1"/>
  <c r="L185" i="1"/>
  <c r="K182" i="1"/>
  <c r="N182" i="1"/>
  <c r="M185" i="1"/>
  <c r="N185" i="1"/>
  <c r="N9" i="1"/>
  <c r="N7" i="1"/>
  <c r="N6" i="1"/>
  <c r="J126" i="1"/>
  <c r="J125" i="1"/>
  <c r="K125" i="1"/>
  <c r="L126" i="1"/>
  <c r="L124" i="1"/>
  <c r="N125" i="1"/>
  <c r="M125" i="1"/>
  <c r="L125" i="1"/>
  <c r="I124" i="1"/>
  <c r="J124" i="1" s="1"/>
  <c r="H127" i="1"/>
  <c r="K126" i="1"/>
  <c r="M126" i="1"/>
  <c r="N126" i="1"/>
  <c r="N124" i="1"/>
  <c r="M69" i="1"/>
  <c r="K68" i="1"/>
  <c r="N69" i="1"/>
  <c r="I67" i="1"/>
  <c r="M68" i="1"/>
  <c r="L68" i="1"/>
  <c r="N68" i="1"/>
  <c r="J69" i="1"/>
  <c r="J68" i="1"/>
  <c r="L69" i="1"/>
  <c r="K69" i="1"/>
  <c r="K5" i="1"/>
  <c r="H10" i="1"/>
  <c r="I4" i="1"/>
  <c r="I10" i="1" s="1"/>
  <c r="J6" i="1"/>
  <c r="K6" i="1"/>
  <c r="J4" i="1"/>
  <c r="J9" i="1"/>
  <c r="K9" i="1"/>
  <c r="M9" i="1"/>
  <c r="L9" i="1"/>
  <c r="L6" i="1"/>
  <c r="M6" i="1"/>
  <c r="J8" i="1"/>
  <c r="M8" i="1"/>
  <c r="L5" i="1"/>
  <c r="M5" i="1"/>
  <c r="J7" i="1"/>
  <c r="L4" i="1"/>
  <c r="N4" i="1"/>
  <c r="N8" i="1"/>
  <c r="L7" i="1"/>
  <c r="K7" i="1"/>
  <c r="N5" i="1"/>
  <c r="M7" i="1"/>
  <c r="K8" i="1"/>
  <c r="Y10" i="1" l="1"/>
  <c r="L250" i="1"/>
  <c r="I250" i="1"/>
  <c r="K244" i="1"/>
  <c r="K250" i="1" s="1"/>
  <c r="J244" i="1"/>
  <c r="J250" i="1" s="1"/>
  <c r="M244" i="1"/>
  <c r="M250" i="1" s="1"/>
  <c r="N244" i="1"/>
  <c r="N250" i="1" s="1"/>
  <c r="M187" i="1"/>
  <c r="N181" i="1"/>
  <c r="N187" i="1" s="1"/>
  <c r="J181" i="1"/>
  <c r="J187" i="1" s="1"/>
  <c r="I187" i="1"/>
  <c r="K181" i="1"/>
  <c r="K187" i="1" s="1"/>
  <c r="L181" i="1"/>
  <c r="L187" i="1" s="1"/>
  <c r="L10" i="1"/>
  <c r="W3" i="1" s="1"/>
  <c r="R244" i="1" s="1"/>
  <c r="J127" i="1"/>
  <c r="L127" i="1"/>
  <c r="N127" i="1"/>
  <c r="K124" i="1"/>
  <c r="K127" i="1" s="1"/>
  <c r="I127" i="1"/>
  <c r="M124" i="1"/>
  <c r="M127" i="1" s="1"/>
  <c r="I70" i="1"/>
  <c r="L67" i="1"/>
  <c r="L70" i="1" s="1"/>
  <c r="K67" i="1"/>
  <c r="K70" i="1" s="1"/>
  <c r="J67" i="1"/>
  <c r="J70" i="1" s="1"/>
  <c r="N67" i="1"/>
  <c r="N70" i="1" s="1"/>
  <c r="M67" i="1"/>
  <c r="M70" i="1" s="1"/>
  <c r="J10" i="1"/>
  <c r="N10" i="1"/>
  <c r="K4" i="1"/>
  <c r="K10" i="1" s="1"/>
  <c r="P10" i="1" s="1"/>
  <c r="M4" i="1"/>
  <c r="M10" i="1" s="1"/>
  <c r="R181" i="1" l="1"/>
  <c r="R5" i="1"/>
  <c r="R246" i="1"/>
  <c r="R184" i="1"/>
  <c r="R183" i="1"/>
  <c r="R185" i="1"/>
  <c r="R182" i="1"/>
  <c r="R186" i="1"/>
  <c r="R247" i="1"/>
  <c r="R245" i="1"/>
  <c r="R248" i="1"/>
  <c r="O250" i="1"/>
  <c r="P250" i="1" s="1"/>
  <c r="W243" i="1"/>
  <c r="O187" i="1"/>
  <c r="P187" i="1" s="1"/>
  <c r="W186" i="1" s="1"/>
  <c r="W180" i="1"/>
  <c r="R9" i="1"/>
  <c r="R8" i="1"/>
  <c r="R67" i="1"/>
  <c r="R68" i="1"/>
  <c r="R4" i="1"/>
  <c r="R7" i="1"/>
  <c r="R6" i="1"/>
  <c r="R124" i="1"/>
  <c r="R125" i="1"/>
  <c r="R126" i="1"/>
  <c r="R69" i="1"/>
  <c r="O127" i="1"/>
  <c r="P127" i="1" s="1"/>
  <c r="W123" i="1"/>
  <c r="W66" i="1"/>
  <c r="O70" i="1"/>
  <c r="P70" i="1" s="1"/>
  <c r="W11" i="1"/>
  <c r="R187" i="1" l="1"/>
  <c r="R250" i="1"/>
  <c r="R70" i="1"/>
  <c r="Q181" i="1"/>
  <c r="Q186" i="1"/>
  <c r="S186" i="1" s="1"/>
  <c r="Q185" i="1"/>
  <c r="S185" i="1" s="1"/>
  <c r="Q182" i="1"/>
  <c r="S182" i="1" s="1"/>
  <c r="Q184" i="1"/>
  <c r="S184" i="1" s="1"/>
  <c r="Q183" i="1"/>
  <c r="S183" i="1" s="1"/>
  <c r="W249" i="1"/>
  <c r="W245" i="1"/>
  <c r="W247" i="1"/>
  <c r="W251" i="1"/>
  <c r="W182" i="1"/>
  <c r="I190" i="1" s="1"/>
  <c r="W184" i="1"/>
  <c r="W188" i="1"/>
  <c r="R10" i="1"/>
  <c r="R127" i="1"/>
  <c r="Q5" i="1"/>
  <c r="S5" i="1" s="1"/>
  <c r="Q4" i="1"/>
  <c r="S4" i="1" s="1"/>
  <c r="Q6" i="1"/>
  <c r="S6" i="1" s="1"/>
  <c r="Q9" i="1"/>
  <c r="S9" i="1" s="1"/>
  <c r="I13" i="1"/>
  <c r="Q7" i="1"/>
  <c r="S7" i="1" s="1"/>
  <c r="Q8" i="1"/>
  <c r="S8" i="1" s="1"/>
  <c r="W125" i="1"/>
  <c r="W131" i="1"/>
  <c r="W129" i="1"/>
  <c r="W127" i="1"/>
  <c r="W70" i="1"/>
  <c r="W68" i="1"/>
  <c r="W72" i="1"/>
  <c r="W74" i="1"/>
  <c r="I253" i="1" l="1"/>
  <c r="Q245" i="1"/>
  <c r="S245" i="1" s="1"/>
  <c r="Q246" i="1"/>
  <c r="S246" i="1" s="1"/>
  <c r="Q247" i="1"/>
  <c r="S247" i="1" s="1"/>
  <c r="Q244" i="1"/>
  <c r="Q248" i="1"/>
  <c r="S248" i="1" s="1"/>
  <c r="K190" i="1"/>
  <c r="F309" i="1" s="1"/>
  <c r="D309" i="1"/>
  <c r="I73" i="1"/>
  <c r="Q69" i="1"/>
  <c r="S69" i="1" s="1"/>
  <c r="Q67" i="1"/>
  <c r="Q68" i="1"/>
  <c r="S68" i="1" s="1"/>
  <c r="K13" i="1"/>
  <c r="F306" i="1" s="1"/>
  <c r="D306" i="1"/>
  <c r="Q187" i="1"/>
  <c r="S181" i="1"/>
  <c r="S187" i="1" s="1"/>
  <c r="W190" i="1" s="1"/>
  <c r="I130" i="1"/>
  <c r="Q125" i="1"/>
  <c r="S125" i="1" s="1"/>
  <c r="Q126" i="1"/>
  <c r="S126" i="1" s="1"/>
  <c r="Q124" i="1"/>
  <c r="S124" i="1" s="1"/>
  <c r="Q10" i="1"/>
  <c r="S67" i="1"/>
  <c r="S10" i="1"/>
  <c r="W13" i="1" s="1"/>
  <c r="S244" i="1" l="1"/>
  <c r="S250" i="1" s="1"/>
  <c r="W253" i="1" s="1"/>
  <c r="Q250" i="1"/>
  <c r="K253" i="1"/>
  <c r="F310" i="1" s="1"/>
  <c r="D310" i="1"/>
  <c r="K130" i="1"/>
  <c r="F308" i="1" s="1"/>
  <c r="D308" i="1"/>
  <c r="S70" i="1"/>
  <c r="W76" i="1" s="1"/>
  <c r="Q70" i="1"/>
  <c r="K73" i="1"/>
  <c r="F307" i="1" s="1"/>
  <c r="D307" i="1"/>
  <c r="Q127" i="1"/>
  <c r="S127" i="1"/>
  <c r="W133" i="1" s="1"/>
</calcChain>
</file>

<file path=xl/sharedStrings.xml><?xml version="1.0" encoding="utf-8"?>
<sst xmlns="http://schemas.openxmlformats.org/spreadsheetml/2006/main" count="250" uniqueCount="77">
  <si>
    <t>#6</t>
  </si>
  <si>
    <t>#5</t>
  </si>
  <si>
    <t>#4</t>
  </si>
  <si>
    <t>#3</t>
  </si>
  <si>
    <t>#2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</si>
  <si>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=</t>
    </r>
  </si>
  <si>
    <t>Coefficient of determination:</t>
  </si>
  <si>
    <t>#1</t>
  </si>
  <si>
    <r>
      <t>Combined standard uncertainty of for height, U</t>
    </r>
    <r>
      <rPr>
        <vertAlign val="subscript"/>
        <sz val="12"/>
        <color theme="1"/>
        <rFont val="Times New Roman"/>
        <family val="1"/>
      </rPr>
      <t>hc</t>
    </r>
  </si>
  <si>
    <t>Standard deviation</t>
  </si>
  <si>
    <r>
      <t>Type A standard uncertainty of accuracy for torque, U</t>
    </r>
    <r>
      <rPr>
        <vertAlign val="subscript"/>
        <sz val="12"/>
        <color theme="1"/>
        <rFont val="Times New Roman"/>
        <family val="1"/>
      </rPr>
      <t>τa</t>
    </r>
  </si>
  <si>
    <r>
      <t>Standard uncertainty of resolution for torque, U</t>
    </r>
    <r>
      <rPr>
        <vertAlign val="subscript"/>
        <sz val="12"/>
        <color theme="1"/>
        <rFont val="Times New Roman"/>
        <family val="1"/>
      </rPr>
      <t>τr</t>
    </r>
  </si>
  <si>
    <t>Data Number</t>
  </si>
  <si>
    <r>
      <t>u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</t>
    </r>
  </si>
  <si>
    <t>Standard uncertainty of c</t>
  </si>
  <si>
    <t>SUM</t>
  </si>
  <si>
    <t>c=</t>
  </si>
  <si>
    <t>y-intercept of best line:</t>
  </si>
  <si>
    <r>
      <t>u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</t>
    </r>
  </si>
  <si>
    <t>Standard uncertainty of m:</t>
  </si>
  <si>
    <t>m=</t>
  </si>
  <si>
    <t>Gradient of best fit line:</t>
  </si>
  <si>
    <r>
      <t>ȳ</t>
    </r>
    <r>
      <rPr>
        <sz val="8.4"/>
        <color theme="1"/>
        <rFont val="Times New Roman"/>
        <family val="1"/>
      </rPr>
      <t>=</t>
    </r>
  </si>
  <si>
    <t>Mean of data y:</t>
  </si>
  <si>
    <r>
      <t>(y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-ŷ)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</si>
  <si>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(y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-ȳ)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</si>
  <si>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t>ŷ</t>
  </si>
  <si>
    <t>1/Δ</t>
  </si>
  <si>
    <t>Δ</t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</si>
  <si>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</si>
  <si>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y</t>
    </r>
    <r>
      <rPr>
        <vertAlign val="subscript"/>
        <sz val="12"/>
        <color theme="1"/>
        <rFont val="Times New Roman"/>
        <family val="2"/>
      </rPr>
      <t>i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</si>
  <si>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</si>
  <si>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</si>
  <si>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</si>
  <si>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1/σ</t>
    </r>
    <r>
      <rPr>
        <vertAlign val="superscript"/>
        <sz val="12"/>
        <color theme="1"/>
        <rFont val="Times New Roman"/>
        <family val="2"/>
      </rPr>
      <t>2</t>
    </r>
  </si>
  <si>
    <t>σ</t>
  </si>
  <si>
    <t>ln(I)</t>
  </si>
  <si>
    <t>ln(τ)</t>
  </si>
  <si>
    <t>Torque (τ)</t>
  </si>
  <si>
    <t>Current, I (A)</t>
  </si>
  <si>
    <t>Force, F (mN)</t>
  </si>
  <si>
    <t>Torque against current</t>
  </si>
  <si>
    <t>Number of turns, n</t>
  </si>
  <si>
    <t>ln(n)</t>
  </si>
  <si>
    <t>Experimental power of I</t>
  </si>
  <si>
    <t>Theoretical power of I</t>
  </si>
  <si>
    <t>Percentage discrepancy</t>
  </si>
  <si>
    <t>Torque against diameter</t>
  </si>
  <si>
    <t>ln(d)</t>
  </si>
  <si>
    <t>Torque against number of loops</t>
  </si>
  <si>
    <t>Diameter, d</t>
  </si>
  <si>
    <t>Torque against current'</t>
  </si>
  <si>
    <t>Current, I' (A)</t>
  </si>
  <si>
    <t>Torque against sin(theta)</t>
  </si>
  <si>
    <t>Experimental power of I'</t>
  </si>
  <si>
    <t>Experimental power of n</t>
  </si>
  <si>
    <t>Theoretical power of n</t>
  </si>
  <si>
    <t>Experimental power of d</t>
  </si>
  <si>
    <t>Theoretical power of d</t>
  </si>
  <si>
    <t>Theoretical power of I'</t>
  </si>
  <si>
    <t>Experimental power of sin(theta)</t>
  </si>
  <si>
    <t>Theoretical power of sin(theta)</t>
  </si>
  <si>
    <t>sin(theta)</t>
  </si>
  <si>
    <t>ln(sin(theta))</t>
  </si>
  <si>
    <t>ln(I')</t>
  </si>
  <si>
    <t>Variable</t>
  </si>
  <si>
    <t>Experimental value</t>
  </si>
  <si>
    <t>Theoretical value</t>
  </si>
  <si>
    <t>I</t>
  </si>
  <si>
    <t>n</t>
  </si>
  <si>
    <t>d</t>
  </si>
  <si>
    <t>I'</t>
  </si>
  <si>
    <t>Experimental c value</t>
  </si>
  <si>
    <t>Theoretical c value</t>
  </si>
  <si>
    <t>Helmholz constant</t>
  </si>
  <si>
    <t>Average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</si>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</sst>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9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8.4"/>
      <color theme="1"/>
      <name val="Times New Roman"/>
      <family val="1"/>
    </font>
    <font>
      <vertAlign val="subscript"/>
      <sz val="12"/>
      <color theme="1"/>
      <name val="Times New Roman"/>
      <family val="2"/>
    </font>
    <font>
      <vertAlign val="superscript"/>
      <sz val="12"/>
      <color theme="1"/>
      <name val="Times New Roman"/>
      <family val="2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 applyProtection="1">
      <alignment horizontal="right"/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0" applyFont="1" applyFill="1" applyProtection="1">
      <protection locked="0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Protection="1"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Ln(Torque) against</a:t>
            </a:r>
            <a:r>
              <a:rPr lang="en-US" baseline="0"/>
              <a:t> ln(Current)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ln(Torque) against ln(Current)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Sheet2!$H$4:$H$9</c:f>
                <c:numCache>
                  <c:formatCode>General</c:formatCode>
                  <c:ptCount val="6"/>
                  <c:pt idx="0">
                    <c:v>1.0049875621120887E-2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1.2288205727444518E-2</c:v>
                  </c:pt>
                  <c:pt idx="4">
                    <c:v>1.0049875621120899E-2</c:v>
                  </c:pt>
                  <c:pt idx="5">
                    <c:v>1E-3</c:v>
                  </c:pt>
                </c:numCache>
              </c:numRef>
            </c:plus>
            <c:minus>
              <c:numRef>
                <c:f>Sheet2!$H$4:$H$9</c:f>
                <c:numCache>
                  <c:formatCode>General</c:formatCode>
                  <c:ptCount val="6"/>
                  <c:pt idx="0">
                    <c:v>1.0049875621120887E-2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1.2288205727444518E-2</c:v>
                  </c:pt>
                  <c:pt idx="4">
                    <c:v>1.0049875621120899E-2</c:v>
                  </c:pt>
                  <c:pt idx="5">
                    <c:v>1E-3</c:v>
                  </c:pt>
                </c:numCache>
              </c:numRef>
            </c:minus>
          </c:errBars>
          <c:xVal>
            <c:numRef>
              <c:f>Sheet2!$G$4:$G$9</c:f>
              <c:numCache>
                <c:formatCode>0.000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</c:numCache>
            </c:numRef>
          </c:xVal>
          <c:yVal>
            <c:numRef>
              <c:f>Sheet2!$F$4:$F$9</c:f>
              <c:numCache>
                <c:formatCode>0.000</c:formatCode>
                <c:ptCount val="6"/>
                <c:pt idx="0">
                  <c:v>-10.282700289500227</c:v>
                </c:pt>
                <c:pt idx="1">
                  <c:v>-9.5556515572645999</c:v>
                </c:pt>
                <c:pt idx="2">
                  <c:v>-9.1501864491564362</c:v>
                </c:pt>
                <c:pt idx="3">
                  <c:v>-8.8878221846889449</c:v>
                </c:pt>
                <c:pt idx="4">
                  <c:v>-8.6393608253904457</c:v>
                </c:pt>
                <c:pt idx="5">
                  <c:v>-8.4852101455631868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 w="28575">
              <a:noFill/>
            </a:ln>
          </c:spPr>
          <c:xVal>
            <c:numRef>
              <c:f>Sheet2!$G$4:$G$9</c:f>
              <c:numCache>
                <c:formatCode>0.000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</c:numCache>
            </c:numRef>
          </c:xVal>
          <c:yVal>
            <c:numRef>
              <c:f>Sheet2!$Q$4:$Q$9</c:f>
              <c:numCache>
                <c:formatCode>General</c:formatCode>
                <c:ptCount val="6"/>
                <c:pt idx="0">
                  <c:v>-10.227175792375425</c:v>
                </c:pt>
                <c:pt idx="1">
                  <c:v>-9.5521061249444177</c:v>
                </c:pt>
                <c:pt idx="2">
                  <c:v>-9.1572156841229777</c:v>
                </c:pt>
                <c:pt idx="3">
                  <c:v>-8.8770364575134106</c:v>
                </c:pt>
                <c:pt idx="4">
                  <c:v>-8.6597125655611027</c:v>
                </c:pt>
                <c:pt idx="5">
                  <c:v>-8.4821460166919707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6592"/>
        <c:axId val="141934592"/>
      </c:scatterChart>
      <c:valAx>
        <c:axId val="1418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ln(Current)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1934592"/>
        <c:crosses val="autoZero"/>
        <c:crossBetween val="midCat"/>
      </c:valAx>
      <c:valAx>
        <c:axId val="141934592"/>
        <c:scaling>
          <c:orientation val="minMax"/>
          <c:max val="-8.4"/>
          <c:min val="-10.3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Ln(Torque)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1806592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Ln(Torque) against</a:t>
            </a:r>
            <a:r>
              <a:rPr lang="en-US" baseline="0"/>
              <a:t> ln(n)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ln(Torque) against ln(n)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Sheet2!$H$67:$H$69</c:f>
                <c:numCache>
                  <c:formatCode>General</c:formatCode>
                  <c:ptCount val="3"/>
                  <c:pt idx="0">
                    <c:v>1.0049875621120877E-2</c:v>
                  </c:pt>
                  <c:pt idx="1">
                    <c:v>1.0049875621120899E-2</c:v>
                  </c:pt>
                  <c:pt idx="2">
                    <c:v>1E-3</c:v>
                  </c:pt>
                </c:numCache>
              </c:numRef>
            </c:plus>
            <c:minus>
              <c:numRef>
                <c:f>Sheet2!$H$67:$H$69</c:f>
                <c:numCache>
                  <c:formatCode>General</c:formatCode>
                  <c:ptCount val="3"/>
                  <c:pt idx="0">
                    <c:v>1.0049875621120877E-2</c:v>
                  </c:pt>
                  <c:pt idx="1">
                    <c:v>1.0049875621120899E-2</c:v>
                  </c:pt>
                  <c:pt idx="2">
                    <c:v>1E-3</c:v>
                  </c:pt>
                </c:numCache>
              </c:numRef>
            </c:minus>
          </c:errBars>
          <c:xVal>
            <c:numRef>
              <c:f>Sheet2!$G$67:$G$69</c:f>
              <c:numCache>
                <c:formatCode>0.000</c:formatCode>
                <c:ptCount val="3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</c:numCache>
            </c:numRef>
          </c:xVal>
          <c:yVal>
            <c:numRef>
              <c:f>Sheet2!$F$67:$F$69</c:f>
              <c:numCache>
                <c:formatCode>0.000</c:formatCode>
                <c:ptCount val="3"/>
                <c:pt idx="0">
                  <c:v>-9.5724586755809806</c:v>
                </c:pt>
                <c:pt idx="1">
                  <c:v>-8.8964059283803358</c:v>
                </c:pt>
                <c:pt idx="2">
                  <c:v>-8.4852101455631868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 w="28575">
              <a:noFill/>
            </a:ln>
          </c:spPr>
          <c:xVal>
            <c:numRef>
              <c:f>Sheet2!$G$67:$G$69</c:f>
              <c:numCache>
                <c:formatCode>0.000</c:formatCode>
                <c:ptCount val="3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</c:numCache>
            </c:numRef>
          </c:xVal>
          <c:yVal>
            <c:numRef>
              <c:f>Sheet2!$Q$67:$Q$69</c:f>
              <c:numCache>
                <c:formatCode>General</c:formatCode>
                <c:ptCount val="3"/>
                <c:pt idx="0">
                  <c:v>-9.5756713213623836</c:v>
                </c:pt>
                <c:pt idx="1">
                  <c:v>-8.8877012283611752</c:v>
                </c:pt>
                <c:pt idx="2">
                  <c:v>-8.48526452233782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696"/>
        <c:axId val="142193024"/>
      </c:scatterChart>
      <c:valAx>
        <c:axId val="1421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ln(n)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2193024"/>
        <c:crosses val="autoZero"/>
        <c:crossBetween val="midCat"/>
      </c:valAx>
      <c:valAx>
        <c:axId val="142193024"/>
        <c:scaling>
          <c:orientation val="minMax"/>
          <c:max val="-8.4"/>
          <c:min val="-9.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Ln(Torque)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2141696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Ln(Torque) against</a:t>
            </a:r>
            <a:r>
              <a:rPr lang="en-US" baseline="0"/>
              <a:t> ln(d)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ln(Torque) against ln(d)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Sheet2!$H$67:$H$69</c:f>
                <c:numCache>
                  <c:formatCode>General</c:formatCode>
                  <c:ptCount val="3"/>
                  <c:pt idx="0">
                    <c:v>1.0049875621120877E-2</c:v>
                  </c:pt>
                  <c:pt idx="1">
                    <c:v>1.0049875621120899E-2</c:v>
                  </c:pt>
                  <c:pt idx="2">
                    <c:v>1E-3</c:v>
                  </c:pt>
                </c:numCache>
              </c:numRef>
            </c:plus>
            <c:minus>
              <c:numRef>
                <c:f>Sheet2!$H$67:$H$69</c:f>
                <c:numCache>
                  <c:formatCode>General</c:formatCode>
                  <c:ptCount val="3"/>
                  <c:pt idx="0">
                    <c:v>1.0049875621120877E-2</c:v>
                  </c:pt>
                  <c:pt idx="1">
                    <c:v>1.0049875621120899E-2</c:v>
                  </c:pt>
                  <c:pt idx="2">
                    <c:v>1E-3</c:v>
                  </c:pt>
                </c:numCache>
              </c:numRef>
            </c:minus>
          </c:errBars>
          <c:xVal>
            <c:numRef>
              <c:f>Sheet2!$G$124:$G$126</c:f>
              <c:numCache>
                <c:formatCode>0.000</c:formatCode>
                <c:ptCount val="3"/>
                <c:pt idx="0">
                  <c:v>1.791759469228055</c:v>
                </c:pt>
                <c:pt idx="1">
                  <c:v>2.1400661634962708</c:v>
                </c:pt>
                <c:pt idx="2">
                  <c:v>2.4849066497880004</c:v>
                </c:pt>
              </c:numCache>
            </c:numRef>
          </c:xVal>
          <c:yVal>
            <c:numRef>
              <c:f>Sheet2!$F$124:$F$126</c:f>
              <c:numCache>
                <c:formatCode>0.000</c:formatCode>
                <c:ptCount val="3"/>
                <c:pt idx="0">
                  <c:v>-11.010938789871442</c:v>
                </c:pt>
                <c:pt idx="1">
                  <c:v>-10.248798737824545</c:v>
                </c:pt>
                <c:pt idx="2">
                  <c:v>-9.6426629342542292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 w="28575">
              <a:noFill/>
            </a:ln>
          </c:spPr>
          <c:xVal>
            <c:numRef>
              <c:f>Sheet2!$G$124:$G$126</c:f>
              <c:numCache>
                <c:formatCode>0.000</c:formatCode>
                <c:ptCount val="3"/>
                <c:pt idx="0">
                  <c:v>1.791759469228055</c:v>
                </c:pt>
                <c:pt idx="1">
                  <c:v>2.1400661634962708</c:v>
                </c:pt>
                <c:pt idx="2">
                  <c:v>2.4849066497880004</c:v>
                </c:pt>
              </c:numCache>
            </c:numRef>
          </c:xVal>
          <c:yVal>
            <c:numRef>
              <c:f>Sheet2!$Q$124:$Q$126</c:f>
              <c:numCache>
                <c:formatCode>General</c:formatCode>
                <c:ptCount val="3"/>
                <c:pt idx="0">
                  <c:v>-10.868179990422208</c:v>
                </c:pt>
                <c:pt idx="1">
                  <c:v>-10.251639852251452</c:v>
                </c:pt>
                <c:pt idx="2">
                  <c:v>-9.6412352732873376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8720"/>
        <c:axId val="204481664"/>
      </c:scatterChart>
      <c:valAx>
        <c:axId val="204478720"/>
        <c:scaling>
          <c:orientation val="minMax"/>
          <c:max val="2.5"/>
          <c:min val="1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4481664"/>
        <c:crosses val="autoZero"/>
        <c:crossBetween val="midCat"/>
      </c:valAx>
      <c:valAx>
        <c:axId val="204481664"/>
        <c:scaling>
          <c:orientation val="minMax"/>
          <c:max val="-9.5"/>
          <c:min val="-11.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Ln(Torque)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44787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Ln(Torque) against</a:t>
            </a:r>
            <a:r>
              <a:rPr lang="en-US" baseline="0"/>
              <a:t> ln(Current')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ln(Torque) against ln(Current')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Sheet2!$H$4:$H$9</c:f>
                <c:numCache>
                  <c:formatCode>General</c:formatCode>
                  <c:ptCount val="6"/>
                  <c:pt idx="0">
                    <c:v>1.0049875621120887E-2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1.2288205727444518E-2</c:v>
                  </c:pt>
                  <c:pt idx="4">
                    <c:v>1.0049875621120899E-2</c:v>
                  </c:pt>
                  <c:pt idx="5">
                    <c:v>1E-3</c:v>
                  </c:pt>
                </c:numCache>
              </c:numRef>
            </c:plus>
            <c:minus>
              <c:numRef>
                <c:f>Sheet2!$H$4:$H$9</c:f>
                <c:numCache>
                  <c:formatCode>General</c:formatCode>
                  <c:ptCount val="6"/>
                  <c:pt idx="0">
                    <c:v>1.0049875621120887E-2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1.2288205727444518E-2</c:v>
                  </c:pt>
                  <c:pt idx="4">
                    <c:v>1.0049875621120899E-2</c:v>
                  </c:pt>
                  <c:pt idx="5">
                    <c:v>1E-3</c:v>
                  </c:pt>
                </c:numCache>
              </c:numRef>
            </c:minus>
          </c:errBars>
          <c:xVal>
            <c:numRef>
              <c:f>Sheet2!$G$4:$G$9</c:f>
              <c:numCache>
                <c:formatCode>0.000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</c:numCache>
            </c:numRef>
          </c:xVal>
          <c:yVal>
            <c:numRef>
              <c:f>Sheet2!$F$4:$F$9</c:f>
              <c:numCache>
                <c:formatCode>0.000</c:formatCode>
                <c:ptCount val="6"/>
                <c:pt idx="0">
                  <c:v>-10.282700289500227</c:v>
                </c:pt>
                <c:pt idx="1">
                  <c:v>-9.5556515572645999</c:v>
                </c:pt>
                <c:pt idx="2">
                  <c:v>-9.1501864491564362</c:v>
                </c:pt>
                <c:pt idx="3">
                  <c:v>-8.8878221846889449</c:v>
                </c:pt>
                <c:pt idx="4">
                  <c:v>-8.6393608253904457</c:v>
                </c:pt>
                <c:pt idx="5">
                  <c:v>-8.4852101455631868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 w="28575">
              <a:noFill/>
            </a:ln>
          </c:spPr>
          <c:xVal>
            <c:numRef>
              <c:f>Sheet2!$G$4:$G$9</c:f>
              <c:numCache>
                <c:formatCode>0.000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</c:numCache>
            </c:numRef>
          </c:xVal>
          <c:yVal>
            <c:numRef>
              <c:f>Sheet2!$Q$4:$Q$9</c:f>
              <c:numCache>
                <c:formatCode>General</c:formatCode>
                <c:ptCount val="6"/>
                <c:pt idx="0">
                  <c:v>-10.227175792375425</c:v>
                </c:pt>
                <c:pt idx="1">
                  <c:v>-9.5521061249444177</c:v>
                </c:pt>
                <c:pt idx="2">
                  <c:v>-9.1572156841229777</c:v>
                </c:pt>
                <c:pt idx="3">
                  <c:v>-8.8770364575134106</c:v>
                </c:pt>
                <c:pt idx="4">
                  <c:v>-8.6597125655611027</c:v>
                </c:pt>
                <c:pt idx="5">
                  <c:v>-8.4821460166919707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28992"/>
        <c:axId val="232759296"/>
      </c:scatterChart>
      <c:valAx>
        <c:axId val="2326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ln(Current')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2759296"/>
        <c:crosses val="autoZero"/>
        <c:crossBetween val="midCat"/>
      </c:valAx>
      <c:valAx>
        <c:axId val="232759296"/>
        <c:scaling>
          <c:orientation val="minMax"/>
          <c:max val="-8"/>
          <c:min val="-10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Ln(Torque)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2628992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Ln(Torque) against</a:t>
            </a:r>
            <a:r>
              <a:rPr lang="en-US" baseline="0"/>
              <a:t> ln(sin(theta))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ln(Torque) against ln(sin(theta))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Sheet2!$H$4:$H$9</c:f>
                <c:numCache>
                  <c:formatCode>General</c:formatCode>
                  <c:ptCount val="6"/>
                  <c:pt idx="0">
                    <c:v>1.0049875621120887E-2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1.2288205727444518E-2</c:v>
                  </c:pt>
                  <c:pt idx="4">
                    <c:v>1.0049875621120899E-2</c:v>
                  </c:pt>
                  <c:pt idx="5">
                    <c:v>1E-3</c:v>
                  </c:pt>
                </c:numCache>
              </c:numRef>
            </c:plus>
            <c:minus>
              <c:numRef>
                <c:f>Sheet2!$H$4:$H$9</c:f>
                <c:numCache>
                  <c:formatCode>General</c:formatCode>
                  <c:ptCount val="6"/>
                  <c:pt idx="0">
                    <c:v>1.0049875621120887E-2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1.2288205727444518E-2</c:v>
                  </c:pt>
                  <c:pt idx="4">
                    <c:v>1.0049875621120899E-2</c:v>
                  </c:pt>
                  <c:pt idx="5">
                    <c:v>1E-3</c:v>
                  </c:pt>
                </c:numCache>
              </c:numRef>
            </c:minus>
          </c:errBars>
          <c:xVal>
            <c:numRef>
              <c:f>Sheet2!$G$4:$G$9</c:f>
              <c:numCache>
                <c:formatCode>0.000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</c:numCache>
            </c:numRef>
          </c:xVal>
          <c:yVal>
            <c:numRef>
              <c:f>Sheet2!$F$4:$F$9</c:f>
              <c:numCache>
                <c:formatCode>0.000</c:formatCode>
                <c:ptCount val="6"/>
                <c:pt idx="0">
                  <c:v>-10.282700289500227</c:v>
                </c:pt>
                <c:pt idx="1">
                  <c:v>-9.5556515572645999</c:v>
                </c:pt>
                <c:pt idx="2">
                  <c:v>-9.1501864491564362</c:v>
                </c:pt>
                <c:pt idx="3">
                  <c:v>-8.8878221846889449</c:v>
                </c:pt>
                <c:pt idx="4">
                  <c:v>-8.6393608253904457</c:v>
                </c:pt>
                <c:pt idx="5">
                  <c:v>-8.4852101455631868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 w="28575">
              <a:noFill/>
            </a:ln>
          </c:spPr>
          <c:xVal>
            <c:numRef>
              <c:f>Sheet2!$G$4:$G$9</c:f>
              <c:numCache>
                <c:formatCode>0.000</c:formatCode>
                <c:ptCount val="6"/>
                <c:pt idx="0">
                  <c:v>-0.69314718055994529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  <c:pt idx="4">
                  <c:v>0.91629073187415511</c:v>
                </c:pt>
                <c:pt idx="5">
                  <c:v>1.0986122886681098</c:v>
                </c:pt>
              </c:numCache>
            </c:numRef>
          </c:xVal>
          <c:yVal>
            <c:numRef>
              <c:f>Sheet2!$Q$4:$Q$9</c:f>
              <c:numCache>
                <c:formatCode>General</c:formatCode>
                <c:ptCount val="6"/>
                <c:pt idx="0">
                  <c:v>-10.227175792375425</c:v>
                </c:pt>
                <c:pt idx="1">
                  <c:v>-9.5521061249444177</c:v>
                </c:pt>
                <c:pt idx="2">
                  <c:v>-9.1572156841229777</c:v>
                </c:pt>
                <c:pt idx="3">
                  <c:v>-8.8770364575134106</c:v>
                </c:pt>
                <c:pt idx="4">
                  <c:v>-8.6597125655611027</c:v>
                </c:pt>
                <c:pt idx="5">
                  <c:v>-8.4821460166919707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2784"/>
        <c:axId val="136264704"/>
      </c:scatterChart>
      <c:valAx>
        <c:axId val="1362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ln(sin(theta))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6264704"/>
        <c:crosses val="autoZero"/>
        <c:crossBetween val="midCat"/>
      </c:valAx>
      <c:valAx>
        <c:axId val="136264704"/>
        <c:scaling>
          <c:orientation val="minMax"/>
          <c:max val="-8"/>
          <c:min val="-10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Ln(Torque)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6262784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794050743657042"/>
                  <c:y val="-0.56506853310002914"/>
                </c:manualLayout>
              </c:layout>
              <c:numFmt formatCode="General" sourceLinked="0"/>
            </c:trendlineLbl>
          </c:trendline>
          <c:xVal>
            <c:numRef>
              <c:f>Sheet2!$K$15:$K$21</c:f>
              <c:numCache>
                <c:formatCode>General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</c:numCache>
            </c:numRef>
          </c:xVal>
          <c:yVal>
            <c:numRef>
              <c:f>Sheet2!$L$15:$L$21</c:f>
              <c:numCache>
                <c:formatCode>General</c:formatCode>
                <c:ptCount val="7"/>
                <c:pt idx="0">
                  <c:v>1.3862943611198906</c:v>
                </c:pt>
                <c:pt idx="1">
                  <c:v>0.69314718055994529</c:v>
                </c:pt>
                <c:pt idx="2">
                  <c:v>0.28768207245178085</c:v>
                </c:pt>
                <c:pt idx="3">
                  <c:v>0</c:v>
                </c:pt>
                <c:pt idx="4">
                  <c:v>-0.22314355131420971</c:v>
                </c:pt>
                <c:pt idx="5">
                  <c:v>-0.40546510810816444</c:v>
                </c:pt>
                <c:pt idx="6">
                  <c:v>-0.55961578793542277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8576"/>
        <c:axId val="138242304"/>
      </c:scatterChart>
      <c:valAx>
        <c:axId val="1382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42304"/>
        <c:crosses val="autoZero"/>
        <c:crossBetween val="midCat"/>
      </c:valAx>
      <c:valAx>
        <c:axId val="1382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4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18676</xdr:colOff>
      <xdr:row>19</xdr:row>
      <xdr:rowOff>10458</xdr:rowOff>
    </xdr:from>
    <xdr:to>
      <xdr:col>5</xdr:col>
      <xdr:colOff>14942</xdr:colOff>
      <xdr:row>63</xdr:row>
      <xdr:rowOff>40894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626462</xdr:colOff>
      <xdr:row>76</xdr:row>
      <xdr:rowOff>1387</xdr:rowOff>
    </xdr:from>
    <xdr:to>
      <xdr:col>4</xdr:col>
      <xdr:colOff>3489299</xdr:colOff>
      <xdr:row>120</xdr:row>
      <xdr:rowOff>31823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626462</xdr:colOff>
      <xdr:row>133</xdr:row>
      <xdr:rowOff>1387</xdr:rowOff>
    </xdr:from>
    <xdr:to>
      <xdr:col>4</xdr:col>
      <xdr:colOff>3489299</xdr:colOff>
      <xdr:row>177</xdr:row>
      <xdr:rowOff>31823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18676</xdr:colOff>
      <xdr:row>196</xdr:row>
      <xdr:rowOff>10458</xdr:rowOff>
    </xdr:from>
    <xdr:to>
      <xdr:col>5</xdr:col>
      <xdr:colOff>14942</xdr:colOff>
      <xdr:row>240</xdr:row>
      <xdr:rowOff>40894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18676</xdr:colOff>
      <xdr:row>259</xdr:row>
      <xdr:rowOff>10458</xdr:rowOff>
    </xdr:from>
    <xdr:to>
      <xdr:col>5</xdr:col>
      <xdr:colOff>14942</xdr:colOff>
      <xdr:row>303</xdr:row>
      <xdr:rowOff>40894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1102179</xdr:colOff>
      <xdr:row>14</xdr:row>
      <xdr:rowOff>16329</xdr:rowOff>
    </xdr:from>
    <xdr:to>
      <xdr:col>19</xdr:col>
      <xdr:colOff>104322</xdr:colOff>
      <xdr:row>27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6"/>
  <sheetViews>
    <sheetView tabSelected="1" zoomScale="70" zoomScaleNormal="70" workbookViewId="0">
      <selection activeCell="F22" sqref="F22"/>
    </sheetView>
  </sheetViews>
  <sheetFormatPr defaultRowHeight="15.5" x14ac:dyDescent="0.35"/>
  <cols>
    <col min="3" max="3" width="29.25" customWidth="1"/>
    <col min="4" max="4" width="40.33203125" bestFit="1" customWidth="1"/>
    <col min="5" max="5" width="46.25" bestFit="1" customWidth="1"/>
    <col min="6" max="6" width="20.4140625" customWidth="1"/>
    <col min="7" max="7" width="40.4140625" customWidth="1"/>
    <col min="8" max="8" width="7.4140625" customWidth="1"/>
    <col min="9" max="9" width="28.33203125" customWidth="1"/>
    <col min="10" max="10" width="26.6640625" customWidth="1"/>
    <col min="11" max="11" width="20.4140625" customWidth="1"/>
    <col min="12" max="12" width="14.1640625" customWidth="1"/>
    <col min="13" max="13" width="14.5" customWidth="1"/>
    <col min="14" max="14" width="14.1640625" customWidth="1"/>
    <col min="15" max="15" width="7.4140625" customWidth="1"/>
    <col min="16" max="16" width="7.5" customWidth="1"/>
    <col min="17" max="17" width="11.75" customWidth="1"/>
    <col min="18" max="18" width="9" customWidth="1"/>
    <col min="21" max="21" width="25.6640625" bestFit="1" customWidth="1"/>
    <col min="22" max="22" width="3.9140625" customWidth="1"/>
    <col min="23" max="23" width="7.4140625" customWidth="1"/>
    <col min="25" max="25" width="16.4140625" bestFit="1" customWidth="1"/>
  </cols>
  <sheetData>
    <row r="1" spans="1:4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35">
      <c r="A2" s="1"/>
      <c r="B2" s="1"/>
      <c r="C2" s="22" t="s">
        <v>41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5" x14ac:dyDescent="0.35">
      <c r="A3" s="1"/>
      <c r="B3" s="1"/>
      <c r="C3" s="6" t="s">
        <v>40</v>
      </c>
      <c r="D3" s="6" t="s">
        <v>39</v>
      </c>
      <c r="E3" s="6" t="s">
        <v>38</v>
      </c>
      <c r="F3" s="6" t="s">
        <v>37</v>
      </c>
      <c r="G3" s="6" t="s">
        <v>36</v>
      </c>
      <c r="H3" s="21" t="s">
        <v>35</v>
      </c>
      <c r="I3" s="21" t="s">
        <v>34</v>
      </c>
      <c r="J3" s="21" t="s">
        <v>33</v>
      </c>
      <c r="K3" s="21" t="s">
        <v>32</v>
      </c>
      <c r="L3" s="21" t="s">
        <v>31</v>
      </c>
      <c r="M3" s="21" t="s">
        <v>30</v>
      </c>
      <c r="N3" s="21" t="s">
        <v>29</v>
      </c>
      <c r="O3" s="14" t="s">
        <v>28</v>
      </c>
      <c r="P3" s="14" t="s">
        <v>27</v>
      </c>
      <c r="Q3" s="15" t="s">
        <v>26</v>
      </c>
      <c r="R3" s="21" t="s">
        <v>25</v>
      </c>
      <c r="S3" s="21" t="s">
        <v>24</v>
      </c>
      <c r="T3" s="1"/>
      <c r="U3" s="10" t="s">
        <v>23</v>
      </c>
      <c r="V3" s="9" t="s">
        <v>22</v>
      </c>
      <c r="W3" s="8">
        <f>L10/I10</f>
        <v>-9.065897751861371</v>
      </c>
      <c r="X3" s="1"/>
      <c r="Y3" s="6" t="s">
        <v>74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35">
      <c r="A4" s="1"/>
      <c r="B4" s="1"/>
      <c r="C4" s="7">
        <v>2.9E-4</v>
      </c>
      <c r="D4" s="20">
        <v>0.5</v>
      </c>
      <c r="E4" s="6">
        <f t="shared" ref="E4:E9" si="0">C4*(11.8/100)</f>
        <v>3.4220000000000001E-5</v>
      </c>
      <c r="F4" s="7">
        <f t="shared" ref="F4:F9" si="1">LN(E4)</f>
        <v>-10.282700289500227</v>
      </c>
      <c r="G4" s="7">
        <f t="shared" ref="G4:G9" si="2">LN(D4)</f>
        <v>-0.69314718055994529</v>
      </c>
      <c r="H4" s="17">
        <f t="shared" ref="H4:H9" si="3">G13</f>
        <v>1.0049875621120887E-2</v>
      </c>
      <c r="I4" s="15">
        <f t="shared" ref="I4:I9" si="4">1/H4^2</f>
        <v>9900.9900990099068</v>
      </c>
      <c r="J4" s="15">
        <f t="shared" ref="J4:J9" si="5">G4*I4</f>
        <v>-6862.84337188065</v>
      </c>
      <c r="K4" s="15">
        <f t="shared" ref="K4:K9" si="6">(G4^2)*I4</f>
        <v>4756.9605338435813</v>
      </c>
      <c r="L4" s="15">
        <f t="shared" ref="L4:L9" si="7">F4*I4</f>
        <v>-101808.91375742805</v>
      </c>
      <c r="M4" s="15">
        <f t="shared" ref="M4:M9" si="8">(F4^2)*I4</f>
        <v>1046870.546967209</v>
      </c>
      <c r="N4" s="15">
        <f t="shared" ref="N4:N9" si="9">G4*F4*I4</f>
        <v>70568.56152683188</v>
      </c>
      <c r="O4" s="15"/>
      <c r="P4" s="15"/>
      <c r="Q4" s="15">
        <f t="shared" ref="Q4:Q9" si="10">($W$5*G4)+$W$9</f>
        <v>-10.227175792375425</v>
      </c>
      <c r="R4" s="14">
        <f t="shared" ref="R4:R9" si="11">((F4-$W$3)^2)*I4</f>
        <v>14659.489263409499</v>
      </c>
      <c r="S4" s="14">
        <f t="shared" ref="S4:S9" si="12">((F4-Q4)^2)*I4</f>
        <v>30.524453276852828</v>
      </c>
      <c r="T4" s="1"/>
      <c r="U4" s="13"/>
      <c r="V4" s="13"/>
      <c r="W4" s="8"/>
      <c r="X4" s="1"/>
      <c r="Y4" s="6">
        <f t="shared" ref="Y4:Y9" si="13">(4/PI())*E4/(D4*2.72*3*((12/100)^2))</f>
        <v>7.4159615367710497E-4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35">
      <c r="A5" s="1"/>
      <c r="B5" s="1"/>
      <c r="C5" s="7">
        <v>5.9999999999999995E-4</v>
      </c>
      <c r="D5" s="20">
        <v>1</v>
      </c>
      <c r="E5" s="6">
        <f t="shared" si="0"/>
        <v>7.08E-5</v>
      </c>
      <c r="F5" s="7">
        <f t="shared" si="1"/>
        <v>-9.5556515572645999</v>
      </c>
      <c r="G5" s="7">
        <f t="shared" si="2"/>
        <v>0</v>
      </c>
      <c r="H5" s="17">
        <f t="shared" si="3"/>
        <v>1E-3</v>
      </c>
      <c r="I5" s="15">
        <f t="shared" si="4"/>
        <v>1000000</v>
      </c>
      <c r="J5" s="15">
        <f t="shared" si="5"/>
        <v>0</v>
      </c>
      <c r="K5" s="15">
        <f t="shared" si="6"/>
        <v>0</v>
      </c>
      <c r="L5" s="15">
        <f t="shared" si="7"/>
        <v>-9555651.5572645999</v>
      </c>
      <c r="M5" s="15">
        <f t="shared" si="8"/>
        <v>91310476.683853373</v>
      </c>
      <c r="N5" s="15">
        <f t="shared" si="9"/>
        <v>0</v>
      </c>
      <c r="O5" s="15"/>
      <c r="P5" s="15"/>
      <c r="Q5" s="15">
        <f t="shared" si="10"/>
        <v>-9.5521061249444177</v>
      </c>
      <c r="R5" s="14">
        <f t="shared" si="11"/>
        <v>239858.7899069438</v>
      </c>
      <c r="S5" s="14">
        <f t="shared" si="12"/>
        <v>12.570090336992743</v>
      </c>
      <c r="T5" s="1"/>
      <c r="U5" s="10" t="s">
        <v>21</v>
      </c>
      <c r="V5" s="9" t="s">
        <v>20</v>
      </c>
      <c r="W5" s="8">
        <f>P10*((I10*N10)-(J10*L10))</f>
        <v>0.9739196614572746</v>
      </c>
      <c r="X5" s="1"/>
      <c r="Y5" s="6">
        <f t="shared" si="13"/>
        <v>7.6716843483838441E-4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35">
      <c r="A6" s="1"/>
      <c r="B6" s="1"/>
      <c r="C6" s="7">
        <v>8.9999999999999998E-4</v>
      </c>
      <c r="D6" s="20">
        <v>1.5</v>
      </c>
      <c r="E6" s="6">
        <f t="shared" si="0"/>
        <v>1.0620000000000001E-4</v>
      </c>
      <c r="F6" s="7">
        <f t="shared" si="1"/>
        <v>-9.1501864491564362</v>
      </c>
      <c r="G6" s="7">
        <f t="shared" si="2"/>
        <v>0.40546510810816438</v>
      </c>
      <c r="H6" s="17">
        <f t="shared" si="3"/>
        <v>1E-3</v>
      </c>
      <c r="I6" s="15">
        <f t="shared" si="4"/>
        <v>1000000</v>
      </c>
      <c r="J6" s="15">
        <f t="shared" si="5"/>
        <v>405465.10810816439</v>
      </c>
      <c r="K6" s="15">
        <f t="shared" si="6"/>
        <v>164401.95389316542</v>
      </c>
      <c r="L6" s="15">
        <f t="shared" si="7"/>
        <v>-9150186.4491564371</v>
      </c>
      <c r="M6" s="15">
        <f t="shared" si="8"/>
        <v>83725912.054326072</v>
      </c>
      <c r="N6" s="15">
        <f t="shared" si="9"/>
        <v>-3710081.3378170752</v>
      </c>
      <c r="O6" s="15"/>
      <c r="P6" s="15"/>
      <c r="Q6" s="15">
        <f t="shared" si="10"/>
        <v>-9.1572156841229777</v>
      </c>
      <c r="R6" s="14">
        <f t="shared" si="11"/>
        <v>7104.5844916991255</v>
      </c>
      <c r="S6" s="14">
        <f t="shared" si="12"/>
        <v>49.410144214849808</v>
      </c>
      <c r="T6" s="1"/>
      <c r="U6" s="11"/>
      <c r="V6" s="13"/>
      <c r="W6" s="8"/>
      <c r="X6" s="1"/>
      <c r="Y6" s="6">
        <f t="shared" si="13"/>
        <v>7.6716843483838452E-4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7.5" x14ac:dyDescent="0.45">
      <c r="A7" s="1"/>
      <c r="B7" s="1"/>
      <c r="C7" s="7">
        <v>1.17E-3</v>
      </c>
      <c r="D7" s="20">
        <v>2</v>
      </c>
      <c r="E7" s="6">
        <f t="shared" si="0"/>
        <v>1.3806000000000002E-4</v>
      </c>
      <c r="F7" s="7">
        <f t="shared" si="1"/>
        <v>-8.8878221846889449</v>
      </c>
      <c r="G7" s="7">
        <f t="shared" si="2"/>
        <v>0.69314718055994529</v>
      </c>
      <c r="H7" s="17">
        <f t="shared" si="3"/>
        <v>1.2288205727444518E-2</v>
      </c>
      <c r="I7" s="15">
        <f t="shared" si="4"/>
        <v>6622.5165562913799</v>
      </c>
      <c r="J7" s="15">
        <f t="shared" si="5"/>
        <v>4590.3786792049277</v>
      </c>
      <c r="K7" s="15">
        <f t="shared" si="6"/>
        <v>3181.8080391933813</v>
      </c>
      <c r="L7" s="15">
        <f t="shared" si="7"/>
        <v>-58859.749567476363</v>
      </c>
      <c r="M7" s="15">
        <f t="shared" si="8"/>
        <v>523134.98799105192</v>
      </c>
      <c r="N7" s="15">
        <f t="shared" si="9"/>
        <v>-40798.469461160697</v>
      </c>
      <c r="O7" s="15"/>
      <c r="P7" s="15"/>
      <c r="Q7" s="15">
        <f t="shared" si="10"/>
        <v>-8.8770364575134106</v>
      </c>
      <c r="R7" s="14">
        <f t="shared" si="11"/>
        <v>210.00601075351784</v>
      </c>
      <c r="S7" s="14">
        <f t="shared" si="12"/>
        <v>0.77041000466926102</v>
      </c>
      <c r="T7" s="1"/>
      <c r="U7" s="10" t="s">
        <v>19</v>
      </c>
      <c r="V7" s="9" t="s">
        <v>18</v>
      </c>
      <c r="W7" s="8">
        <f>SQRT(P10*I10)</f>
        <v>1.2565653811851081E-3</v>
      </c>
      <c r="X7" s="1"/>
      <c r="Y7" s="6">
        <f t="shared" si="13"/>
        <v>7.4798922396742502E-4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35">
      <c r="A8" s="1"/>
      <c r="B8" s="1"/>
      <c r="C8" s="7">
        <v>1.5E-3</v>
      </c>
      <c r="D8" s="20">
        <v>2.5</v>
      </c>
      <c r="E8" s="6">
        <f t="shared" si="0"/>
        <v>1.7700000000000002E-4</v>
      </c>
      <c r="F8" s="7">
        <f t="shared" si="1"/>
        <v>-8.6393608253904457</v>
      </c>
      <c r="G8" s="7">
        <f t="shared" si="2"/>
        <v>0.91629073187415511</v>
      </c>
      <c r="H8" s="17">
        <f t="shared" si="3"/>
        <v>1.0049875621120899E-2</v>
      </c>
      <c r="I8" s="15">
        <f t="shared" si="4"/>
        <v>9900.9900990098831</v>
      </c>
      <c r="J8" s="15">
        <f t="shared" si="5"/>
        <v>9072.1854641005284</v>
      </c>
      <c r="K8" s="15">
        <f t="shared" si="6"/>
        <v>8312.7594585987463</v>
      </c>
      <c r="L8" s="15">
        <f t="shared" si="7"/>
        <v>-85538.225993964661</v>
      </c>
      <c r="M8" s="15">
        <f t="shared" si="8"/>
        <v>738995.59872565302</v>
      </c>
      <c r="N8" s="15">
        <f t="shared" si="9"/>
        <v>-78377.883699226746</v>
      </c>
      <c r="O8" s="15"/>
      <c r="P8" s="15"/>
      <c r="Q8" s="15">
        <f t="shared" si="10"/>
        <v>-8.6597125655611027</v>
      </c>
      <c r="R8" s="14">
        <f t="shared" si="11"/>
        <v>1801.3242538936954</v>
      </c>
      <c r="S8" s="14">
        <f t="shared" si="12"/>
        <v>4.1009240393458706</v>
      </c>
      <c r="T8" s="1"/>
      <c r="U8" s="11"/>
      <c r="V8" s="13"/>
      <c r="W8" s="8"/>
      <c r="X8" s="1"/>
      <c r="Y8" s="6">
        <f t="shared" si="13"/>
        <v>7.6716843483838441E-4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35">
      <c r="A9" s="1"/>
      <c r="B9" s="1"/>
      <c r="C9" s="19">
        <v>1.75E-3</v>
      </c>
      <c r="D9" s="18">
        <v>3</v>
      </c>
      <c r="E9" s="6">
        <f t="shared" si="0"/>
        <v>2.065E-4</v>
      </c>
      <c r="F9" s="7">
        <f t="shared" si="1"/>
        <v>-8.4852101455631868</v>
      </c>
      <c r="G9" s="7">
        <f t="shared" si="2"/>
        <v>1.0986122886681098</v>
      </c>
      <c r="H9" s="17">
        <f t="shared" si="3"/>
        <v>1E-3</v>
      </c>
      <c r="I9" s="16">
        <f t="shared" si="4"/>
        <v>1000000</v>
      </c>
      <c r="J9" s="15">
        <f t="shared" si="5"/>
        <v>1098612.2886681098</v>
      </c>
      <c r="K9" s="15">
        <f t="shared" si="6"/>
        <v>1206948.9608125822</v>
      </c>
      <c r="L9" s="15">
        <f t="shared" si="7"/>
        <v>-8485210.1455631871</v>
      </c>
      <c r="M9" s="15">
        <f t="shared" si="8"/>
        <v>71998791.214368433</v>
      </c>
      <c r="N9" s="15">
        <f t="shared" si="9"/>
        <v>-9321956.1378470361</v>
      </c>
      <c r="O9" s="16"/>
      <c r="P9" s="16"/>
      <c r="Q9" s="15">
        <f t="shared" si="10"/>
        <v>-8.4821460166919707</v>
      </c>
      <c r="R9" s="14">
        <f t="shared" si="11"/>
        <v>337198.09610831511</v>
      </c>
      <c r="S9" s="14">
        <f t="shared" si="12"/>
        <v>9.3888857394200418</v>
      </c>
      <c r="T9" s="1"/>
      <c r="U9" s="10" t="s">
        <v>17</v>
      </c>
      <c r="V9" s="9" t="s">
        <v>16</v>
      </c>
      <c r="W9" s="8">
        <f>P10*((K10*L10)-(J10*N10))</f>
        <v>-9.5521061249444177</v>
      </c>
      <c r="X9" s="1"/>
      <c r="Y9" s="6">
        <f t="shared" si="13"/>
        <v>7.4585820053731816E-4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35">
      <c r="A10" s="1"/>
      <c r="B10" s="1"/>
      <c r="C10" s="27" t="s">
        <v>15</v>
      </c>
      <c r="D10" s="27"/>
      <c r="E10" s="27"/>
      <c r="F10" s="27"/>
      <c r="G10" s="27"/>
      <c r="H10" s="7">
        <f t="shared" ref="H10:N10" si="14">SUM(H4:H9)</f>
        <v>3.5387956969686309E-2</v>
      </c>
      <c r="I10" s="7">
        <f t="shared" si="14"/>
        <v>3026424.496754311</v>
      </c>
      <c r="J10" s="7">
        <f t="shared" si="14"/>
        <v>1510877.117547699</v>
      </c>
      <c r="K10" s="7">
        <f t="shared" si="14"/>
        <v>1387602.4427373833</v>
      </c>
      <c r="L10" s="7">
        <f t="shared" si="14"/>
        <v>-27437255.041303091</v>
      </c>
      <c r="M10" s="7">
        <f t="shared" si="14"/>
        <v>249344181.0862318</v>
      </c>
      <c r="N10" s="7">
        <f t="shared" si="14"/>
        <v>-13080645.267297667</v>
      </c>
      <c r="O10" s="6">
        <f>(I10*K10)-(J10)^2</f>
        <v>1916724360127.2944</v>
      </c>
      <c r="P10" s="6">
        <f>1/O10</f>
        <v>5.2172342607133529E-13</v>
      </c>
      <c r="Q10" s="6">
        <f>SUM(Q4:Q9)</f>
        <v>-54.955392641209301</v>
      </c>
      <c r="R10" s="6">
        <f>SUM(R4:R9)</f>
        <v>600832.29003501474</v>
      </c>
      <c r="S10" s="6">
        <f>SUM(S4:S9)</f>
        <v>106.76490761213056</v>
      </c>
      <c r="T10" s="1"/>
      <c r="U10" s="11"/>
      <c r="V10" s="13"/>
      <c r="W10" s="8"/>
      <c r="X10" s="1"/>
      <c r="Y10" s="6">
        <f>AVERAGE(Y4:Y9)</f>
        <v>7.5615814711616684E-4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7.5" x14ac:dyDescent="0.45">
      <c r="A11" s="1"/>
      <c r="B11" s="1"/>
      <c r="C11" s="4"/>
      <c r="D11" s="5"/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2"/>
      <c r="R11" s="2"/>
      <c r="S11" s="1"/>
      <c r="T11" s="1"/>
      <c r="U11" s="10" t="s">
        <v>14</v>
      </c>
      <c r="V11" s="9" t="s">
        <v>13</v>
      </c>
      <c r="W11" s="8">
        <f>SQRT(P10*K10)</f>
        <v>8.5084939939445304E-4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7.5" x14ac:dyDescent="0.35">
      <c r="A12" s="1"/>
      <c r="B12" s="1"/>
      <c r="C12" s="6" t="s">
        <v>12</v>
      </c>
      <c r="D12" s="6" t="s">
        <v>11</v>
      </c>
      <c r="E12" s="6" t="s">
        <v>10</v>
      </c>
      <c r="F12" s="12" t="s">
        <v>9</v>
      </c>
      <c r="G12" s="6" t="s">
        <v>8</v>
      </c>
      <c r="H12" s="3"/>
      <c r="I12" s="15" t="s">
        <v>44</v>
      </c>
      <c r="J12" s="15" t="s">
        <v>45</v>
      </c>
      <c r="K12" s="15" t="s">
        <v>46</v>
      </c>
      <c r="L12" s="3"/>
      <c r="M12" s="3"/>
      <c r="N12" s="3"/>
      <c r="O12" s="3"/>
      <c r="P12" s="3"/>
      <c r="Q12" s="2"/>
      <c r="R12" s="2"/>
      <c r="S12" s="1"/>
      <c r="T12" s="1"/>
      <c r="U12" s="11"/>
      <c r="V12" s="9"/>
      <c r="W12" s="8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8.5" x14ac:dyDescent="0.35">
      <c r="A13" s="1"/>
      <c r="B13" s="1"/>
      <c r="C13" s="6" t="s">
        <v>7</v>
      </c>
      <c r="D13" s="6">
        <v>1E-3</v>
      </c>
      <c r="E13" s="6">
        <f t="shared" ref="E13:E18" si="15">F13/SQRT(5)</f>
        <v>9.9999999999999967E-3</v>
      </c>
      <c r="F13" s="6">
        <f>STDEV(0.25, 0.3, 0.3, 0.3, 0.3)</f>
        <v>2.236067977499789E-2</v>
      </c>
      <c r="G13" s="6">
        <f t="shared" ref="G13:G18" si="16">SQRT((D13)^2+(E13)^2)</f>
        <v>1.0049875621120887E-2</v>
      </c>
      <c r="H13" s="3"/>
      <c r="I13" s="15">
        <f>W5</f>
        <v>0.9739196614572746</v>
      </c>
      <c r="J13" s="15">
        <f>1</f>
        <v>1</v>
      </c>
      <c r="K13" s="15">
        <f>(ABS(J13-I13)/J13)*100</f>
        <v>2.6080338542725401</v>
      </c>
      <c r="L13" s="3"/>
      <c r="M13" s="3"/>
      <c r="N13" s="3"/>
      <c r="O13" s="3"/>
      <c r="P13" s="3"/>
      <c r="Q13" s="2"/>
      <c r="R13" s="2"/>
      <c r="S13" s="1"/>
      <c r="T13" s="1"/>
      <c r="U13" s="10" t="s">
        <v>6</v>
      </c>
      <c r="V13" s="9" t="s">
        <v>5</v>
      </c>
      <c r="W13" s="8">
        <f>1-ABS(S10/R10)</f>
        <v>0.99982230497697466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35">
      <c r="A14" s="1"/>
      <c r="B14" s="1"/>
      <c r="C14" s="7" t="s">
        <v>4</v>
      </c>
      <c r="D14" s="6">
        <v>1E-3</v>
      </c>
      <c r="E14" s="6">
        <f t="shared" si="15"/>
        <v>0</v>
      </c>
      <c r="F14" s="6">
        <f>STDEV(0.6, 0.6, 0.6, 0.6, 0.6)</f>
        <v>0</v>
      </c>
      <c r="G14" s="6">
        <f t="shared" si="16"/>
        <v>1E-3</v>
      </c>
      <c r="H14" s="3"/>
      <c r="I14" s="3"/>
      <c r="J14" s="3"/>
      <c r="K14" s="3"/>
      <c r="L14" s="3"/>
      <c r="M14" s="3"/>
      <c r="N14" s="3"/>
      <c r="O14" s="3"/>
      <c r="P14" s="3"/>
      <c r="Q14" s="2"/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35">
      <c r="A15" s="1"/>
      <c r="B15" s="1"/>
      <c r="C15" s="7" t="s">
        <v>3</v>
      </c>
      <c r="D15" s="6">
        <v>1E-3</v>
      </c>
      <c r="E15" s="6">
        <f t="shared" si="15"/>
        <v>0</v>
      </c>
      <c r="F15" s="6">
        <v>0</v>
      </c>
      <c r="G15" s="6">
        <f t="shared" si="16"/>
        <v>1E-3</v>
      </c>
      <c r="H15" s="3"/>
      <c r="I15" s="3">
        <v>1</v>
      </c>
      <c r="J15" s="3">
        <f>4*(1/I15)</f>
        <v>4</v>
      </c>
      <c r="K15" s="3">
        <f>LN(I15)</f>
        <v>0</v>
      </c>
      <c r="L15" s="3">
        <f>LN(J15)</f>
        <v>1.3862943611198906</v>
      </c>
      <c r="M15" s="3"/>
      <c r="N15" s="3"/>
      <c r="O15" s="3"/>
      <c r="P15" s="3"/>
      <c r="Q15" s="2"/>
      <c r="R15" s="2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35">
      <c r="A16" s="1"/>
      <c r="B16" s="1"/>
      <c r="C16" s="7" t="s">
        <v>2</v>
      </c>
      <c r="D16" s="6">
        <v>1E-3</v>
      </c>
      <c r="E16" s="6">
        <f t="shared" si="15"/>
        <v>1.2247448713915901E-2</v>
      </c>
      <c r="F16" s="6">
        <f>STDEV(1.15, 1.2, 1.2, 1.15, 1.15)</f>
        <v>2.7386127875258331E-2</v>
      </c>
      <c r="G16" s="6">
        <f t="shared" si="16"/>
        <v>1.2288205727444518E-2</v>
      </c>
      <c r="H16" s="3"/>
      <c r="I16" s="3">
        <f>I15+1</f>
        <v>2</v>
      </c>
      <c r="J16" s="3">
        <f>4*(1/I16)</f>
        <v>2</v>
      </c>
      <c r="K16" s="3">
        <f t="shared" ref="K16:K21" si="17">LN(I16)</f>
        <v>0.69314718055994529</v>
      </c>
      <c r="L16" s="3">
        <f t="shared" ref="L16:L21" si="18">LN(J16)</f>
        <v>0.69314718055994529</v>
      </c>
      <c r="M16" s="3"/>
      <c r="N16" s="3"/>
      <c r="O16" s="3"/>
      <c r="P16" s="3"/>
      <c r="Q16" s="2"/>
      <c r="R16" s="2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35">
      <c r="A17" s="1"/>
      <c r="B17" s="1"/>
      <c r="C17" s="7" t="s">
        <v>1</v>
      </c>
      <c r="D17" s="6">
        <v>1E-3</v>
      </c>
      <c r="E17" s="6">
        <f t="shared" si="15"/>
        <v>1.0000000000000009E-2</v>
      </c>
      <c r="F17" s="6">
        <f>STDEV(1.5, 1.5, 1.5, 1.45, 1.5)</f>
        <v>2.2360679774997918E-2</v>
      </c>
      <c r="G17" s="6">
        <f t="shared" si="16"/>
        <v>1.0049875621120899E-2</v>
      </c>
      <c r="H17" s="3"/>
      <c r="I17" s="3">
        <f t="shared" ref="I17:I21" si="19">I16+1</f>
        <v>3</v>
      </c>
      <c r="J17" s="3">
        <f t="shared" ref="J17:J21" si="20">4*(1/I17)</f>
        <v>1.3333333333333333</v>
      </c>
      <c r="K17" s="3">
        <f t="shared" si="17"/>
        <v>1.0986122886681098</v>
      </c>
      <c r="L17" s="3">
        <f t="shared" si="18"/>
        <v>0.28768207245178085</v>
      </c>
      <c r="M17" s="3"/>
      <c r="N17" s="3"/>
      <c r="O17" s="3"/>
      <c r="P17" s="3"/>
      <c r="Q17" s="2"/>
      <c r="R17" s="2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35">
      <c r="A18" s="1"/>
      <c r="B18" s="1"/>
      <c r="C18" s="7" t="s">
        <v>0</v>
      </c>
      <c r="D18" s="6">
        <v>1E-3</v>
      </c>
      <c r="E18" s="6">
        <f t="shared" si="15"/>
        <v>0</v>
      </c>
      <c r="F18" s="6">
        <v>0</v>
      </c>
      <c r="G18" s="6">
        <f t="shared" si="16"/>
        <v>1E-3</v>
      </c>
      <c r="H18" s="3"/>
      <c r="I18" s="3">
        <f t="shared" si="19"/>
        <v>4</v>
      </c>
      <c r="J18" s="3">
        <f t="shared" si="20"/>
        <v>1</v>
      </c>
      <c r="K18" s="3">
        <f t="shared" si="17"/>
        <v>1.3862943611198906</v>
      </c>
      <c r="L18" s="3">
        <f t="shared" si="18"/>
        <v>0</v>
      </c>
      <c r="M18" s="3"/>
      <c r="N18" s="3"/>
      <c r="O18" s="3"/>
      <c r="P18" s="3"/>
      <c r="Q18" s="2"/>
      <c r="R18" s="2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35">
      <c r="A19" s="1"/>
      <c r="B19" s="1"/>
      <c r="C19" s="4"/>
      <c r="D19" s="5"/>
      <c r="E19" s="4"/>
      <c r="F19" s="4"/>
      <c r="G19" s="3"/>
      <c r="H19" s="3"/>
      <c r="I19" s="3">
        <f t="shared" si="19"/>
        <v>5</v>
      </c>
      <c r="J19" s="3">
        <f t="shared" si="20"/>
        <v>0.8</v>
      </c>
      <c r="K19" s="3">
        <f t="shared" si="17"/>
        <v>1.6094379124341003</v>
      </c>
      <c r="L19" s="3">
        <f t="shared" si="18"/>
        <v>-0.22314355131420971</v>
      </c>
      <c r="M19" s="3"/>
      <c r="N19" s="3"/>
      <c r="O19" s="3"/>
      <c r="P19" s="3"/>
      <c r="Q19" s="2"/>
      <c r="R19" s="2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35">
      <c r="A20" s="1"/>
      <c r="B20" s="1"/>
      <c r="C20" s="4"/>
      <c r="D20" s="5"/>
      <c r="E20" s="4"/>
      <c r="F20" s="4"/>
      <c r="G20" s="6">
        <f>(4/PI())*E4/(D4*2.72*3*((12/100)^2))*(1/(1-1.5708^2/4)^0.5)*0.04</f>
        <v>4.7923092547715309E-5</v>
      </c>
      <c r="H20" s="3"/>
      <c r="I20" s="3">
        <f t="shared" si="19"/>
        <v>6</v>
      </c>
      <c r="J20" s="3">
        <f t="shared" si="20"/>
        <v>0.66666666666666663</v>
      </c>
      <c r="K20" s="3">
        <f t="shared" si="17"/>
        <v>1.791759469228055</v>
      </c>
      <c r="L20" s="3">
        <f t="shared" si="18"/>
        <v>-0.40546510810816444</v>
      </c>
      <c r="M20" s="3"/>
      <c r="N20" s="3"/>
      <c r="O20" s="3"/>
      <c r="P20" s="3"/>
      <c r="Q20" s="2"/>
      <c r="R20" s="2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35">
      <c r="A21" s="1"/>
      <c r="B21" s="1"/>
      <c r="C21" s="4"/>
      <c r="D21" s="5"/>
      <c r="E21" s="4"/>
      <c r="F21" s="4"/>
      <c r="G21" s="3">
        <f>(ABS(0.00081-0.00067)/0.00067)*100</f>
        <v>20.895522388059689</v>
      </c>
      <c r="H21" s="3"/>
      <c r="I21" s="3">
        <f t="shared" si="19"/>
        <v>7</v>
      </c>
      <c r="J21" s="3">
        <f t="shared" si="20"/>
        <v>0.5714285714285714</v>
      </c>
      <c r="K21" s="3">
        <f t="shared" si="17"/>
        <v>1.9459101490553132</v>
      </c>
      <c r="L21" s="3">
        <f t="shared" si="18"/>
        <v>-0.55961578793542277</v>
      </c>
      <c r="M21" s="3"/>
      <c r="N21" s="3"/>
      <c r="O21" s="3"/>
      <c r="P21" s="3"/>
      <c r="Q21" s="2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35">
      <c r="A22" s="1"/>
      <c r="B22" s="1"/>
      <c r="C22" s="4"/>
      <c r="D22" s="5"/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2"/>
      <c r="R22" s="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5">
      <c r="A23" s="1"/>
      <c r="B23" s="1"/>
      <c r="C23" s="4"/>
      <c r="D23" s="5"/>
      <c r="E23" s="4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2"/>
      <c r="R23" s="2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35">
      <c r="A24" s="1"/>
      <c r="B24" s="1"/>
      <c r="C24" s="4"/>
      <c r="D24" s="5"/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2"/>
      <c r="R24" s="2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5">
      <c r="A25" s="1"/>
      <c r="B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35">
      <c r="A27" s="1"/>
      <c r="B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35">
      <c r="A28" s="1"/>
      <c r="B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x14ac:dyDescent="0.35">
      <c r="A65" s="1"/>
      <c r="B65" s="1"/>
      <c r="C65" s="22" t="s">
        <v>49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8.5" x14ac:dyDescent="0.35">
      <c r="A66" s="1"/>
      <c r="B66" s="1"/>
      <c r="C66" s="6" t="s">
        <v>42</v>
      </c>
      <c r="D66" s="6" t="s">
        <v>39</v>
      </c>
      <c r="E66" s="6" t="s">
        <v>38</v>
      </c>
      <c r="F66" s="6" t="s">
        <v>37</v>
      </c>
      <c r="G66" s="6" t="s">
        <v>43</v>
      </c>
      <c r="H66" s="21" t="s">
        <v>35</v>
      </c>
      <c r="I66" s="21" t="s">
        <v>34</v>
      </c>
      <c r="J66" s="21" t="s">
        <v>33</v>
      </c>
      <c r="K66" s="21" t="s">
        <v>32</v>
      </c>
      <c r="L66" s="21" t="s">
        <v>31</v>
      </c>
      <c r="M66" s="21" t="s">
        <v>30</v>
      </c>
      <c r="N66" s="21" t="s">
        <v>29</v>
      </c>
      <c r="O66" s="14" t="s">
        <v>28</v>
      </c>
      <c r="P66" s="14" t="s">
        <v>27</v>
      </c>
      <c r="Q66" s="15" t="s">
        <v>26</v>
      </c>
      <c r="R66" s="21" t="s">
        <v>25</v>
      </c>
      <c r="S66" s="21" t="s">
        <v>24</v>
      </c>
      <c r="T66" s="1"/>
      <c r="U66" s="10" t="s">
        <v>23</v>
      </c>
      <c r="V66" s="9" t="s">
        <v>22</v>
      </c>
      <c r="W66" s="8">
        <f>L70/I70</f>
        <v>-8.499758148600419</v>
      </c>
      <c r="X66" s="1"/>
      <c r="Y66" s="6" t="s">
        <v>74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x14ac:dyDescent="0.35">
      <c r="A67" s="1"/>
      <c r="B67" s="1"/>
      <c r="C67" s="7">
        <v>1</v>
      </c>
      <c r="D67" s="20">
        <f>3</f>
        <v>3</v>
      </c>
      <c r="E67" s="6">
        <f>0.00059*(11.8/100)</f>
        <v>6.9620000000000014E-5</v>
      </c>
      <c r="F67" s="7">
        <f>LN(E67)</f>
        <v>-9.5724586755809806</v>
      </c>
      <c r="G67" s="7">
        <f>LN(C67)</f>
        <v>0</v>
      </c>
      <c r="H67" s="17">
        <f>G73</f>
        <v>1.0049875621120877E-2</v>
      </c>
      <c r="I67" s="15">
        <f>1/H67^2</f>
        <v>9900.9900990099268</v>
      </c>
      <c r="J67" s="15">
        <f>G67*I67</f>
        <v>0</v>
      </c>
      <c r="K67" s="15">
        <f>(G67^2)*I67</f>
        <v>0</v>
      </c>
      <c r="L67" s="15">
        <f>F67*I67</f>
        <v>-94776.818570108968</v>
      </c>
      <c r="M67" s="15">
        <f>(F67^2)*I67</f>
        <v>907247.17916540417</v>
      </c>
      <c r="N67" s="15">
        <f>G67*F67*I67</f>
        <v>0</v>
      </c>
      <c r="O67" s="15"/>
      <c r="P67" s="15"/>
      <c r="Q67" s="15">
        <f>($W$68*G67)+$W$72</f>
        <v>-9.5756713213623836</v>
      </c>
      <c r="R67" s="14">
        <f>((F67-$W$3)^2)*I67</f>
        <v>2540.6333607887605</v>
      </c>
      <c r="S67" s="14">
        <f>((F67-Q67)^2)*I67</f>
        <v>0.10218903877986728</v>
      </c>
      <c r="T67" s="1"/>
      <c r="U67" s="13"/>
      <c r="V67" s="13"/>
      <c r="W67" s="8"/>
      <c r="X67" s="1"/>
      <c r="Y67" s="6">
        <f>(4/PI())*E67/(3*2.72*C67*((12/100)^2))</f>
        <v>7.5438229425774485E-4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x14ac:dyDescent="0.35">
      <c r="A68" s="1"/>
      <c r="B68" s="1"/>
      <c r="C68" s="7">
        <v>2</v>
      </c>
      <c r="D68" s="20">
        <f>3</f>
        <v>3</v>
      </c>
      <c r="E68" s="6">
        <f>0.00116*(11.8/100)</f>
        <v>1.3688E-4</v>
      </c>
      <c r="F68" s="7">
        <f>LN(E68)</f>
        <v>-8.8964059283803358</v>
      </c>
      <c r="G68" s="7">
        <f>LN(C68)</f>
        <v>0.69314718055994529</v>
      </c>
      <c r="H68" s="17">
        <f>G74</f>
        <v>1.0049875621120899E-2</v>
      </c>
      <c r="I68" s="15">
        <f>1/H68^2</f>
        <v>9900.9900990098831</v>
      </c>
      <c r="J68" s="15">
        <f>G68*I68</f>
        <v>6862.8433718806336</v>
      </c>
      <c r="K68" s="15">
        <f>(G68^2)*I68</f>
        <v>4756.9605338435695</v>
      </c>
      <c r="L68" s="15">
        <f>F68*I68</f>
        <v>-88083.227013666532</v>
      </c>
      <c r="M68" s="15">
        <f>(F68^2)*I68</f>
        <v>783624.1429952539</v>
      </c>
      <c r="N68" s="15">
        <f>G68*F68*I68</f>
        <v>-61054.640459144561</v>
      </c>
      <c r="O68" s="15"/>
      <c r="P68" s="15"/>
      <c r="Q68" s="15">
        <f>($W$68*G68)+$W$72</f>
        <v>-8.8877012283611752</v>
      </c>
      <c r="R68" s="14">
        <f>((F68-$W$3)^2)*I68</f>
        <v>284.43047749432026</v>
      </c>
      <c r="S68" s="14">
        <f>((F68-Q68)^2)*I68</f>
        <v>0.75021586557995901</v>
      </c>
      <c r="T68" s="1"/>
      <c r="U68" s="10" t="s">
        <v>21</v>
      </c>
      <c r="V68" s="9" t="s">
        <v>20</v>
      </c>
      <c r="W68" s="8">
        <f>P70*((I70*N70)-(J70*L70))</f>
        <v>0.99253104145276361</v>
      </c>
      <c r="X68" s="1"/>
      <c r="Y68" s="6">
        <f>(4/PI())*E68/(3*2.72*C68*((12/100)^2))</f>
        <v>7.4159615367710497E-4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35">
      <c r="A69" s="1"/>
      <c r="B69" s="1"/>
      <c r="C69" s="7">
        <v>3</v>
      </c>
      <c r="D69" s="20">
        <f>3</f>
        <v>3</v>
      </c>
      <c r="E69" s="6">
        <f>0.00175*(11.8/100)</f>
        <v>2.065E-4</v>
      </c>
      <c r="F69" s="7">
        <f>LN(E69)</f>
        <v>-8.4852101455631868</v>
      </c>
      <c r="G69" s="7">
        <f>LN(C69)</f>
        <v>1.0986122886681098</v>
      </c>
      <c r="H69" s="17">
        <f>G75</f>
        <v>1E-3</v>
      </c>
      <c r="I69" s="15">
        <f>1/H69^2</f>
        <v>1000000</v>
      </c>
      <c r="J69" s="15">
        <f>G69*I69</f>
        <v>1098612.2886681098</v>
      </c>
      <c r="K69" s="15">
        <f>(G69^2)*I69</f>
        <v>1206948.9608125822</v>
      </c>
      <c r="L69" s="15">
        <f>F69*I69</f>
        <v>-8485210.1455631871</v>
      </c>
      <c r="M69" s="15">
        <f>(F69^2)*I69</f>
        <v>71998791.214368433</v>
      </c>
      <c r="N69" s="15">
        <f>G69*F69*I69</f>
        <v>-9321956.1378470361</v>
      </c>
      <c r="O69" s="15"/>
      <c r="P69" s="15"/>
      <c r="Q69" s="15">
        <f>($W$68*G69)+$W$72</f>
        <v>-8.48526452233782</v>
      </c>
      <c r="R69" s="14">
        <f>((F69-$W$3)^2)*I69</f>
        <v>337198.09610831511</v>
      </c>
      <c r="S69" s="14">
        <f>((F69-Q69)^2)*I69</f>
        <v>2.956833619517334E-3</v>
      </c>
      <c r="T69" s="1"/>
      <c r="U69" s="11"/>
      <c r="V69" s="13"/>
      <c r="W69" s="8"/>
      <c r="X69" s="1"/>
      <c r="Y69" s="6">
        <f>(4/PI())*E69/(3*2.72*C69*((12/100)^2))</f>
        <v>7.4585820053731816E-4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7.5" x14ac:dyDescent="0.45">
      <c r="A70" s="1"/>
      <c r="B70" s="1"/>
      <c r="C70" s="27" t="s">
        <v>15</v>
      </c>
      <c r="D70" s="27"/>
      <c r="E70" s="27"/>
      <c r="F70" s="27"/>
      <c r="G70" s="27"/>
      <c r="H70" s="7">
        <f t="shared" ref="H70:N70" si="21">SUM(H67:H69)</f>
        <v>2.1099751242241775E-2</v>
      </c>
      <c r="I70" s="7">
        <f t="shared" si="21"/>
        <v>1019801.9801980198</v>
      </c>
      <c r="J70" s="7">
        <f t="shared" si="21"/>
        <v>1105475.1320399905</v>
      </c>
      <c r="K70" s="7">
        <f t="shared" si="21"/>
        <v>1211705.9213464258</v>
      </c>
      <c r="L70" s="7">
        <f t="shared" si="21"/>
        <v>-8668070.1911469623</v>
      </c>
      <c r="M70" s="7">
        <f t="shared" si="21"/>
        <v>73689662.536529094</v>
      </c>
      <c r="N70" s="7">
        <f t="shared" si="21"/>
        <v>-9383010.7783061806</v>
      </c>
      <c r="O70" s="6">
        <f>(I70*K70)-(J70)^2</f>
        <v>13624830447.916504</v>
      </c>
      <c r="P70" s="6">
        <f>1/O70</f>
        <v>7.3395408759227465E-11</v>
      </c>
      <c r="Q70" s="6">
        <f>SUM(Q67:Q69)</f>
        <v>-26.948637072061381</v>
      </c>
      <c r="R70" s="6">
        <f>SUM(R67:R69)</f>
        <v>340023.15994659817</v>
      </c>
      <c r="S70" s="6">
        <f>SUM(S67:S69)</f>
        <v>0.85536173797934367</v>
      </c>
      <c r="T70" s="1"/>
      <c r="U70" s="10" t="s">
        <v>19</v>
      </c>
      <c r="V70" s="9" t="s">
        <v>18</v>
      </c>
      <c r="W70" s="8">
        <f>SQRT(P70*I70)</f>
        <v>8.6515191261479184E-3</v>
      </c>
      <c r="X70" s="1"/>
      <c r="Y70" s="6">
        <f>AVERAGE(Y67:Y69)</f>
        <v>7.4727888282405603E-4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x14ac:dyDescent="0.35">
      <c r="A71" s="1"/>
      <c r="B71" s="1"/>
      <c r="C71" s="4"/>
      <c r="D71" s="5"/>
      <c r="E71" s="24"/>
      <c r="F71" s="4"/>
      <c r="G71" s="4"/>
      <c r="H71" s="25"/>
      <c r="I71" s="3"/>
      <c r="J71" s="3"/>
      <c r="K71" s="3"/>
      <c r="L71" s="3"/>
      <c r="M71" s="3"/>
      <c r="N71" s="3"/>
      <c r="O71" s="3"/>
      <c r="P71" s="3"/>
      <c r="Q71" s="3"/>
      <c r="R71" s="2"/>
      <c r="S71" s="2"/>
      <c r="T71" s="1"/>
      <c r="U71" s="11"/>
      <c r="V71" s="13"/>
      <c r="W71" s="8"/>
      <c r="X71" s="1"/>
      <c r="Y71" s="24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7.5" x14ac:dyDescent="0.35">
      <c r="A72" s="1"/>
      <c r="B72" s="1"/>
      <c r="C72" s="6" t="s">
        <v>12</v>
      </c>
      <c r="D72" s="6" t="s">
        <v>11</v>
      </c>
      <c r="E72" s="6" t="s">
        <v>10</v>
      </c>
      <c r="F72" s="12" t="s">
        <v>9</v>
      </c>
      <c r="G72" s="6" t="s">
        <v>8</v>
      </c>
      <c r="H72" s="3"/>
      <c r="I72" s="15" t="s">
        <v>55</v>
      </c>
      <c r="J72" s="15" t="s">
        <v>56</v>
      </c>
      <c r="K72" s="15" t="s">
        <v>46</v>
      </c>
      <c r="L72" s="3"/>
      <c r="M72" s="3"/>
      <c r="N72" s="3"/>
      <c r="O72" s="3"/>
      <c r="P72" s="3"/>
      <c r="Q72" s="3"/>
      <c r="R72" s="2"/>
      <c r="S72" s="2"/>
      <c r="T72" s="1"/>
      <c r="U72" s="10" t="s">
        <v>17</v>
      </c>
      <c r="V72" s="9" t="s">
        <v>16</v>
      </c>
      <c r="W72" s="8">
        <f>P70*((K70*L70)-(J70*N70))</f>
        <v>-9.5756713213623836</v>
      </c>
      <c r="X72" s="1"/>
      <c r="Y72" s="24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x14ac:dyDescent="0.35">
      <c r="A73" s="1"/>
      <c r="B73" s="1"/>
      <c r="C73" s="6" t="s">
        <v>7</v>
      </c>
      <c r="D73" s="6">
        <v>1E-3</v>
      </c>
      <c r="E73" s="6">
        <f>F73/SQRT(5)</f>
        <v>9.9999999999999863E-3</v>
      </c>
      <c r="F73" s="6">
        <f>STDEV(0.55, 0.6, 0.6, 0.6, 0.6)</f>
        <v>2.2360679774997866E-2</v>
      </c>
      <c r="G73" s="6">
        <f>SQRT((D73)^2+(E73)^2)</f>
        <v>1.0049875621120877E-2</v>
      </c>
      <c r="H73" s="3"/>
      <c r="I73" s="15">
        <f>W68</f>
        <v>0.99253104145276361</v>
      </c>
      <c r="J73" s="15">
        <f>1</f>
        <v>1</v>
      </c>
      <c r="K73" s="15">
        <f>(ABS(J73-I73)/J73)*100</f>
        <v>0.74689585472363929</v>
      </c>
      <c r="T73" s="1"/>
      <c r="U73" s="11"/>
      <c r="V73" s="13"/>
      <c r="W73" s="8"/>
      <c r="X73" s="1"/>
      <c r="Y73" s="24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7.5" x14ac:dyDescent="0.45">
      <c r="A74" s="1"/>
      <c r="B74" s="1"/>
      <c r="C74" s="19" t="s">
        <v>4</v>
      </c>
      <c r="D74" s="23">
        <v>1E-3</v>
      </c>
      <c r="E74" s="23">
        <f>F74/SQRT(5)</f>
        <v>1.0000000000000009E-2</v>
      </c>
      <c r="F74" s="23">
        <f>STDEV(1.15, 1.15, 1.15, 1.15, 1.2)</f>
        <v>2.2360679774997918E-2</v>
      </c>
      <c r="G74" s="23">
        <f>SQRT((D74)^2+(E74)^2)</f>
        <v>1.0049875621120899E-2</v>
      </c>
      <c r="H74" s="3"/>
      <c r="I74" s="3"/>
      <c r="J74" s="3"/>
      <c r="K74" s="3"/>
      <c r="L74" s="3"/>
      <c r="M74" s="3"/>
      <c r="N74" s="3"/>
      <c r="O74" s="3"/>
      <c r="P74" s="3"/>
      <c r="Q74" s="2"/>
      <c r="R74" s="2"/>
      <c r="S74" s="1"/>
      <c r="T74" s="1"/>
      <c r="U74" s="10" t="s">
        <v>14</v>
      </c>
      <c r="V74" s="9" t="s">
        <v>13</v>
      </c>
      <c r="W74" s="8">
        <f>SQRT(P70*K70)</f>
        <v>9.4304640073114773E-3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x14ac:dyDescent="0.35">
      <c r="A75" s="1"/>
      <c r="B75" s="1"/>
      <c r="C75" s="7" t="s">
        <v>3</v>
      </c>
      <c r="D75" s="6">
        <v>1E-3</v>
      </c>
      <c r="E75" s="6">
        <f>F75/SQRT(5)</f>
        <v>0</v>
      </c>
      <c r="F75" s="6">
        <v>0</v>
      </c>
      <c r="G75" s="6">
        <f>SQRT((D75)^2+(E75)^2)</f>
        <v>1E-3</v>
      </c>
      <c r="H75" s="3"/>
      <c r="I75" s="3"/>
      <c r="J75" s="3"/>
      <c r="K75" s="3"/>
      <c r="L75" s="3"/>
      <c r="M75" s="3"/>
      <c r="N75" s="3"/>
      <c r="O75" s="3"/>
      <c r="P75" s="3"/>
      <c r="Q75" s="2"/>
      <c r="R75" s="2"/>
      <c r="S75" s="1"/>
      <c r="T75" s="1"/>
      <c r="U75" s="11"/>
      <c r="V75" s="9"/>
      <c r="W75" s="8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8.5" x14ac:dyDescent="0.35">
      <c r="A76" s="1"/>
      <c r="B76" s="1"/>
      <c r="C76" s="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2"/>
      <c r="R76" s="2"/>
      <c r="S76" s="1"/>
      <c r="T76" s="1"/>
      <c r="U76" s="10" t="s">
        <v>6</v>
      </c>
      <c r="V76" s="9" t="s">
        <v>5</v>
      </c>
      <c r="W76" s="8">
        <f>1-ABS(S70/R70)</f>
        <v>0.99999748440153868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x14ac:dyDescent="0.35">
      <c r="A77" s="1"/>
      <c r="B77" s="1"/>
      <c r="C77" s="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2"/>
      <c r="R77" s="2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x14ac:dyDescent="0.35">
      <c r="A78" s="1"/>
      <c r="B78" s="1"/>
      <c r="C78" s="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x14ac:dyDescent="0.35">
      <c r="A79" s="1"/>
      <c r="B79" s="1"/>
      <c r="C79" s="4"/>
      <c r="D79" s="5"/>
      <c r="E79" s="4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35">
      <c r="A80" s="1"/>
      <c r="B80" s="1"/>
      <c r="C80" s="4"/>
      <c r="D80" s="5"/>
      <c r="E80" s="4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2"/>
      <c r="R80" s="2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x14ac:dyDescent="0.35">
      <c r="A81" s="1"/>
      <c r="B81" s="1"/>
      <c r="C81" s="4"/>
      <c r="D81" s="5"/>
      <c r="E81" s="4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2"/>
      <c r="R81" s="2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35">
      <c r="A82" s="1"/>
      <c r="B82" s="1"/>
      <c r="C82" s="4"/>
      <c r="D82" s="5"/>
      <c r="E82" s="4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2"/>
      <c r="R82" s="2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35">
      <c r="A83" s="1"/>
      <c r="B83" s="1"/>
      <c r="C83" s="4"/>
      <c r="D83" s="5"/>
      <c r="E83" s="4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2"/>
      <c r="R83" s="2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x14ac:dyDescent="0.35">
      <c r="A84" s="1"/>
      <c r="B84" s="1"/>
      <c r="C84" s="4"/>
      <c r="D84" s="5"/>
      <c r="E84" s="4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2"/>
      <c r="R84" s="2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x14ac:dyDescent="0.35">
      <c r="A85" s="1"/>
      <c r="B85" s="1"/>
      <c r="L85" s="3"/>
      <c r="M85" s="3"/>
      <c r="N85" s="3"/>
      <c r="O85" s="3"/>
      <c r="P85" s="3"/>
      <c r="Q85" s="2"/>
      <c r="R85" s="2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"/>
      <c r="M86" s="3"/>
      <c r="N86" s="3"/>
      <c r="O86" s="3"/>
      <c r="P86" s="3"/>
      <c r="Q86" s="2"/>
      <c r="R86" s="2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x14ac:dyDescent="0.35">
      <c r="A87" s="1"/>
      <c r="B87" s="1"/>
      <c r="F87" s="1"/>
      <c r="G87" s="1"/>
      <c r="H87" s="1"/>
      <c r="I87" s="1"/>
      <c r="J87" s="1"/>
      <c r="K87" s="1"/>
      <c r="L87" s="3"/>
      <c r="M87" s="3"/>
      <c r="N87" s="3"/>
      <c r="O87" s="3"/>
      <c r="P87" s="3"/>
      <c r="Q87" s="2"/>
      <c r="R87" s="2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x14ac:dyDescent="0.35">
      <c r="A88" s="1"/>
      <c r="B88" s="1"/>
      <c r="F88" s="1"/>
      <c r="G88" s="1"/>
      <c r="H88" s="1"/>
      <c r="I88" s="1"/>
      <c r="J88" s="1"/>
      <c r="K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x14ac:dyDescent="0.35">
      <c r="A122" s="1"/>
      <c r="B122" s="1"/>
      <c r="C122" s="22" t="s">
        <v>47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8.5" x14ac:dyDescent="0.35">
      <c r="A123" s="1"/>
      <c r="B123" s="1"/>
      <c r="C123" s="6" t="s">
        <v>50</v>
      </c>
      <c r="D123" s="6" t="s">
        <v>39</v>
      </c>
      <c r="E123" s="6" t="s">
        <v>38</v>
      </c>
      <c r="F123" s="6" t="s">
        <v>37</v>
      </c>
      <c r="G123" s="6" t="s">
        <v>48</v>
      </c>
      <c r="H123" s="21" t="s">
        <v>35</v>
      </c>
      <c r="I123" s="21" t="s">
        <v>34</v>
      </c>
      <c r="J123" s="21" t="s">
        <v>33</v>
      </c>
      <c r="K123" s="21" t="s">
        <v>32</v>
      </c>
      <c r="L123" s="21" t="s">
        <v>31</v>
      </c>
      <c r="M123" s="21" t="s">
        <v>30</v>
      </c>
      <c r="N123" s="21" t="s">
        <v>29</v>
      </c>
      <c r="O123" s="14" t="s">
        <v>28</v>
      </c>
      <c r="P123" s="14" t="s">
        <v>27</v>
      </c>
      <c r="Q123" s="15" t="s">
        <v>26</v>
      </c>
      <c r="R123" s="21" t="s">
        <v>25</v>
      </c>
      <c r="S123" s="21" t="s">
        <v>24</v>
      </c>
      <c r="T123" s="1"/>
      <c r="U123" s="10" t="s">
        <v>23</v>
      </c>
      <c r="V123" s="9" t="s">
        <v>22</v>
      </c>
      <c r="W123" s="8">
        <f>L127/I127</f>
        <v>-9.9509781658612209</v>
      </c>
      <c r="X123" s="1"/>
      <c r="Y123" s="6" t="s">
        <v>74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x14ac:dyDescent="0.35">
      <c r="A124" s="1"/>
      <c r="B124" s="1"/>
      <c r="C124" s="7">
        <f>6</f>
        <v>6</v>
      </c>
      <c r="D124" s="20">
        <f>3</f>
        <v>3</v>
      </c>
      <c r="E124" s="6">
        <f>0.00014*(11.8/100)</f>
        <v>1.6520000000000001E-5</v>
      </c>
      <c r="F124" s="7">
        <f>LN(E124)</f>
        <v>-11.010938789871442</v>
      </c>
      <c r="G124" s="7">
        <f>LN(C124)</f>
        <v>1.791759469228055</v>
      </c>
      <c r="H124" s="17">
        <f>G130</f>
        <v>1.0049875621120859E-2</v>
      </c>
      <c r="I124" s="15">
        <f>1/H124^2</f>
        <v>9900.9900990099613</v>
      </c>
      <c r="J124" s="15">
        <f>G124*I124</f>
        <v>17740.192764634317</v>
      </c>
      <c r="K124" s="15">
        <f>(G124^2)*I124</f>
        <v>31786.158371964561</v>
      </c>
      <c r="L124" s="15">
        <f>F124*I124</f>
        <v>-109019.19593932187</v>
      </c>
      <c r="M124" s="15">
        <f>(F124^2)*I124</f>
        <v>1200403.6934088746</v>
      </c>
      <c r="N124" s="15">
        <f>G124*F124*I124</f>
        <v>-195336.1766519087</v>
      </c>
      <c r="O124" s="15"/>
      <c r="P124" s="15"/>
      <c r="Q124" s="15">
        <f>($W$125*G124)+$W$129</f>
        <v>-10.868179990422208</v>
      </c>
      <c r="R124" s="14">
        <f>((F124-$W$3)^2)*I124</f>
        <v>37457.273658844737</v>
      </c>
      <c r="S124" s="14">
        <f>((F124-Q124)^2)*I124</f>
        <v>201.78291901175137</v>
      </c>
      <c r="T124" s="1"/>
      <c r="U124" s="13"/>
      <c r="V124" s="13"/>
      <c r="W124" s="8"/>
      <c r="X124" s="1"/>
      <c r="Y124" s="6">
        <f>(4/PI())*E124/(3*2.72*1*((C124/100)^2))</f>
        <v>7.1602387251582553E-4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x14ac:dyDescent="0.35">
      <c r="A125" s="1"/>
      <c r="B125" s="1"/>
      <c r="C125" s="7">
        <f>8.5</f>
        <v>8.5</v>
      </c>
      <c r="D125" s="20">
        <f>3</f>
        <v>3</v>
      </c>
      <c r="E125" s="6">
        <f>0.0003*(11.8/100)</f>
        <v>3.54E-5</v>
      </c>
      <c r="F125" s="7">
        <f>LN(E125)</f>
        <v>-10.248798737824545</v>
      </c>
      <c r="G125" s="7">
        <f>LN(C125)</f>
        <v>2.1400661634962708</v>
      </c>
      <c r="H125" s="17">
        <f>G131</f>
        <v>1E-3</v>
      </c>
      <c r="I125" s="15">
        <f>1/H125^2</f>
        <v>1000000</v>
      </c>
      <c r="J125" s="15">
        <f>G125*I125</f>
        <v>2140066.1634962708</v>
      </c>
      <c r="K125" s="15">
        <f>(G125^2)*I125</f>
        <v>4579883.1841416471</v>
      </c>
      <c r="L125" s="15">
        <f>F125*I125</f>
        <v>-10248798.737824546</v>
      </c>
      <c r="M125" s="15">
        <f>(F125^2)*I125</f>
        <v>105037875.56843399</v>
      </c>
      <c r="N125" s="15">
        <f>G125*F125*I125</f>
        <v>-21933107.395301599</v>
      </c>
      <c r="O125" s="15"/>
      <c r="P125" s="15"/>
      <c r="Q125" s="15">
        <f>($W$125*G125)+$W$129</f>
        <v>-10.251639852251452</v>
      </c>
      <c r="R125" s="14">
        <f>((F125-$W$3)^2)*I125</f>
        <v>1399254.7425926498</v>
      </c>
      <c r="S125" s="14">
        <f>((F125-Q125)^2)*I125</f>
        <v>8.0719311867799668</v>
      </c>
      <c r="T125" s="1"/>
      <c r="U125" s="10" t="s">
        <v>21</v>
      </c>
      <c r="V125" s="9" t="s">
        <v>20</v>
      </c>
      <c r="W125" s="8">
        <f>P127*((I127*N127)-(J127*L127))</f>
        <v>1.7701070588553889</v>
      </c>
      <c r="X125" s="1"/>
      <c r="Y125" s="6">
        <f>(4/PI())*E125/(3*2.72*1*((C125/100)^2))</f>
        <v>7.6451387278011985E-4</v>
      </c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x14ac:dyDescent="0.35">
      <c r="A126" s="1"/>
      <c r="B126" s="1"/>
      <c r="C126" s="7">
        <f>12</f>
        <v>12</v>
      </c>
      <c r="D126" s="20">
        <f>3</f>
        <v>3</v>
      </c>
      <c r="E126" s="6">
        <f>0.00055*(11.8/100)</f>
        <v>6.4900000000000005E-5</v>
      </c>
      <c r="F126" s="7">
        <f>LN(E126)</f>
        <v>-9.6426629342542292</v>
      </c>
      <c r="G126" s="7">
        <f>LN(C126)</f>
        <v>2.4849066497880004</v>
      </c>
      <c r="H126" s="17">
        <f>G132</f>
        <v>1E-3</v>
      </c>
      <c r="I126" s="15">
        <f>1/H126^2</f>
        <v>1000000</v>
      </c>
      <c r="J126" s="15">
        <f>G126*I126</f>
        <v>2484906.6497880002</v>
      </c>
      <c r="K126" s="15">
        <f>(G126^2)*I126</f>
        <v>6174761.0581606245</v>
      </c>
      <c r="L126" s="15">
        <f>F126*I126</f>
        <v>-9642662.9342542291</v>
      </c>
      <c r="M126" s="15">
        <f>(F126^2)*I126</f>
        <v>92980948.463640377</v>
      </c>
      <c r="N126" s="15">
        <f>G126*F126*I126</f>
        <v>-23961117.246992603</v>
      </c>
      <c r="O126" s="15"/>
      <c r="P126" s="15"/>
      <c r="Q126" s="15">
        <f>($W$125*G126)+$W$129</f>
        <v>-9.6412352732873376</v>
      </c>
      <c r="R126" s="14">
        <f>((F126-$W$3)^2)*I126</f>
        <v>332658.0756206669</v>
      </c>
      <c r="S126" s="14">
        <f>((F126-Q126)^2)*I126</f>
        <v>2.0382158363855969</v>
      </c>
      <c r="T126" s="1"/>
      <c r="U126" s="11"/>
      <c r="V126" s="13"/>
      <c r="W126" s="8"/>
      <c r="X126" s="1"/>
      <c r="Y126" s="6">
        <f>(4/PI())*E126/(3*2.72*1*((C126/100)^2))</f>
        <v>7.0323773193518575E-4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7.5" x14ac:dyDescent="0.45">
      <c r="A127" s="1"/>
      <c r="B127" s="1"/>
      <c r="C127" s="27" t="s">
        <v>15</v>
      </c>
      <c r="D127" s="27"/>
      <c r="E127" s="27"/>
      <c r="F127" s="27"/>
      <c r="G127" s="27"/>
      <c r="H127" s="7">
        <f t="shared" ref="H127:N127" si="22">SUM(H124:H126)</f>
        <v>1.2049875621120861E-2</v>
      </c>
      <c r="I127" s="7">
        <f t="shared" si="22"/>
        <v>2009900.9900990101</v>
      </c>
      <c r="J127" s="7">
        <f t="shared" si="22"/>
        <v>4642713.0060489047</v>
      </c>
      <c r="K127" s="7">
        <f t="shared" si="22"/>
        <v>10786430.400674235</v>
      </c>
      <c r="L127" s="7">
        <f t="shared" si="22"/>
        <v>-20000480.868018098</v>
      </c>
      <c r="M127" s="7">
        <f t="shared" si="22"/>
        <v>199219227.72548324</v>
      </c>
      <c r="N127" s="7">
        <f t="shared" si="22"/>
        <v>-46089560.818946108</v>
      </c>
      <c r="O127" s="6">
        <f>(I127*K127)-(J127)^2</f>
        <v>124873085413.55078</v>
      </c>
      <c r="P127" s="6">
        <f>1/O127</f>
        <v>8.0081307888583943E-12</v>
      </c>
      <c r="Q127" s="6">
        <f>SUM(Q124:Q126)</f>
        <v>-30.761055115961</v>
      </c>
      <c r="R127" s="6">
        <f>SUM(R124:R126)</f>
        <v>1769370.0918721613</v>
      </c>
      <c r="S127" s="6">
        <f>SUM(S124:S126)</f>
        <v>211.89306603491696</v>
      </c>
      <c r="T127" s="1"/>
      <c r="U127" s="10" t="s">
        <v>19</v>
      </c>
      <c r="V127" s="9" t="s">
        <v>18</v>
      </c>
      <c r="W127" s="8">
        <f>SQRT(P127*I127)</f>
        <v>4.0119259715713671E-3</v>
      </c>
      <c r="X127" s="1"/>
      <c r="Y127" s="6">
        <f>AVERAGE(Y124:Y126)</f>
        <v>7.2792515907704367E-4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x14ac:dyDescent="0.35">
      <c r="A128" s="1"/>
      <c r="B128" s="1"/>
      <c r="C128" s="4"/>
      <c r="D128" s="5"/>
      <c r="E128" s="24"/>
      <c r="F128" s="4"/>
      <c r="G128" s="4"/>
      <c r="H128" s="25"/>
      <c r="I128" s="3"/>
      <c r="J128" s="3"/>
      <c r="K128" s="3"/>
      <c r="L128" s="3"/>
      <c r="M128" s="3"/>
      <c r="N128" s="3"/>
      <c r="O128" s="3"/>
      <c r="P128" s="3"/>
      <c r="Q128" s="3"/>
      <c r="R128" s="2"/>
      <c r="S128" s="2"/>
      <c r="T128" s="1"/>
      <c r="U128" s="11"/>
      <c r="V128" s="13"/>
      <c r="W128" s="8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7.5" x14ac:dyDescent="0.35">
      <c r="A129" s="1"/>
      <c r="B129" s="1"/>
      <c r="C129" s="6" t="s">
        <v>12</v>
      </c>
      <c r="D129" s="6" t="s">
        <v>11</v>
      </c>
      <c r="E129" s="6" t="s">
        <v>10</v>
      </c>
      <c r="F129" s="12" t="s">
        <v>9</v>
      </c>
      <c r="G129" s="6" t="s">
        <v>8</v>
      </c>
      <c r="H129" s="3"/>
      <c r="I129" s="15" t="s">
        <v>57</v>
      </c>
      <c r="J129" s="15" t="s">
        <v>58</v>
      </c>
      <c r="K129" s="15" t="s">
        <v>46</v>
      </c>
      <c r="L129" s="3"/>
      <c r="M129" s="3"/>
      <c r="N129" s="3"/>
      <c r="O129" s="3"/>
      <c r="P129" s="3"/>
      <c r="Q129" s="3"/>
      <c r="R129" s="2"/>
      <c r="S129" s="2"/>
      <c r="T129" s="1"/>
      <c r="U129" s="10" t="s">
        <v>17</v>
      </c>
      <c r="V129" s="9" t="s">
        <v>16</v>
      </c>
      <c r="W129" s="8">
        <f>P127*((K127*L127)-(J127*N127))</f>
        <v>-14.039786074673772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x14ac:dyDescent="0.35">
      <c r="A130" s="1"/>
      <c r="B130" s="1"/>
      <c r="C130" s="6" t="s">
        <v>7</v>
      </c>
      <c r="D130" s="6">
        <v>1E-3</v>
      </c>
      <c r="E130" s="6">
        <f>F130/SQRT(5)</f>
        <v>9.999999999999969E-3</v>
      </c>
      <c r="F130" s="6">
        <f>STDEV(0.1, 0.15, 0.15, 0.15, 0.15)</f>
        <v>2.2360679774997828E-2</v>
      </c>
      <c r="G130" s="6">
        <f>SQRT((D130)^2+(E130)^2)</f>
        <v>1.0049875621120859E-2</v>
      </c>
      <c r="H130" s="3"/>
      <c r="I130" s="15">
        <f>W125</f>
        <v>1.7701070588553889</v>
      </c>
      <c r="J130" s="15">
        <f>2</f>
        <v>2</v>
      </c>
      <c r="K130" s="15">
        <f>(ABS(J130-I130)/J130)*100</f>
        <v>11.494647057230555</v>
      </c>
      <c r="T130" s="1"/>
      <c r="U130" s="11"/>
      <c r="V130" s="13"/>
      <c r="W130" s="8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7.5" x14ac:dyDescent="0.45">
      <c r="A131" s="1"/>
      <c r="B131" s="1"/>
      <c r="C131" s="19" t="s">
        <v>4</v>
      </c>
      <c r="D131" s="23">
        <v>1E-3</v>
      </c>
      <c r="E131" s="23">
        <f>F131/SQRT(5)</f>
        <v>0</v>
      </c>
      <c r="F131" s="23">
        <f>0</f>
        <v>0</v>
      </c>
      <c r="G131" s="23">
        <f>SQRT((D131)^2+(E131)^2)</f>
        <v>1E-3</v>
      </c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1"/>
      <c r="T131" s="1"/>
      <c r="U131" s="10" t="s">
        <v>14</v>
      </c>
      <c r="V131" s="9" t="s">
        <v>13</v>
      </c>
      <c r="W131" s="8">
        <f>SQRT(P127*K127)</f>
        <v>9.2940381639800423E-3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x14ac:dyDescent="0.35">
      <c r="A132" s="1"/>
      <c r="B132" s="1"/>
      <c r="C132" s="7" t="s">
        <v>3</v>
      </c>
      <c r="D132" s="6">
        <v>1E-3</v>
      </c>
      <c r="E132" s="6">
        <f>F132/SQRT(5)</f>
        <v>0</v>
      </c>
      <c r="F132" s="6">
        <v>0</v>
      </c>
      <c r="G132" s="6">
        <f>SQRT((D132)^2+(E132)^2)</f>
        <v>1E-3</v>
      </c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1"/>
      <c r="T132" s="1"/>
      <c r="U132" s="11"/>
      <c r="V132" s="9"/>
      <c r="W132" s="8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8.5" x14ac:dyDescent="0.35">
      <c r="A133" s="1"/>
      <c r="B133" s="1"/>
      <c r="C133" s="4"/>
      <c r="D133" s="24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1"/>
      <c r="T133" s="1"/>
      <c r="U133" s="10" t="s">
        <v>6</v>
      </c>
      <c r="V133" s="9" t="s">
        <v>5</v>
      </c>
      <c r="W133" s="8">
        <f>1-ABS(S127/R127)</f>
        <v>0.99988024378449236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x14ac:dyDescent="0.35">
      <c r="A134" s="1"/>
      <c r="B134" s="1"/>
      <c r="C134" s="4"/>
      <c r="D134" s="24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x14ac:dyDescent="0.35">
      <c r="A135" s="1"/>
      <c r="B135" s="1"/>
      <c r="C135" s="4"/>
      <c r="D135" s="24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x14ac:dyDescent="0.35">
      <c r="A136" s="1"/>
      <c r="B136" s="1"/>
      <c r="C136" s="4"/>
      <c r="D136" s="5"/>
      <c r="E136" s="4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x14ac:dyDescent="0.35">
      <c r="A137" s="1"/>
      <c r="B137" s="1"/>
      <c r="C137" s="4"/>
      <c r="D137" s="5"/>
      <c r="E137" s="4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x14ac:dyDescent="0.35">
      <c r="A138" s="1"/>
      <c r="B138" s="1"/>
      <c r="C138" s="4"/>
      <c r="D138" s="5"/>
      <c r="E138" s="4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x14ac:dyDescent="0.35">
      <c r="A139" s="1"/>
      <c r="B139" s="1"/>
      <c r="C139" s="4"/>
      <c r="D139" s="5"/>
      <c r="E139" s="4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x14ac:dyDescent="0.35">
      <c r="A140" s="1"/>
      <c r="B140" s="1"/>
      <c r="C140" s="4"/>
      <c r="D140" s="5"/>
      <c r="E140" s="4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x14ac:dyDescent="0.35">
      <c r="A141" s="1"/>
      <c r="B141" s="1"/>
      <c r="C141" s="4"/>
      <c r="D141" s="5"/>
      <c r="E141" s="4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x14ac:dyDescent="0.35">
      <c r="A142" s="1"/>
      <c r="B142" s="1"/>
      <c r="L142" s="3"/>
      <c r="M142" s="3"/>
      <c r="N142" s="3"/>
      <c r="O142" s="3"/>
      <c r="P142" s="3"/>
      <c r="Q142" s="2"/>
      <c r="R142" s="2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M143" s="3"/>
      <c r="N143" s="3"/>
      <c r="O143" s="3"/>
      <c r="P143" s="3"/>
      <c r="Q143" s="2"/>
      <c r="R143" s="2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x14ac:dyDescent="0.35">
      <c r="A144" s="1"/>
      <c r="B144" s="1"/>
      <c r="F144" s="1"/>
      <c r="G144" s="1"/>
      <c r="H144" s="1"/>
      <c r="I144" s="1"/>
      <c r="J144" s="1"/>
      <c r="K144" s="1"/>
      <c r="L144" s="3"/>
      <c r="M144" s="3"/>
      <c r="N144" s="3"/>
      <c r="O144" s="3"/>
      <c r="P144" s="3"/>
      <c r="Q144" s="2"/>
      <c r="R144" s="2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x14ac:dyDescent="0.35">
      <c r="A145" s="1"/>
      <c r="B145" s="1"/>
      <c r="F145" s="1"/>
      <c r="G145" s="1"/>
      <c r="H145" s="1"/>
      <c r="I145" s="1"/>
      <c r="J145" s="1"/>
      <c r="K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x14ac:dyDescent="0.35">
      <c r="A179" s="1"/>
      <c r="B179" s="1"/>
      <c r="C179" s="22" t="s">
        <v>51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8.5" x14ac:dyDescent="0.35">
      <c r="A180" s="1"/>
      <c r="B180" s="1"/>
      <c r="C180" s="6" t="s">
        <v>40</v>
      </c>
      <c r="D180" s="6" t="s">
        <v>52</v>
      </c>
      <c r="E180" s="6" t="s">
        <v>38</v>
      </c>
      <c r="F180" s="6" t="s">
        <v>37</v>
      </c>
      <c r="G180" s="6" t="s">
        <v>64</v>
      </c>
      <c r="H180" s="21" t="s">
        <v>35</v>
      </c>
      <c r="I180" s="21" t="s">
        <v>34</v>
      </c>
      <c r="J180" s="21" t="s">
        <v>33</v>
      </c>
      <c r="K180" s="21" t="s">
        <v>32</v>
      </c>
      <c r="L180" s="21" t="s">
        <v>31</v>
      </c>
      <c r="M180" s="21" t="s">
        <v>30</v>
      </c>
      <c r="N180" s="21" t="s">
        <v>29</v>
      </c>
      <c r="O180" s="14" t="s">
        <v>28</v>
      </c>
      <c r="P180" s="14" t="s">
        <v>27</v>
      </c>
      <c r="Q180" s="15" t="s">
        <v>26</v>
      </c>
      <c r="R180" s="21" t="s">
        <v>25</v>
      </c>
      <c r="S180" s="21" t="s">
        <v>24</v>
      </c>
      <c r="T180" s="1"/>
      <c r="U180" s="10" t="s">
        <v>23</v>
      </c>
      <c r="V180" s="9" t="s">
        <v>22</v>
      </c>
      <c r="W180" s="8">
        <f>L187/I187</f>
        <v>-9.4092706660860763</v>
      </c>
      <c r="X180" s="1"/>
      <c r="Y180" s="6" t="s">
        <v>74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x14ac:dyDescent="0.35">
      <c r="A181" s="1"/>
      <c r="B181" s="1"/>
      <c r="C181" s="7">
        <f>0.0003</f>
        <v>2.9999999999999997E-4</v>
      </c>
      <c r="D181" s="20">
        <v>0.5</v>
      </c>
      <c r="E181" s="6">
        <f t="shared" ref="E181:E186" si="23">C181*(11.8/100)</f>
        <v>3.54E-5</v>
      </c>
      <c r="F181" s="7">
        <f t="shared" ref="F181:F186" si="24">LN(E181)</f>
        <v>-10.248798737824545</v>
      </c>
      <c r="G181" s="7">
        <f t="shared" ref="G181:G186" si="25">LN(D181)</f>
        <v>-0.69314718055994529</v>
      </c>
      <c r="H181" s="17">
        <f t="shared" ref="H181:H186" si="26">G190</f>
        <v>1E-3</v>
      </c>
      <c r="I181" s="15">
        <f t="shared" ref="I181:I186" si="27">1/H181^2</f>
        <v>1000000</v>
      </c>
      <c r="J181" s="15">
        <f t="shared" ref="J181:J186" si="28">G181*I181</f>
        <v>-693147.18055994529</v>
      </c>
      <c r="K181" s="15">
        <f t="shared" ref="K181:K186" si="29">(G181^2)*I181</f>
        <v>480453.01391820138</v>
      </c>
      <c r="L181" s="15">
        <f t="shared" ref="L181:L186" si="30">F181*I181</f>
        <v>-10248798.737824546</v>
      </c>
      <c r="M181" s="15">
        <f t="shared" ref="M181:M186" si="31">(F181^2)*I181</f>
        <v>105037875.56843399</v>
      </c>
      <c r="N181" s="15">
        <f t="shared" ref="N181:N186" si="32">G181*F181*I181</f>
        <v>7103925.9492494091</v>
      </c>
      <c r="O181" s="15"/>
      <c r="P181" s="15"/>
      <c r="Q181" s="15">
        <f t="shared" ref="Q181:Q186" si="33">($W$5*G181)+$W$9</f>
        <v>-10.227175792375425</v>
      </c>
      <c r="R181" s="14">
        <f t="shared" ref="R181:R186" si="34">((F181-$W$3)^2)*I181</f>
        <v>1399254.7425926498</v>
      </c>
      <c r="S181" s="14">
        <f t="shared" ref="S181:S186" si="35">((F181-Q181)^2)*I181</f>
        <v>467.55176989564433</v>
      </c>
      <c r="T181" s="1"/>
      <c r="U181" s="13"/>
      <c r="V181" s="13"/>
      <c r="W181" s="8"/>
      <c r="X181" s="1"/>
      <c r="Y181" s="6">
        <f t="shared" ref="Y181:Y186" si="36">(4/PI())*E181/(D181*3*3*((12/100)^2))</f>
        <v>6.955660475868019E-4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x14ac:dyDescent="0.35">
      <c r="A182" s="1"/>
      <c r="B182" s="1"/>
      <c r="C182" s="7">
        <f>0.0007</f>
        <v>6.9999999999999999E-4</v>
      </c>
      <c r="D182" s="20">
        <v>1</v>
      </c>
      <c r="E182" s="6">
        <f t="shared" si="23"/>
        <v>8.2600000000000002E-5</v>
      </c>
      <c r="F182" s="7">
        <f t="shared" si="24"/>
        <v>-9.401500877437341</v>
      </c>
      <c r="G182" s="7">
        <f t="shared" si="25"/>
        <v>0</v>
      </c>
      <c r="H182" s="17">
        <f t="shared" si="26"/>
        <v>4.4732538492690349E-2</v>
      </c>
      <c r="I182" s="15">
        <f t="shared" si="27"/>
        <v>499.75012493752536</v>
      </c>
      <c r="J182" s="15">
        <f t="shared" si="28"/>
        <v>0</v>
      </c>
      <c r="K182" s="15">
        <f t="shared" si="29"/>
        <v>0</v>
      </c>
      <c r="L182" s="15">
        <f t="shared" si="30"/>
        <v>-4698.4012380995655</v>
      </c>
      <c r="M182" s="15">
        <f t="shared" si="31"/>
        <v>44172.023362545755</v>
      </c>
      <c r="N182" s="15">
        <f t="shared" si="32"/>
        <v>0</v>
      </c>
      <c r="O182" s="15"/>
      <c r="P182" s="15"/>
      <c r="Q182" s="15">
        <f t="shared" si="33"/>
        <v>-9.5521061249444177</v>
      </c>
      <c r="R182" s="14">
        <f t="shared" si="34"/>
        <v>56.286585655351786</v>
      </c>
      <c r="S182" s="14">
        <f t="shared" si="35"/>
        <v>11.335302637015277</v>
      </c>
      <c r="T182" s="1"/>
      <c r="U182" s="10" t="s">
        <v>21</v>
      </c>
      <c r="V182" s="9" t="s">
        <v>20</v>
      </c>
      <c r="W182" s="8">
        <f>P187*((I187*N187)-(J187*L187))</f>
        <v>1.0402243988281892</v>
      </c>
      <c r="X182" s="1"/>
      <c r="Y182" s="6">
        <f t="shared" si="36"/>
        <v>8.114937221846022E-4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x14ac:dyDescent="0.35">
      <c r="A183" s="1"/>
      <c r="B183" s="1"/>
      <c r="C183" s="7">
        <f>0.00102</f>
        <v>1.0200000000000001E-3</v>
      </c>
      <c r="D183" s="20">
        <v>1.5</v>
      </c>
      <c r="E183" s="6">
        <f t="shared" si="23"/>
        <v>1.2036000000000002E-4</v>
      </c>
      <c r="F183" s="7">
        <f t="shared" si="24"/>
        <v>-9.0250233062024297</v>
      </c>
      <c r="G183" s="7">
        <f t="shared" si="25"/>
        <v>0.40546510810816438</v>
      </c>
      <c r="H183" s="17">
        <f t="shared" si="26"/>
        <v>1.2948616399703367E-2</v>
      </c>
      <c r="I183" s="15">
        <f t="shared" si="27"/>
        <v>5964.2147117296108</v>
      </c>
      <c r="J183" s="15">
        <f t="shared" si="28"/>
        <v>2418.2809628717509</v>
      </c>
      <c r="K183" s="15">
        <f t="shared" si="29"/>
        <v>980.52855204671039</v>
      </c>
      <c r="L183" s="15">
        <f t="shared" si="30"/>
        <v>-53827.176776555141</v>
      </c>
      <c r="M183" s="15">
        <f t="shared" si="31"/>
        <v>485791.52491548832</v>
      </c>
      <c r="N183" s="15">
        <f t="shared" si="32"/>
        <v>-21825.042050863205</v>
      </c>
      <c r="O183" s="15"/>
      <c r="P183" s="15"/>
      <c r="Q183" s="15">
        <f t="shared" si="33"/>
        <v>-9.1572156841229777</v>
      </c>
      <c r="R183" s="14">
        <f t="shared" si="34"/>
        <v>9.9645346397161951</v>
      </c>
      <c r="S183" s="14">
        <f t="shared" si="35"/>
        <v>104.22360703949681</v>
      </c>
      <c r="T183" s="1"/>
      <c r="U183" s="11"/>
      <c r="V183" s="13"/>
      <c r="W183" s="8"/>
      <c r="X183" s="1"/>
      <c r="Y183" s="6">
        <f t="shared" si="36"/>
        <v>7.8830818726504227E-4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7.5" x14ac:dyDescent="0.45">
      <c r="A184" s="1"/>
      <c r="B184" s="1"/>
      <c r="C184" s="7">
        <f>0.0013</f>
        <v>1.2999999999999999E-3</v>
      </c>
      <c r="D184" s="20">
        <v>2</v>
      </c>
      <c r="E184" s="6">
        <f t="shared" si="23"/>
        <v>1.5340000000000002E-4</v>
      </c>
      <c r="F184" s="7">
        <f t="shared" si="24"/>
        <v>-8.7824616690311181</v>
      </c>
      <c r="G184" s="7">
        <f t="shared" si="25"/>
        <v>0.69314718055994529</v>
      </c>
      <c r="H184" s="17">
        <f t="shared" si="26"/>
        <v>2.2383029285599407E-2</v>
      </c>
      <c r="I184" s="15">
        <f t="shared" si="27"/>
        <v>1996.0079840319333</v>
      </c>
      <c r="J184" s="15">
        <f t="shared" si="28"/>
        <v>1383.527306506875</v>
      </c>
      <c r="K184" s="15">
        <f t="shared" si="29"/>
        <v>958.98805173293556</v>
      </c>
      <c r="L184" s="15">
        <f t="shared" si="30"/>
        <v>-17529.86361084053</v>
      </c>
      <c r="M184" s="15">
        <f t="shared" si="31"/>
        <v>153955.35522555039</v>
      </c>
      <c r="N184" s="15">
        <f t="shared" si="32"/>
        <v>-12150.775537454496</v>
      </c>
      <c r="O184" s="15"/>
      <c r="P184" s="15"/>
      <c r="Q184" s="15">
        <f t="shared" si="33"/>
        <v>-8.8770364575134106</v>
      </c>
      <c r="R184" s="14">
        <f t="shared" si="34"/>
        <v>160.35132345340892</v>
      </c>
      <c r="S184" s="14">
        <f t="shared" si="35"/>
        <v>17.85307508277516</v>
      </c>
      <c r="T184" s="1"/>
      <c r="U184" s="10" t="s">
        <v>19</v>
      </c>
      <c r="V184" s="9" t="s">
        <v>18</v>
      </c>
      <c r="W184" s="8">
        <f>SQRT(P187*I187)</f>
        <v>8.7780396108441227E-4</v>
      </c>
      <c r="X184" s="1"/>
      <c r="Y184" s="6">
        <f t="shared" si="36"/>
        <v>7.5352988488570211E-4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x14ac:dyDescent="0.35">
      <c r="A185" s="1"/>
      <c r="B185" s="1"/>
      <c r="C185" s="7">
        <f>0.0016</f>
        <v>1.6000000000000001E-3</v>
      </c>
      <c r="D185" s="20">
        <v>2.5</v>
      </c>
      <c r="E185" s="6">
        <f t="shared" si="23"/>
        <v>1.8880000000000001E-4</v>
      </c>
      <c r="F185" s="7">
        <f t="shared" si="24"/>
        <v>-8.5748223042528746</v>
      </c>
      <c r="G185" s="7">
        <f t="shared" si="25"/>
        <v>0.91629073187415511</v>
      </c>
      <c r="H185" s="17">
        <f t="shared" si="26"/>
        <v>1E-3</v>
      </c>
      <c r="I185" s="15">
        <f t="shared" si="27"/>
        <v>1000000</v>
      </c>
      <c r="J185" s="15">
        <f t="shared" si="28"/>
        <v>916290.73187415511</v>
      </c>
      <c r="K185" s="15">
        <f t="shared" si="29"/>
        <v>839588.70531847479</v>
      </c>
      <c r="L185" s="15">
        <f t="shared" si="30"/>
        <v>-8574822.3042528741</v>
      </c>
      <c r="M185" s="15">
        <f t="shared" si="31"/>
        <v>73527577.549512565</v>
      </c>
      <c r="N185" s="15">
        <f t="shared" si="32"/>
        <v>-7857030.2048546961</v>
      </c>
      <c r="O185" s="15"/>
      <c r="P185" s="15"/>
      <c r="Q185" s="15">
        <f t="shared" si="33"/>
        <v>-8.6597125655611027</v>
      </c>
      <c r="R185" s="14">
        <f t="shared" si="34"/>
        <v>241155.09524388512</v>
      </c>
      <c r="S185" s="14">
        <f t="shared" si="35"/>
        <v>7206.3564649792452</v>
      </c>
      <c r="T185" s="1"/>
      <c r="U185" s="11"/>
      <c r="V185" s="13"/>
      <c r="W185" s="8"/>
      <c r="X185" s="1"/>
      <c r="Y185" s="6">
        <f t="shared" si="36"/>
        <v>7.4193711742592198E-4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x14ac:dyDescent="0.35">
      <c r="A186" s="1"/>
      <c r="B186" s="1"/>
      <c r="C186" s="19">
        <v>1.933E-3</v>
      </c>
      <c r="D186" s="18">
        <v>3</v>
      </c>
      <c r="E186" s="6">
        <f t="shared" si="23"/>
        <v>2.2809400000000003E-4</v>
      </c>
      <c r="F186" s="7">
        <f t="shared" si="24"/>
        <v>-8.3857527332724153</v>
      </c>
      <c r="G186" s="7">
        <f t="shared" si="25"/>
        <v>1.0986122886681098</v>
      </c>
      <c r="H186" s="17">
        <f t="shared" si="26"/>
        <v>2.5839246635044683E-2</v>
      </c>
      <c r="I186" s="16">
        <f t="shared" si="27"/>
        <v>1497.7533699450794</v>
      </c>
      <c r="J186" s="15">
        <f t="shared" si="28"/>
        <v>1645.4502576157379</v>
      </c>
      <c r="K186" s="15">
        <f t="shared" si="29"/>
        <v>1807.7118734087564</v>
      </c>
      <c r="L186" s="15">
        <f t="shared" si="30"/>
        <v>-12559.78941578492</v>
      </c>
      <c r="M186" s="15">
        <f t="shared" si="31"/>
        <v>105323.28842274434</v>
      </c>
      <c r="N186" s="15">
        <f t="shared" si="32"/>
        <v>-13798.338995264972</v>
      </c>
      <c r="O186" s="16"/>
      <c r="P186" s="16"/>
      <c r="Q186" s="15">
        <f t="shared" si="33"/>
        <v>-8.4821460166919707</v>
      </c>
      <c r="R186" s="14">
        <f t="shared" si="34"/>
        <v>692.85658459016975</v>
      </c>
      <c r="S186" s="14">
        <f t="shared" si="35"/>
        <v>13.916622698556218</v>
      </c>
      <c r="T186" s="1"/>
      <c r="U186" s="10" t="s">
        <v>17</v>
      </c>
      <c r="V186" s="9" t="s">
        <v>16</v>
      </c>
      <c r="W186" s="8">
        <f>P187*((K187*L187)-(J187*N187))</f>
        <v>-9.5275745162846448</v>
      </c>
      <c r="X186" s="1"/>
      <c r="Y186" s="6">
        <f t="shared" si="36"/>
        <v>7.4696064999182682E-4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x14ac:dyDescent="0.35">
      <c r="A187" s="1"/>
      <c r="B187" s="1"/>
      <c r="C187" s="27" t="s">
        <v>15</v>
      </c>
      <c r="D187" s="27"/>
      <c r="E187" s="27"/>
      <c r="F187" s="27"/>
      <c r="G187" s="27"/>
      <c r="H187" s="7">
        <f t="shared" ref="H187:N187" si="37">SUM(H181:H186)</f>
        <v>0.1079034308130378</v>
      </c>
      <c r="I187" s="7">
        <f t="shared" si="37"/>
        <v>2009957.7261906441</v>
      </c>
      <c r="J187" s="7">
        <f t="shared" si="37"/>
        <v>228590.80984120417</v>
      </c>
      <c r="K187" s="7">
        <f t="shared" si="37"/>
        <v>1323788.9477138647</v>
      </c>
      <c r="L187" s="7">
        <f t="shared" si="37"/>
        <v>-18912236.273118697</v>
      </c>
      <c r="M187" s="7">
        <f t="shared" si="37"/>
        <v>179354695.30987287</v>
      </c>
      <c r="N187" s="7">
        <f t="shared" si="37"/>
        <v>-800878.41218887002</v>
      </c>
      <c r="O187" s="6">
        <f>(I187*K187)-(J187)^2</f>
        <v>2608506064959.4077</v>
      </c>
      <c r="P187" s="6">
        <f>1/O187</f>
        <v>3.8336119414602991E-13</v>
      </c>
      <c r="Q187" s="6">
        <f>SUM(Q181:Q186)</f>
        <v>-54.955392641209301</v>
      </c>
      <c r="R187" s="6">
        <f>SUM(R181:R186)</f>
        <v>1641329.2968648735</v>
      </c>
      <c r="S187" s="6">
        <f>SUM(S181:S186)</f>
        <v>7821.2368423327334</v>
      </c>
      <c r="T187" s="1"/>
      <c r="U187" s="11"/>
      <c r="V187" s="13"/>
      <c r="W187" s="8"/>
      <c r="X187" s="1"/>
      <c r="Y187" s="6">
        <f>AVERAGE(Y181:Y186)</f>
        <v>7.5629926822331616E-4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7.5" x14ac:dyDescent="0.45">
      <c r="A188" s="1"/>
      <c r="B188" s="1"/>
      <c r="C188" s="4"/>
      <c r="D188" s="5"/>
      <c r="E188" s="4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2"/>
      <c r="R188" s="2"/>
      <c r="S188" s="1"/>
      <c r="T188" s="1"/>
      <c r="U188" s="10" t="s">
        <v>14</v>
      </c>
      <c r="V188" s="9" t="s">
        <v>13</v>
      </c>
      <c r="W188" s="8">
        <f>SQRT(P187*K187)</f>
        <v>7.1238284074850056E-4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7.5" x14ac:dyDescent="0.35">
      <c r="A189" s="1"/>
      <c r="B189" s="1"/>
      <c r="C189" s="6" t="s">
        <v>12</v>
      </c>
      <c r="D189" s="6" t="s">
        <v>11</v>
      </c>
      <c r="E189" s="6" t="s">
        <v>10</v>
      </c>
      <c r="F189" s="12" t="s">
        <v>9</v>
      </c>
      <c r="G189" s="6" t="s">
        <v>8</v>
      </c>
      <c r="H189" s="3"/>
      <c r="I189" s="15" t="s">
        <v>54</v>
      </c>
      <c r="J189" s="15" t="s">
        <v>59</v>
      </c>
      <c r="K189" s="15" t="s">
        <v>46</v>
      </c>
      <c r="L189" s="3"/>
      <c r="M189" s="3"/>
      <c r="N189" s="3"/>
      <c r="O189" s="3"/>
      <c r="P189" s="3"/>
      <c r="Q189" s="2"/>
      <c r="R189" s="2"/>
      <c r="S189" s="1"/>
      <c r="T189" s="1"/>
      <c r="U189" s="11"/>
      <c r="V189" s="9"/>
      <c r="W189" s="8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8.5" x14ac:dyDescent="0.35">
      <c r="A190" s="1"/>
      <c r="B190" s="1"/>
      <c r="C190" s="6" t="s">
        <v>7</v>
      </c>
      <c r="D190" s="6">
        <v>1E-3</v>
      </c>
      <c r="E190" s="6">
        <f t="shared" ref="E190:E195" si="38">F190/SQRT(5)</f>
        <v>0</v>
      </c>
      <c r="F190" s="6">
        <f>0</f>
        <v>0</v>
      </c>
      <c r="G190" s="6">
        <f t="shared" ref="G190:G195" si="39">SQRT((D190)^2+(E190)^2)</f>
        <v>1E-3</v>
      </c>
      <c r="H190" s="3"/>
      <c r="I190" s="15">
        <f>W182</f>
        <v>1.0402243988281892</v>
      </c>
      <c r="J190" s="15">
        <f>1</f>
        <v>1</v>
      </c>
      <c r="K190" s="15">
        <f>(ABS(J190-I190)/J190)*100</f>
        <v>4.0224398828189178</v>
      </c>
      <c r="L190" s="3"/>
      <c r="M190" s="3"/>
      <c r="N190" s="3"/>
      <c r="O190" s="3"/>
      <c r="P190" s="3"/>
      <c r="Q190" s="2"/>
      <c r="R190" s="2"/>
      <c r="S190" s="1"/>
      <c r="T190" s="1"/>
      <c r="U190" s="10" t="s">
        <v>6</v>
      </c>
      <c r="V190" s="9" t="s">
        <v>5</v>
      </c>
      <c r="W190" s="8">
        <f>1-ABS(S187/R187)</f>
        <v>0.99523481555025417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x14ac:dyDescent="0.35">
      <c r="A191" s="1"/>
      <c r="B191" s="1"/>
      <c r="C191" s="7" t="s">
        <v>4</v>
      </c>
      <c r="D191" s="6">
        <v>1E-3</v>
      </c>
      <c r="E191" s="6">
        <f t="shared" si="38"/>
        <v>4.4721359549996058E-2</v>
      </c>
      <c r="F191" s="6">
        <f>STDEV(0.7, 0.8, 0.6)</f>
        <v>0.1000000000000006</v>
      </c>
      <c r="G191" s="6">
        <f t="shared" si="39"/>
        <v>4.4732538492690349E-2</v>
      </c>
      <c r="H191" s="3"/>
      <c r="I191" s="3"/>
      <c r="J191" s="3"/>
      <c r="K191" s="3"/>
      <c r="L191" s="3"/>
      <c r="M191" s="3"/>
      <c r="N191" s="3"/>
      <c r="O191" s="3"/>
      <c r="P191" s="3"/>
      <c r="Q191" s="2"/>
      <c r="R191" s="2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x14ac:dyDescent="0.35">
      <c r="A192" s="1"/>
      <c r="B192" s="1"/>
      <c r="C192" s="7" t="s">
        <v>3</v>
      </c>
      <c r="D192" s="6">
        <v>1E-3</v>
      </c>
      <c r="E192" s="6">
        <f t="shared" si="38"/>
        <v>1.2909944487358068E-2</v>
      </c>
      <c r="F192" s="6">
        <f>STDEV(1, 1, 1.05)</f>
        <v>2.8867513459481315E-2</v>
      </c>
      <c r="G192" s="6">
        <f t="shared" si="39"/>
        <v>1.2948616399703367E-2</v>
      </c>
      <c r="H192" s="3"/>
      <c r="I192" s="3"/>
      <c r="J192" s="3"/>
      <c r="K192" s="3"/>
      <c r="L192" s="3"/>
      <c r="M192" s="3"/>
      <c r="N192" s="3"/>
      <c r="O192" s="3"/>
      <c r="P192" s="3"/>
      <c r="Q192" s="2"/>
      <c r="R192" s="2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x14ac:dyDescent="0.35">
      <c r="A193" s="1"/>
      <c r="B193" s="1"/>
      <c r="C193" s="7" t="s">
        <v>2</v>
      </c>
      <c r="D193" s="6">
        <v>1E-3</v>
      </c>
      <c r="E193" s="6">
        <f t="shared" si="38"/>
        <v>2.2360679774997914E-2</v>
      </c>
      <c r="F193" s="6">
        <f>STDEV(1.3, 1.35, 1.25)</f>
        <v>5.0000000000000044E-2</v>
      </c>
      <c r="G193" s="6">
        <f t="shared" si="39"/>
        <v>2.2383029285599407E-2</v>
      </c>
      <c r="H193" s="3"/>
      <c r="I193" s="3"/>
      <c r="J193" s="3"/>
      <c r="K193" s="3"/>
      <c r="L193" s="3"/>
      <c r="M193" s="3"/>
      <c r="N193" s="3"/>
      <c r="O193" s="3"/>
      <c r="P193" s="3"/>
      <c r="Q193" s="2"/>
      <c r="R193" s="2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x14ac:dyDescent="0.35">
      <c r="A194" s="1"/>
      <c r="B194" s="1"/>
      <c r="C194" s="7" t="s">
        <v>1</v>
      </c>
      <c r="D194" s="6">
        <v>1E-3</v>
      </c>
      <c r="E194" s="6">
        <f t="shared" si="38"/>
        <v>0</v>
      </c>
      <c r="F194" s="6">
        <f>0</f>
        <v>0</v>
      </c>
      <c r="G194" s="6">
        <f t="shared" si="39"/>
        <v>1E-3</v>
      </c>
      <c r="H194" s="3"/>
      <c r="I194" s="3"/>
      <c r="J194" s="3"/>
      <c r="K194" s="3"/>
      <c r="L194" s="3"/>
      <c r="M194" s="3"/>
      <c r="N194" s="3"/>
      <c r="O194" s="3"/>
      <c r="P194" s="3"/>
      <c r="Q194" s="2"/>
      <c r="R194" s="2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x14ac:dyDescent="0.35">
      <c r="A195" s="1"/>
      <c r="B195" s="1"/>
      <c r="C195" s="7" t="s">
        <v>0</v>
      </c>
      <c r="D195" s="6">
        <v>1E-3</v>
      </c>
      <c r="E195" s="6">
        <f t="shared" si="38"/>
        <v>2.5819888974716137E-2</v>
      </c>
      <c r="F195" s="6">
        <f>STDEV(2, 1.9, 1.9)</f>
        <v>5.773502691896263E-2</v>
      </c>
      <c r="G195" s="6">
        <f t="shared" si="39"/>
        <v>2.5839246635044683E-2</v>
      </c>
      <c r="H195" s="3"/>
      <c r="I195" s="3"/>
      <c r="J195" s="3"/>
      <c r="K195" s="3"/>
      <c r="L195" s="3"/>
      <c r="M195" s="3"/>
      <c r="N195" s="3"/>
      <c r="O195" s="3"/>
      <c r="P195" s="3"/>
      <c r="Q195" s="2"/>
      <c r="R195" s="2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x14ac:dyDescent="0.35">
      <c r="A196" s="1"/>
      <c r="B196" s="1"/>
      <c r="C196" s="4"/>
      <c r="D196" s="5"/>
      <c r="E196" s="4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2"/>
      <c r="R196" s="2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x14ac:dyDescent="0.35">
      <c r="A197" s="1"/>
      <c r="B197" s="1"/>
      <c r="C197" s="4"/>
      <c r="D197" s="5"/>
      <c r="E197" s="4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2"/>
      <c r="R197" s="2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x14ac:dyDescent="0.35">
      <c r="A198" s="1"/>
      <c r="B198" s="1"/>
      <c r="C198" s="4"/>
      <c r="D198" s="5"/>
      <c r="E198" s="4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"/>
      <c r="R198" s="2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x14ac:dyDescent="0.35">
      <c r="A199" s="1"/>
      <c r="B199" s="1"/>
      <c r="C199" s="4"/>
      <c r="D199" s="5"/>
      <c r="E199" s="4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2"/>
      <c r="R199" s="2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x14ac:dyDescent="0.35">
      <c r="A200" s="1"/>
      <c r="B200" s="1"/>
      <c r="C200" s="4"/>
      <c r="D200" s="5"/>
      <c r="E200" s="4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"/>
      <c r="R200" s="2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x14ac:dyDescent="0.35">
      <c r="A201" s="1"/>
      <c r="B201" s="1"/>
      <c r="C201" s="4"/>
      <c r="D201" s="5"/>
      <c r="E201" s="4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"/>
      <c r="R201" s="2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x14ac:dyDescent="0.35">
      <c r="A202" s="1"/>
      <c r="B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x14ac:dyDescent="0.3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44" x14ac:dyDescent="0.3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44" x14ac:dyDescent="0.3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44" x14ac:dyDescent="0.3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44" x14ac:dyDescent="0.3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3:23" x14ac:dyDescent="0.3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3:23" x14ac:dyDescent="0.3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3:23" x14ac:dyDescent="0.3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3:23" x14ac:dyDescent="0.3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3:23" x14ac:dyDescent="0.3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3:23" x14ac:dyDescent="0.3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3:23" x14ac:dyDescent="0.3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3:23" x14ac:dyDescent="0.3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3:23" x14ac:dyDescent="0.3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3:23" x14ac:dyDescent="0.3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3:23" x14ac:dyDescent="0.3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3:23" x14ac:dyDescent="0.3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3:23" x14ac:dyDescent="0.3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3:23" x14ac:dyDescent="0.3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3:23" x14ac:dyDescent="0.3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3:23" x14ac:dyDescent="0.3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3:23" x14ac:dyDescent="0.3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3:23" x14ac:dyDescent="0.3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3:23" x14ac:dyDescent="0.3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3:23" x14ac:dyDescent="0.3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3:23" x14ac:dyDescent="0.3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3:23" x14ac:dyDescent="0.3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3:23" x14ac:dyDescent="0.3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3:23" x14ac:dyDescent="0.3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3:23" x14ac:dyDescent="0.3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3:23" x14ac:dyDescent="0.3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3:23" x14ac:dyDescent="0.3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3:23" x14ac:dyDescent="0.3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3:23" x14ac:dyDescent="0.3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3:23" x14ac:dyDescent="0.3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3:23" x14ac:dyDescent="0.3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3:23" x14ac:dyDescent="0.3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3:25" x14ac:dyDescent="0.3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3:25" x14ac:dyDescent="0.35">
      <c r="C242" s="22" t="s">
        <v>53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3:25" ht="18.5" x14ac:dyDescent="0.35">
      <c r="C243" s="6" t="s">
        <v>40</v>
      </c>
      <c r="D243" s="6" t="s">
        <v>62</v>
      </c>
      <c r="E243" s="6" t="s">
        <v>38</v>
      </c>
      <c r="F243" s="6" t="s">
        <v>37</v>
      </c>
      <c r="G243" s="6" t="s">
        <v>63</v>
      </c>
      <c r="H243" s="21" t="s">
        <v>35</v>
      </c>
      <c r="I243" s="21" t="s">
        <v>34</v>
      </c>
      <c r="J243" s="21" t="s">
        <v>33</v>
      </c>
      <c r="K243" s="21" t="s">
        <v>32</v>
      </c>
      <c r="L243" s="21" t="s">
        <v>31</v>
      </c>
      <c r="M243" s="21" t="s">
        <v>30</v>
      </c>
      <c r="N243" s="21" t="s">
        <v>29</v>
      </c>
      <c r="O243" s="14" t="s">
        <v>28</v>
      </c>
      <c r="P243" s="14" t="s">
        <v>27</v>
      </c>
      <c r="Q243" s="15" t="s">
        <v>26</v>
      </c>
      <c r="R243" s="21" t="s">
        <v>25</v>
      </c>
      <c r="S243" s="21" t="s">
        <v>24</v>
      </c>
      <c r="T243" s="1"/>
      <c r="U243" s="10" t="s">
        <v>23</v>
      </c>
      <c r="V243" s="9" t="s">
        <v>22</v>
      </c>
      <c r="W243" s="8">
        <f>L250/I250</f>
        <v>-8.8576072616645423</v>
      </c>
      <c r="Y243" s="6" t="s">
        <v>74</v>
      </c>
    </row>
    <row r="244" spans="3:25" x14ac:dyDescent="0.35">
      <c r="C244" s="7">
        <f>0.0005</f>
        <v>5.0000000000000001E-4</v>
      </c>
      <c r="D244" s="20">
        <f>SIN(RADIANS(15))</f>
        <v>0.25881904510252074</v>
      </c>
      <c r="E244" s="6">
        <f>C244*(11.8/100)</f>
        <v>5.9000000000000004E-5</v>
      </c>
      <c r="F244" s="7">
        <f>LN(E244)</f>
        <v>-9.7379731140585548</v>
      </c>
      <c r="G244" s="7">
        <f>LN(D244)</f>
        <v>-1.3516261290223537</v>
      </c>
      <c r="H244" s="17">
        <f>G253</f>
        <v>1E-3</v>
      </c>
      <c r="I244" s="15">
        <f>1/H244^2</f>
        <v>1000000</v>
      </c>
      <c r="J244" s="15">
        <f>G244*I244</f>
        <v>-1351626.1290223538</v>
      </c>
      <c r="K244" s="15">
        <f>(G244^2)*I244</f>
        <v>1826893.1926559522</v>
      </c>
      <c r="L244" s="15">
        <f>F244*I244</f>
        <v>-9737973.1140585542</v>
      </c>
      <c r="M244" s="15">
        <f>(F244^2)*I244</f>
        <v>94828120.370127261</v>
      </c>
      <c r="N244" s="15">
        <f>G244*F244*I244</f>
        <v>13162098.904678719</v>
      </c>
      <c r="O244" s="15"/>
      <c r="P244" s="15"/>
      <c r="Q244" s="15">
        <f>($W$245*G244)+$W$249</f>
        <v>-9.7313372207707545</v>
      </c>
      <c r="R244" s="14">
        <f>((F244-$W$3)^2)*I244</f>
        <v>451685.29247247573</v>
      </c>
      <c r="S244" s="14">
        <f>((F244-Q244)^2)*I244</f>
        <v>44.035079727073644</v>
      </c>
      <c r="T244" s="1"/>
      <c r="U244" s="13"/>
      <c r="V244" s="13"/>
      <c r="W244" s="8"/>
      <c r="Y244" s="6">
        <f>(4/PI())*E244/(2.72*D244*3*3*((12/100)^2))</f>
        <v>8.2336422702684203E-4</v>
      </c>
    </row>
    <row r="245" spans="3:25" x14ac:dyDescent="0.35">
      <c r="C245" s="7">
        <v>1E-3</v>
      </c>
      <c r="D245" s="20">
        <f>SIN(RADIANS(30))</f>
        <v>0.49999999999999994</v>
      </c>
      <c r="E245" s="6">
        <f>C245*(11.8/100)</f>
        <v>1.1800000000000001E-4</v>
      </c>
      <c r="F245" s="7">
        <f>LN(E245)</f>
        <v>-9.0448259334986094</v>
      </c>
      <c r="G245" s="7">
        <f>LN(D245)</f>
        <v>-0.6931471805599454</v>
      </c>
      <c r="H245" s="17">
        <f>G254</f>
        <v>1E-3</v>
      </c>
      <c r="I245" s="15">
        <f>1/H245^2</f>
        <v>1000000</v>
      </c>
      <c r="J245" s="15">
        <f>G245*I245</f>
        <v>-693147.18055994541</v>
      </c>
      <c r="K245" s="15">
        <f>(G245^2)*I245</f>
        <v>480453.01391820156</v>
      </c>
      <c r="L245" s="15">
        <f>F245*I245</f>
        <v>-9044825.9334986098</v>
      </c>
      <c r="M245" s="15">
        <f>(F245^2)*I245</f>
        <v>81808876.167288989</v>
      </c>
      <c r="N245" s="15">
        <f>G245*F245*I245</f>
        <v>6269395.5944600366</v>
      </c>
      <c r="O245" s="15"/>
      <c r="P245" s="15"/>
      <c r="Q245" s="15">
        <f>($W$245*G245)+$W$249</f>
        <v>-9.0444997321080933</v>
      </c>
      <c r="R245" s="14">
        <f>((F245-$W$3)^2)*I245</f>
        <v>444.0215291132177</v>
      </c>
      <c r="S245" s="14">
        <f>((F245-Q245)^2)*I245</f>
        <v>0.10640734717463057</v>
      </c>
      <c r="T245" s="1"/>
      <c r="U245" s="10" t="s">
        <v>21</v>
      </c>
      <c r="V245" s="9" t="s">
        <v>20</v>
      </c>
      <c r="W245" s="8">
        <f>P250*((I250*N250)-(J250*L250))</f>
        <v>1.0430667377696288</v>
      </c>
      <c r="Y245" s="6">
        <f>(4/PI())*E245/(2.72*D245*3*3*((12/100)^2))</f>
        <v>8.5240937204264944E-4</v>
      </c>
    </row>
    <row r="246" spans="3:25" x14ac:dyDescent="0.35">
      <c r="C246" s="7">
        <v>1.5E-3</v>
      </c>
      <c r="D246" s="20">
        <f>SIN(RADIANS(45))</f>
        <v>0.70710678118654746</v>
      </c>
      <c r="E246" s="6">
        <f>C246*(11.8/100)</f>
        <v>1.7700000000000002E-4</v>
      </c>
      <c r="F246" s="7">
        <f>LN(E246)</f>
        <v>-8.6393608253904457</v>
      </c>
      <c r="G246" s="7">
        <f>LN(D246)</f>
        <v>-0.34657359027997275</v>
      </c>
      <c r="H246" s="17">
        <f>G255</f>
        <v>1E-3</v>
      </c>
      <c r="I246" s="15">
        <f>1/H246^2</f>
        <v>1000000</v>
      </c>
      <c r="J246" s="15">
        <f>G246*I246</f>
        <v>-346573.59027997276</v>
      </c>
      <c r="K246" s="15">
        <f>(G246^2)*I246</f>
        <v>120113.25347955043</v>
      </c>
      <c r="L246" s="15">
        <f>F246*I246</f>
        <v>-8639360.8253904451</v>
      </c>
      <c r="M246" s="15">
        <f>(F246^2)*I246</f>
        <v>74638555.47129108</v>
      </c>
      <c r="N246" s="15">
        <f>G246*F246*I246</f>
        <v>2994174.2989797159</v>
      </c>
      <c r="O246" s="15"/>
      <c r="P246" s="15"/>
      <c r="Q246" s="15">
        <f>($W$245*G246)+$W$249</f>
        <v>-8.6830003478976554</v>
      </c>
      <c r="R246" s="14">
        <f>((F246-$W$3)^2)*I246</f>
        <v>181933.74964326355</v>
      </c>
      <c r="S246" s="14">
        <f>((F246-Q246)^2)*I246</f>
        <v>1904.4079246572624</v>
      </c>
      <c r="T246" s="1"/>
      <c r="U246" s="11"/>
      <c r="V246" s="13"/>
      <c r="W246" s="8"/>
      <c r="Y246" s="6">
        <f>(4/PI())*E246/(2.72*D246*3*3*((12/100)^2))</f>
        <v>9.0411667097748619E-4</v>
      </c>
    </row>
    <row r="247" spans="3:25" ht="17.5" x14ac:dyDescent="0.45">
      <c r="C247" s="7">
        <v>1.6999999999999999E-3</v>
      </c>
      <c r="D247" s="20">
        <f>SIN(RADIANS(60))</f>
        <v>0.8660254037844386</v>
      </c>
      <c r="E247" s="6">
        <f>C247*(11.8/100)</f>
        <v>2.006E-4</v>
      </c>
      <c r="F247" s="7">
        <f>LN(E247)</f>
        <v>-8.5141976824364392</v>
      </c>
      <c r="G247" s="7">
        <f>LN(D247)</f>
        <v>-0.14384103622589053</v>
      </c>
      <c r="H247" s="17">
        <f>G256</f>
        <v>1E-3</v>
      </c>
      <c r="I247" s="15">
        <f>1/H247^2</f>
        <v>1000000</v>
      </c>
      <c r="J247" s="15">
        <f>G247*I247</f>
        <v>-143841.03622589054</v>
      </c>
      <c r="K247" s="15">
        <f>(G247^2)*I247</f>
        <v>20690.243702537951</v>
      </c>
      <c r="L247" s="15">
        <f>F247*I247</f>
        <v>-8514197.6824364383</v>
      </c>
      <c r="M247" s="15">
        <f>(F247^2)*I247</f>
        <v>72491562.175606027</v>
      </c>
      <c r="N247" s="15">
        <f>G247*F247*I247</f>
        <v>1224691.0172737332</v>
      </c>
      <c r="O247" s="15"/>
      <c r="P247" s="15"/>
      <c r="Q247" s="15">
        <f>($W$245*G247)+$W$249</f>
        <v>-8.4715367641007582</v>
      </c>
      <c r="R247" s="14">
        <f>((F247-$W$3)^2)*I247</f>
        <v>304372.96660347469</v>
      </c>
      <c r="S247" s="14">
        <f>((F247-Q247)^2)*I247</f>
        <v>1819.9539532436411</v>
      </c>
      <c r="T247" s="1"/>
      <c r="U247" s="10" t="s">
        <v>19</v>
      </c>
      <c r="V247" s="9" t="s">
        <v>18</v>
      </c>
      <c r="W247" s="8">
        <f>SQRT(P250*I250)</f>
        <v>9.41337752938471E-4</v>
      </c>
      <c r="Y247" s="6">
        <f>(4/PI())*E247/(2.72*D247*3*3*((12/100)^2))</f>
        <v>8.366359266945919E-4</v>
      </c>
    </row>
    <row r="248" spans="3:25" x14ac:dyDescent="0.35">
      <c r="C248" s="7">
        <v>2E-3</v>
      </c>
      <c r="D248" s="20">
        <f>SIN(RADIANS(75))</f>
        <v>0.96592582628906831</v>
      </c>
      <c r="E248" s="6">
        <f>C248*(11.8/100)</f>
        <v>2.3600000000000002E-4</v>
      </c>
      <c r="F248" s="7">
        <f>LN(E248)</f>
        <v>-8.351678752938664</v>
      </c>
      <c r="G248" s="7">
        <f>LN(D248)</f>
        <v>-3.466823209753693E-2</v>
      </c>
      <c r="H248" s="17">
        <f>G257</f>
        <v>1E-3</v>
      </c>
      <c r="I248" s="15">
        <f>1/H248^2</f>
        <v>1000000</v>
      </c>
      <c r="J248" s="15">
        <f>G248*I248</f>
        <v>-34668.232097536929</v>
      </c>
      <c r="K248" s="15">
        <f>(G248^2)*I248</f>
        <v>1201.88631676869</v>
      </c>
      <c r="L248" s="15">
        <f>F248*I248</f>
        <v>-8351678.7529386636</v>
      </c>
      <c r="M248" s="15">
        <f>(F248^2)*I248</f>
        <v>69750537.992287114</v>
      </c>
      <c r="N248" s="15">
        <f>G248*F248*I248</f>
        <v>289537.93741094542</v>
      </c>
      <c r="O248" s="15"/>
      <c r="P248" s="15"/>
      <c r="Q248" s="15">
        <f>($W$245*G248)+$W$249</f>
        <v>-8.357662243445434</v>
      </c>
      <c r="R248" s="14">
        <f>((F248-$W$3)^2)*I248</f>
        <v>510108.77842215373</v>
      </c>
      <c r="S248" s="14">
        <f>((F248-Q248)^2)*I248</f>
        <v>35.802158644605989</v>
      </c>
      <c r="T248" s="1"/>
      <c r="U248" s="11"/>
      <c r="V248" s="13"/>
      <c r="W248" s="8"/>
      <c r="Y248" s="6">
        <f>(4/PI())*E248/(2.72*D248*3*3*((12/100)^2))</f>
        <v>8.8247911883407141E-4</v>
      </c>
    </row>
    <row r="249" spans="3:25" x14ac:dyDescent="0.35">
      <c r="C249" s="19"/>
      <c r="D249" s="18"/>
      <c r="E249" s="6"/>
      <c r="F249" s="7"/>
      <c r="G249" s="7"/>
      <c r="H249" s="17"/>
      <c r="I249" s="16"/>
      <c r="J249" s="15"/>
      <c r="K249" s="15"/>
      <c r="L249" s="15"/>
      <c r="M249" s="15"/>
      <c r="N249" s="15"/>
      <c r="O249" s="16"/>
      <c r="P249" s="16"/>
      <c r="Q249" s="15"/>
      <c r="R249" s="14"/>
      <c r="S249" s="14"/>
      <c r="T249" s="1"/>
      <c r="U249" s="10" t="s">
        <v>17</v>
      </c>
      <c r="V249" s="9" t="s">
        <v>16</v>
      </c>
      <c r="W249" s="8">
        <f>P250*((K250*L250)-(J250*N250))</f>
        <v>-8.3215009636872157</v>
      </c>
      <c r="Y249" s="6">
        <f>AVERAGE(Y244:Y248)</f>
        <v>8.5980106311512824E-4</v>
      </c>
    </row>
    <row r="250" spans="3:25" x14ac:dyDescent="0.35">
      <c r="C250" s="27" t="s">
        <v>15</v>
      </c>
      <c r="D250" s="27"/>
      <c r="E250" s="27"/>
      <c r="F250" s="27"/>
      <c r="G250" s="27"/>
      <c r="H250" s="7">
        <f t="shared" ref="H250:N250" si="40">SUM(H244:H249)</f>
        <v>5.0000000000000001E-3</v>
      </c>
      <c r="I250" s="7">
        <f t="shared" si="40"/>
        <v>5000000</v>
      </c>
      <c r="J250" s="7">
        <f t="shared" si="40"/>
        <v>-2569856.1681856993</v>
      </c>
      <c r="K250" s="7">
        <f t="shared" si="40"/>
        <v>2449351.5900730109</v>
      </c>
      <c r="L250" s="7">
        <f t="shared" si="40"/>
        <v>-44288036.308322713</v>
      </c>
      <c r="M250" s="7">
        <f t="shared" si="40"/>
        <v>393517652.17660046</v>
      </c>
      <c r="N250" s="7">
        <f t="shared" si="40"/>
        <v>23939897.752803151</v>
      </c>
      <c r="O250" s="6">
        <f>(I250*K250)-(J250)^2</f>
        <v>5642597225202.9697</v>
      </c>
      <c r="P250" s="6">
        <f>1/O250</f>
        <v>1.7722335302144997E-13</v>
      </c>
      <c r="Q250" s="6">
        <f>SUM(Q244:Q249)</f>
        <v>-44.288036308322688</v>
      </c>
      <c r="R250" s="6">
        <f>SUM(R244:R249)</f>
        <v>1448544.808670481</v>
      </c>
      <c r="S250" s="6">
        <f>SUM(S244:S249)</f>
        <v>3804.3055236197579</v>
      </c>
      <c r="T250" s="1"/>
      <c r="U250" s="11"/>
      <c r="V250" s="13"/>
      <c r="W250" s="8"/>
    </row>
    <row r="251" spans="3:25" ht="17.5" x14ac:dyDescent="0.45">
      <c r="C251" s="4"/>
      <c r="D251" s="5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2"/>
      <c r="R251" s="2"/>
      <c r="S251" s="1"/>
      <c r="T251" s="1"/>
      <c r="U251" s="10" t="s">
        <v>14</v>
      </c>
      <c r="V251" s="9" t="s">
        <v>13</v>
      </c>
      <c r="W251" s="8">
        <f>SQRT(P250*K250)</f>
        <v>6.5884922518066229E-4</v>
      </c>
    </row>
    <row r="252" spans="3:25" ht="17.5" x14ac:dyDescent="0.35">
      <c r="C252" s="6" t="s">
        <v>12</v>
      </c>
      <c r="D252" s="6" t="s">
        <v>11</v>
      </c>
      <c r="E252" s="6" t="s">
        <v>10</v>
      </c>
      <c r="F252" s="12" t="s">
        <v>9</v>
      </c>
      <c r="G252" s="6" t="s">
        <v>8</v>
      </c>
      <c r="H252" s="3"/>
      <c r="I252" s="15" t="s">
        <v>60</v>
      </c>
      <c r="J252" s="15" t="s">
        <v>61</v>
      </c>
      <c r="K252" s="15" t="s">
        <v>46</v>
      </c>
      <c r="L252" s="3"/>
      <c r="M252" s="3"/>
      <c r="N252" s="3"/>
      <c r="O252" s="3"/>
      <c r="P252" s="3"/>
      <c r="Q252" s="2"/>
      <c r="R252" s="2"/>
      <c r="S252" s="1"/>
      <c r="T252" s="1"/>
      <c r="U252" s="11"/>
      <c r="V252" s="9"/>
      <c r="W252" s="8"/>
    </row>
    <row r="253" spans="3:25" ht="18.5" x14ac:dyDescent="0.35">
      <c r="C253" s="6" t="s">
        <v>7</v>
      </c>
      <c r="D253" s="6">
        <v>1E-3</v>
      </c>
      <c r="E253" s="6">
        <f t="shared" ref="E253:E258" si="41">F253/SQRT(5)</f>
        <v>0</v>
      </c>
      <c r="F253" s="6">
        <f>0</f>
        <v>0</v>
      </c>
      <c r="G253" s="6">
        <f t="shared" ref="G253:G258" si="42">SQRT((D253)^2+(E253)^2)</f>
        <v>1E-3</v>
      </c>
      <c r="H253" s="3"/>
      <c r="I253" s="15">
        <f>W245</f>
        <v>1.0430667377696288</v>
      </c>
      <c r="J253" s="15">
        <f>1</f>
        <v>1</v>
      </c>
      <c r="K253" s="15">
        <f>(ABS(J253-I253)/J253)*100</f>
        <v>4.3066737769628771</v>
      </c>
      <c r="L253" s="3"/>
      <c r="M253" s="3"/>
      <c r="N253" s="3"/>
      <c r="O253" s="3"/>
      <c r="P253" s="3"/>
      <c r="Q253" s="2"/>
      <c r="R253" s="2"/>
      <c r="S253" s="1"/>
      <c r="T253" s="1"/>
      <c r="U253" s="10" t="s">
        <v>6</v>
      </c>
      <c r="V253" s="9" t="s">
        <v>5</v>
      </c>
      <c r="W253" s="8">
        <f>1-ABS(S250/R250)</f>
        <v>0.99737370532078229</v>
      </c>
    </row>
    <row r="254" spans="3:25" x14ac:dyDescent="0.35">
      <c r="C254" s="7" t="s">
        <v>4</v>
      </c>
      <c r="D254" s="6">
        <v>1E-3</v>
      </c>
      <c r="E254" s="6">
        <f t="shared" si="41"/>
        <v>0</v>
      </c>
      <c r="F254" s="6">
        <v>0</v>
      </c>
      <c r="G254" s="6">
        <f t="shared" si="42"/>
        <v>1E-3</v>
      </c>
      <c r="H254" s="3"/>
      <c r="I254" s="3"/>
      <c r="J254" s="3"/>
      <c r="K254" s="3"/>
      <c r="L254" s="3"/>
      <c r="M254" s="3"/>
      <c r="N254" s="3"/>
      <c r="O254" s="3"/>
      <c r="P254" s="3"/>
      <c r="Q254" s="2"/>
      <c r="R254" s="2"/>
      <c r="S254" s="1"/>
      <c r="T254" s="1"/>
      <c r="U254" s="1"/>
      <c r="V254" s="1"/>
      <c r="W254" s="1"/>
    </row>
    <row r="255" spans="3:25" x14ac:dyDescent="0.35">
      <c r="C255" s="7" t="s">
        <v>3</v>
      </c>
      <c r="D255" s="6">
        <v>1E-3</v>
      </c>
      <c r="E255" s="6">
        <f t="shared" si="41"/>
        <v>0</v>
      </c>
      <c r="F255" s="6">
        <v>0</v>
      </c>
      <c r="G255" s="6">
        <f t="shared" si="42"/>
        <v>1E-3</v>
      </c>
      <c r="H255" s="3"/>
      <c r="I255" s="3"/>
      <c r="J255" s="3"/>
      <c r="K255" s="3"/>
      <c r="L255" s="3"/>
      <c r="M255" s="3"/>
      <c r="N255" s="3"/>
      <c r="O255" s="3"/>
      <c r="P255" s="3"/>
      <c r="Q255" s="2"/>
      <c r="R255" s="2"/>
      <c r="S255" s="1"/>
      <c r="T255" s="1"/>
      <c r="U255" s="1"/>
      <c r="V255" s="1"/>
      <c r="W255" s="1"/>
    </row>
    <row r="256" spans="3:25" x14ac:dyDescent="0.35">
      <c r="C256" s="7" t="s">
        <v>2</v>
      </c>
      <c r="D256" s="6">
        <v>1E-3</v>
      </c>
      <c r="E256" s="6">
        <f t="shared" si="41"/>
        <v>0</v>
      </c>
      <c r="F256" s="6">
        <v>0</v>
      </c>
      <c r="G256" s="6">
        <f t="shared" si="42"/>
        <v>1E-3</v>
      </c>
      <c r="H256" s="3"/>
      <c r="I256" s="3"/>
      <c r="J256" s="3"/>
      <c r="K256" s="3"/>
      <c r="L256" s="3"/>
      <c r="M256" s="3"/>
      <c r="N256" s="3"/>
      <c r="O256" s="3"/>
      <c r="P256" s="3"/>
      <c r="Q256" s="2"/>
      <c r="R256" s="2"/>
      <c r="S256" s="1"/>
      <c r="T256" s="1"/>
      <c r="U256" s="1"/>
      <c r="V256" s="1"/>
      <c r="W256" s="1"/>
    </row>
    <row r="257" spans="3:23" x14ac:dyDescent="0.35">
      <c r="C257" s="7" t="s">
        <v>1</v>
      </c>
      <c r="D257" s="6">
        <v>1E-3</v>
      </c>
      <c r="E257" s="6">
        <f t="shared" si="41"/>
        <v>0</v>
      </c>
      <c r="F257" s="6">
        <v>0</v>
      </c>
      <c r="G257" s="6">
        <f t="shared" si="42"/>
        <v>1E-3</v>
      </c>
      <c r="H257" s="3"/>
      <c r="I257" s="3"/>
      <c r="J257" s="3"/>
      <c r="K257" s="3"/>
      <c r="L257" s="3"/>
      <c r="M257" s="3"/>
      <c r="N257" s="3"/>
      <c r="O257" s="3"/>
      <c r="P257" s="3"/>
      <c r="Q257" s="2"/>
      <c r="R257" s="2"/>
      <c r="S257" s="1"/>
      <c r="T257" s="1"/>
      <c r="U257" s="1"/>
      <c r="V257" s="1"/>
      <c r="W257" s="1"/>
    </row>
    <row r="258" spans="3:23" x14ac:dyDescent="0.35">
      <c r="C258" s="7" t="s">
        <v>0</v>
      </c>
      <c r="D258" s="6">
        <v>1E-3</v>
      </c>
      <c r="E258" s="6">
        <f t="shared" si="41"/>
        <v>0</v>
      </c>
      <c r="F258" s="6">
        <v>0</v>
      </c>
      <c r="G258" s="6">
        <f t="shared" si="42"/>
        <v>1E-3</v>
      </c>
      <c r="H258" s="3"/>
      <c r="I258" s="3"/>
      <c r="J258" s="3"/>
      <c r="K258" s="3"/>
      <c r="L258" s="3"/>
      <c r="M258" s="3"/>
      <c r="N258" s="3"/>
      <c r="O258" s="3"/>
      <c r="P258" s="3"/>
      <c r="Q258" s="2"/>
      <c r="R258" s="2"/>
      <c r="S258" s="1"/>
      <c r="T258" s="1"/>
      <c r="U258" s="1"/>
      <c r="V258" s="1"/>
      <c r="W258" s="1"/>
    </row>
    <row r="259" spans="3:23" x14ac:dyDescent="0.35">
      <c r="C259" s="4"/>
      <c r="D259" s="5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2"/>
      <c r="R259" s="2"/>
      <c r="S259" s="1"/>
      <c r="T259" s="1"/>
      <c r="U259" s="1"/>
      <c r="V259" s="1"/>
      <c r="W259" s="1"/>
    </row>
    <row r="260" spans="3:23" x14ac:dyDescent="0.35">
      <c r="C260" s="4"/>
      <c r="D260" s="5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2"/>
      <c r="R260" s="2"/>
      <c r="S260" s="1"/>
      <c r="T260" s="1"/>
      <c r="U260" s="1"/>
      <c r="V260" s="1"/>
      <c r="W260" s="1"/>
    </row>
    <row r="261" spans="3:23" x14ac:dyDescent="0.35">
      <c r="C261" s="4"/>
      <c r="D261" s="5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2"/>
      <c r="R261" s="2"/>
      <c r="S261" s="1"/>
      <c r="T261" s="1"/>
      <c r="U261" s="1"/>
      <c r="V261" s="1"/>
      <c r="W261" s="1"/>
    </row>
    <row r="262" spans="3:23" x14ac:dyDescent="0.35">
      <c r="C262" s="4"/>
      <c r="D262" s="5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2"/>
      <c r="R262" s="2"/>
      <c r="S262" s="1"/>
      <c r="T262" s="1"/>
      <c r="U262" s="1"/>
      <c r="V262" s="1"/>
      <c r="W262" s="1"/>
    </row>
    <row r="263" spans="3:23" x14ac:dyDescent="0.35">
      <c r="C263" s="4"/>
      <c r="D263" s="5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2"/>
      <c r="R263" s="2"/>
      <c r="S263" s="1"/>
      <c r="T263" s="1"/>
      <c r="U263" s="1"/>
      <c r="V263" s="1"/>
      <c r="W263" s="1"/>
    </row>
    <row r="264" spans="3:23" x14ac:dyDescent="0.35">
      <c r="C264" s="4"/>
      <c r="D264" s="5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2"/>
      <c r="R264" s="2"/>
      <c r="S264" s="1"/>
      <c r="T264" s="1"/>
      <c r="U264" s="1"/>
      <c r="V264" s="1"/>
      <c r="W264" s="1"/>
    </row>
    <row r="265" spans="3:23" x14ac:dyDescent="0.35">
      <c r="S265" s="1"/>
      <c r="T265" s="1"/>
      <c r="U265" s="1"/>
      <c r="V265" s="1"/>
      <c r="W265" s="1"/>
    </row>
    <row r="266" spans="3:23" x14ac:dyDescent="0.3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3:23" x14ac:dyDescent="0.3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3:23" x14ac:dyDescent="0.3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3:23" x14ac:dyDescent="0.3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3:23" x14ac:dyDescent="0.3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3:23" x14ac:dyDescent="0.3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3:23" x14ac:dyDescent="0.3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3:23" x14ac:dyDescent="0.3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3:23" x14ac:dyDescent="0.3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3:23" x14ac:dyDescent="0.3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3:23" x14ac:dyDescent="0.3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3:23" x14ac:dyDescent="0.3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3:23" x14ac:dyDescent="0.3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3:23" x14ac:dyDescent="0.3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3:23" x14ac:dyDescent="0.3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3:23" x14ac:dyDescent="0.3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3:23" x14ac:dyDescent="0.3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3:23" x14ac:dyDescent="0.3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3:23" x14ac:dyDescent="0.3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3:23" x14ac:dyDescent="0.3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3:23" x14ac:dyDescent="0.3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3:23" x14ac:dyDescent="0.3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3:23" x14ac:dyDescent="0.3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3:23" x14ac:dyDescent="0.3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3:23" x14ac:dyDescent="0.3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3:23" x14ac:dyDescent="0.3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3:23" x14ac:dyDescent="0.3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3:23" x14ac:dyDescent="0.3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3:23" x14ac:dyDescent="0.3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3:23" x14ac:dyDescent="0.3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3:23" x14ac:dyDescent="0.3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3:23" x14ac:dyDescent="0.3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3:23" x14ac:dyDescent="0.3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3:23" x14ac:dyDescent="0.3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3:23" x14ac:dyDescent="0.3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3:23" x14ac:dyDescent="0.3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3:23" x14ac:dyDescent="0.3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3:23" x14ac:dyDescent="0.3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3:23" x14ac:dyDescent="0.3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3:6" x14ac:dyDescent="0.35">
      <c r="C305" s="6" t="s">
        <v>65</v>
      </c>
      <c r="D305" s="6" t="s">
        <v>66</v>
      </c>
      <c r="E305" s="6" t="s">
        <v>67</v>
      </c>
      <c r="F305" s="6" t="s">
        <v>46</v>
      </c>
    </row>
    <row r="306" spans="3:6" x14ac:dyDescent="0.35">
      <c r="C306" s="6" t="s">
        <v>68</v>
      </c>
      <c r="D306" s="6">
        <f>I13</f>
        <v>0.9739196614572746</v>
      </c>
      <c r="E306" s="6">
        <f>J13</f>
        <v>1</v>
      </c>
      <c r="F306" s="6">
        <f>K13</f>
        <v>2.6080338542725401</v>
      </c>
    </row>
    <row r="307" spans="3:6" x14ac:dyDescent="0.35">
      <c r="C307" s="6" t="s">
        <v>69</v>
      </c>
      <c r="D307" s="6">
        <f>I73</f>
        <v>0.99253104145276361</v>
      </c>
      <c r="E307" s="6">
        <f>J73</f>
        <v>1</v>
      </c>
      <c r="F307" s="6">
        <f>K73</f>
        <v>0.74689585472363929</v>
      </c>
    </row>
    <row r="308" spans="3:6" x14ac:dyDescent="0.35">
      <c r="C308" s="6" t="s">
        <v>70</v>
      </c>
      <c r="D308" s="6">
        <f>I130</f>
        <v>1.7701070588553889</v>
      </c>
      <c r="E308" s="6">
        <f>J130</f>
        <v>2</v>
      </c>
      <c r="F308" s="6">
        <f>K130</f>
        <v>11.494647057230555</v>
      </c>
    </row>
    <row r="309" spans="3:6" x14ac:dyDescent="0.35">
      <c r="C309" s="6" t="s">
        <v>71</v>
      </c>
      <c r="D309" s="6">
        <f>I190</f>
        <v>1.0402243988281892</v>
      </c>
      <c r="E309" s="6">
        <f>J190</f>
        <v>1</v>
      </c>
      <c r="F309" s="6">
        <f>K190</f>
        <v>4.0224398828189178</v>
      </c>
    </row>
    <row r="310" spans="3:6" x14ac:dyDescent="0.35">
      <c r="C310" s="6" t="s">
        <v>62</v>
      </c>
      <c r="D310" s="6">
        <f>I253</f>
        <v>1.0430667377696288</v>
      </c>
      <c r="E310" s="6">
        <f>J253</f>
        <v>1</v>
      </c>
      <c r="F310" s="6">
        <f>K253</f>
        <v>4.3066737769628771</v>
      </c>
    </row>
    <row r="312" spans="3:6" x14ac:dyDescent="0.35">
      <c r="C312" s="6" t="s">
        <v>65</v>
      </c>
      <c r="D312" s="6" t="s">
        <v>72</v>
      </c>
      <c r="E312" s="6" t="s">
        <v>73</v>
      </c>
      <c r="F312" s="6" t="s">
        <v>46</v>
      </c>
    </row>
    <row r="313" spans="3:6" x14ac:dyDescent="0.35">
      <c r="C313" s="6" t="s">
        <v>68</v>
      </c>
      <c r="D313" s="6">
        <f>Y10</f>
        <v>7.5615814711616684E-4</v>
      </c>
      <c r="E313" s="6">
        <f t="shared" ref="E313:E318" si="43">0.0006772</f>
        <v>6.7719999999999998E-4</v>
      </c>
      <c r="F313" s="6">
        <f t="shared" ref="F313:F318" si="44">(ABS(D313-E313)/E313)*100</f>
        <v>11.659501936823222</v>
      </c>
    </row>
    <row r="314" spans="3:6" x14ac:dyDescent="0.35">
      <c r="C314" s="6" t="s">
        <v>69</v>
      </c>
      <c r="D314" s="6">
        <f>Y70</f>
        <v>7.4727888282405603E-4</v>
      </c>
      <c r="E314" s="6">
        <f t="shared" si="43"/>
        <v>6.7719999999999998E-4</v>
      </c>
      <c r="F314" s="6">
        <f t="shared" si="44"/>
        <v>10.348328828124048</v>
      </c>
    </row>
    <row r="315" spans="3:6" x14ac:dyDescent="0.35">
      <c r="C315" s="6" t="s">
        <v>70</v>
      </c>
      <c r="D315" s="6">
        <f>Y127</f>
        <v>7.2792515907704367E-4</v>
      </c>
      <c r="E315" s="6">
        <f t="shared" si="43"/>
        <v>6.7719999999999998E-4</v>
      </c>
      <c r="F315" s="6">
        <f t="shared" si="44"/>
        <v>7.490425144276978</v>
      </c>
    </row>
    <row r="316" spans="3:6" x14ac:dyDescent="0.35">
      <c r="C316" s="6" t="s">
        <v>71</v>
      </c>
      <c r="D316" s="6">
        <f>Y187</f>
        <v>7.5629926822331616E-4</v>
      </c>
      <c r="E316" s="6">
        <f t="shared" si="43"/>
        <v>6.7719999999999998E-4</v>
      </c>
      <c r="F316" s="6">
        <f t="shared" si="44"/>
        <v>11.680340848097487</v>
      </c>
    </row>
    <row r="317" spans="3:6" x14ac:dyDescent="0.35">
      <c r="C317" s="6" t="s">
        <v>62</v>
      </c>
      <c r="D317" s="6">
        <f>Y249</f>
        <v>8.5980106311512824E-4</v>
      </c>
      <c r="E317" s="6">
        <f t="shared" si="43"/>
        <v>6.7719999999999998E-4</v>
      </c>
      <c r="F317" s="6">
        <f t="shared" si="44"/>
        <v>26.964126272168969</v>
      </c>
    </row>
    <row r="318" spans="3:6" x14ac:dyDescent="0.35">
      <c r="C318" s="12" t="s">
        <v>75</v>
      </c>
      <c r="D318" s="12">
        <f>AVERAGE(D313:D317)</f>
        <v>7.6949250407114223E-4</v>
      </c>
      <c r="E318" s="6">
        <f t="shared" si="43"/>
        <v>6.7719999999999998E-4</v>
      </c>
      <c r="F318" s="6">
        <f t="shared" si="44"/>
        <v>13.628544605898146</v>
      </c>
    </row>
    <row r="320" spans="3:6" ht="18.5" x14ac:dyDescent="0.35">
      <c r="C320" s="6" t="s">
        <v>65</v>
      </c>
      <c r="D320" s="6" t="s">
        <v>76</v>
      </c>
    </row>
    <row r="321" spans="3:4" x14ac:dyDescent="0.35">
      <c r="C321" s="6" t="s">
        <v>68</v>
      </c>
      <c r="D321" s="6">
        <f>W13</f>
        <v>0.99982230497697466</v>
      </c>
    </row>
    <row r="322" spans="3:4" x14ac:dyDescent="0.35">
      <c r="C322" s="6" t="s">
        <v>69</v>
      </c>
      <c r="D322" s="6">
        <f>W76</f>
        <v>0.99999748440153868</v>
      </c>
    </row>
    <row r="323" spans="3:4" x14ac:dyDescent="0.35">
      <c r="C323" s="6" t="s">
        <v>70</v>
      </c>
      <c r="D323" s="6">
        <f>W133</f>
        <v>0.99988024378449236</v>
      </c>
    </row>
    <row r="324" spans="3:4" x14ac:dyDescent="0.35">
      <c r="C324" s="6" t="s">
        <v>71</v>
      </c>
      <c r="D324" s="6">
        <f>W190</f>
        <v>0.99523481555025417</v>
      </c>
    </row>
    <row r="325" spans="3:4" x14ac:dyDescent="0.35">
      <c r="C325" s="6" t="s">
        <v>62</v>
      </c>
      <c r="D325" s="6">
        <f>W253</f>
        <v>0.99737370532078229</v>
      </c>
    </row>
    <row r="326" spans="3:4" x14ac:dyDescent="0.35">
      <c r="C326" s="26"/>
    </row>
  </sheetData>
  <mergeCells count="5">
    <mergeCell ref="C10:G10"/>
    <mergeCell ref="C70:G70"/>
    <mergeCell ref="C127:G127"/>
    <mergeCell ref="C187:G187"/>
    <mergeCell ref="C250:G25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Shairil Danil</dc:creator>
  <cp:lastModifiedBy>Shairil Danil</cp:lastModifiedBy>
  <dcterms:created xsi:type="dcterms:W3CDTF">2020-02-16T08:07:30Z</dcterms:created>
  <dcterms:modified xsi:type="dcterms:W3CDTF">2021-03-10T03:52:17Z</dcterms:modified>
</cp:coreProperties>
</file>