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80" windowWidth="18610" windowHeight="6340"/>
  </bookViews>
  <sheets>
    <sheet name="Sheet1" sheetId="1" r:id="rId1"/>
    <sheet name="Sheet2" sheetId="2" r:id="rId2"/>
  </sheets>
  <calcPr calcId="144525"/>
  <fileRecoveryPr repairLoad="1"/>
</workbook>
</file>

<file path=xl/calcChain.xml><?xml version="1.0" encoding="utf-8"?>
<calcChain xmlns="http://schemas.openxmlformats.org/spreadsheetml/2006/main">
  <c r="G47" i="1" l="1"/>
  <c r="I49" i="1"/>
  <c r="I51" i="1" s="1"/>
  <c r="D10" i="2"/>
  <c r="E10" i="2" s="1"/>
  <c r="D9" i="2"/>
  <c r="D8" i="2"/>
  <c r="D7" i="2"/>
  <c r="D6" i="2"/>
  <c r="D5" i="2"/>
  <c r="D11" i="2" s="1"/>
  <c r="C5" i="2"/>
  <c r="O5" i="2" s="1"/>
  <c r="B36" i="1"/>
  <c r="E36" i="1" s="1"/>
  <c r="F37" i="1"/>
  <c r="F38" i="1"/>
  <c r="F39" i="1"/>
  <c r="F40" i="1"/>
  <c r="F41" i="1"/>
  <c r="F42" i="1"/>
  <c r="F43" i="1"/>
  <c r="F36" i="1"/>
  <c r="F35" i="1"/>
  <c r="I45" i="1"/>
  <c r="F10" i="2"/>
  <c r="F6" i="2"/>
  <c r="G6" i="2" s="1"/>
  <c r="F7" i="2"/>
  <c r="F8" i="2"/>
  <c r="F9" i="2"/>
  <c r="F5" i="2"/>
  <c r="E6" i="2"/>
  <c r="E9" i="2"/>
  <c r="O9" i="2"/>
  <c r="G10" i="2"/>
  <c r="H10" i="2" s="1"/>
  <c r="G9" i="2"/>
  <c r="G8" i="2"/>
  <c r="E8" i="2"/>
  <c r="G7" i="2"/>
  <c r="E7" i="2"/>
  <c r="O6" i="2"/>
  <c r="I7" i="2" l="1"/>
  <c r="F11" i="2"/>
  <c r="I10" i="2"/>
  <c r="L8" i="2"/>
  <c r="P10" i="2"/>
  <c r="K10" i="2"/>
  <c r="J10" i="2"/>
  <c r="J8" i="2"/>
  <c r="P8" i="2"/>
  <c r="K8" i="2"/>
  <c r="J7" i="2"/>
  <c r="P7" i="2"/>
  <c r="L7" i="2"/>
  <c r="K7" i="2"/>
  <c r="I8" i="2"/>
  <c r="H8" i="2"/>
  <c r="Q6" i="2"/>
  <c r="J6" i="2"/>
  <c r="K6" i="2"/>
  <c r="P6" i="2"/>
  <c r="Q9" i="2"/>
  <c r="P9" i="2"/>
  <c r="K9" i="2"/>
  <c r="J9" i="2"/>
  <c r="H7" i="2"/>
  <c r="H6" i="2"/>
  <c r="O8" i="2"/>
  <c r="Q8" i="2" s="1"/>
  <c r="H9" i="2"/>
  <c r="G5" i="2"/>
  <c r="G11" i="2" s="1"/>
  <c r="I6" i="2"/>
  <c r="I9" i="2"/>
  <c r="O7" i="2"/>
  <c r="Q7" i="2" s="1"/>
  <c r="L10" i="2"/>
  <c r="O10" i="2"/>
  <c r="Q10" i="2" s="1"/>
  <c r="L6" i="2"/>
  <c r="L9" i="2"/>
  <c r="C12" i="2"/>
  <c r="C11" i="2"/>
  <c r="E5" i="2"/>
  <c r="O11" i="2" l="1"/>
  <c r="I5" i="2"/>
  <c r="I11" i="2" s="1"/>
  <c r="K5" i="2"/>
  <c r="K11" i="2" s="1"/>
  <c r="Q5" i="2"/>
  <c r="Q11" i="2" s="1"/>
  <c r="E11" i="2"/>
  <c r="P5" i="2"/>
  <c r="P11" i="2" s="1"/>
  <c r="J5" i="2"/>
  <c r="J11" i="2" s="1"/>
  <c r="U3" i="2" s="1"/>
  <c r="L5" i="2"/>
  <c r="L11" i="2" s="1"/>
  <c r="H5" i="2"/>
  <c r="H11" i="2" s="1"/>
  <c r="M11" i="2" l="1"/>
  <c r="N11" i="2" s="1"/>
  <c r="U5" i="2" s="1"/>
  <c r="U13" i="2"/>
  <c r="U11" i="2" l="1"/>
  <c r="U7" i="2"/>
  <c r="I24" i="1" s="1"/>
  <c r="I26" i="1" s="1"/>
  <c r="U9" i="2"/>
  <c r="F12" i="1" l="1"/>
  <c r="F13" i="1"/>
  <c r="F14" i="1"/>
  <c r="F15" i="1"/>
  <c r="F16" i="1"/>
  <c r="F17" i="1"/>
  <c r="F18" i="1"/>
  <c r="F11" i="1"/>
  <c r="I20" i="1"/>
  <c r="E11" i="1"/>
  <c r="E12" i="1"/>
  <c r="E13" i="1"/>
  <c r="E14" i="1"/>
  <c r="E15" i="1"/>
  <c r="E16" i="1"/>
  <c r="E17" i="1"/>
  <c r="E18" i="1"/>
  <c r="C43" i="1"/>
  <c r="C42" i="1"/>
  <c r="C41" i="1"/>
  <c r="C40" i="1"/>
  <c r="C39" i="1"/>
  <c r="C38" i="1"/>
  <c r="C37" i="1"/>
  <c r="C36" i="1"/>
  <c r="D37" i="1"/>
  <c r="D38" i="1" s="1"/>
  <c r="D39" i="1" s="1"/>
  <c r="D40" i="1" s="1"/>
  <c r="D41" i="1" s="1"/>
  <c r="D42" i="1" s="1"/>
  <c r="D43" i="1" s="1"/>
  <c r="E37" i="1" l="1"/>
  <c r="I22" i="1"/>
  <c r="G22" i="1" s="1"/>
  <c r="F10" i="1"/>
  <c r="C18" i="1"/>
  <c r="C17" i="1"/>
  <c r="C16" i="1"/>
  <c r="C15" i="1"/>
  <c r="C14" i="1"/>
  <c r="C13" i="1"/>
  <c r="C12" i="1"/>
  <c r="C11" i="1"/>
  <c r="D13" i="1"/>
  <c r="D14" i="1"/>
  <c r="D15" i="1"/>
  <c r="D16" i="1" s="1"/>
  <c r="D17" i="1" s="1"/>
  <c r="D18" i="1" s="1"/>
  <c r="D12" i="1"/>
  <c r="H2" i="1"/>
  <c r="D3" i="1"/>
  <c r="G2" i="1"/>
  <c r="E3" i="1"/>
  <c r="F2" i="1"/>
  <c r="E38" i="1" l="1"/>
  <c r="E39" i="1" l="1"/>
  <c r="E40" i="1" l="1"/>
  <c r="E41" i="1" l="1"/>
  <c r="E43" i="1" l="1"/>
  <c r="E42" i="1"/>
  <c r="I47" i="1" l="1"/>
</calcChain>
</file>

<file path=xl/sharedStrings.xml><?xml version="1.0" encoding="utf-8"?>
<sst xmlns="http://schemas.openxmlformats.org/spreadsheetml/2006/main" count="58" uniqueCount="54">
  <si>
    <t>Substance</t>
  </si>
  <si>
    <t>Glycerine</t>
  </si>
  <si>
    <t>Water</t>
  </si>
  <si>
    <t>Polysterene</t>
  </si>
  <si>
    <t>PTFE</t>
  </si>
  <si>
    <t>Hand Cream</t>
  </si>
  <si>
    <t>Apple</t>
  </si>
  <si>
    <r>
      <t>Magnetic Flux, B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</t>
    </r>
    <r>
      <rPr>
        <sz val="12"/>
        <color theme="1"/>
        <rFont val="Times New Roman"/>
        <family val="1"/>
      </rPr>
      <t>±</t>
    </r>
    <r>
      <rPr>
        <sz val="12"/>
        <color theme="1"/>
        <rFont val="Times New Roman"/>
        <family val="2"/>
      </rPr>
      <t xml:space="preserve"> 0.058</t>
    </r>
    <r>
      <rPr>
        <sz val="12"/>
        <color theme="1"/>
        <rFont val="Times New Roman"/>
        <family val="2"/>
      </rPr>
      <t>mT)</t>
    </r>
  </si>
  <si>
    <r>
      <t>Resonance Frequency, v (</t>
    </r>
    <r>
      <rPr>
        <sz val="12"/>
        <color theme="1"/>
        <rFont val="Times New Roman"/>
        <family val="1"/>
      </rPr>
      <t>±</t>
    </r>
    <r>
      <rPr>
        <sz val="12"/>
        <color theme="1"/>
        <rFont val="Times New Roman"/>
        <family val="2"/>
      </rPr>
      <t xml:space="preserve">0.000058 </t>
    </r>
    <r>
      <rPr>
        <sz val="12"/>
        <color theme="1"/>
        <rFont val="Times New Roman"/>
        <family val="2"/>
      </rPr>
      <t>MHz)</t>
    </r>
  </si>
  <si>
    <r>
      <t>Current, I (</t>
    </r>
    <r>
      <rPr>
        <sz val="12"/>
        <color theme="1"/>
        <rFont val="Times New Roman"/>
        <family val="1"/>
      </rPr>
      <t>±</t>
    </r>
    <r>
      <rPr>
        <sz val="12"/>
        <color theme="1"/>
        <rFont val="Times New Roman"/>
        <family val="2"/>
      </rPr>
      <t>0.00058A)</t>
    </r>
  </si>
  <si>
    <t>Frequency (±0.000058 MHz)</t>
  </si>
  <si>
    <t>Voltage (±0.0058V)</t>
  </si>
  <si>
    <t>Current (±0.00058A)</t>
  </si>
  <si>
    <t>g =</t>
  </si>
  <si>
    <t>X</t>
  </si>
  <si>
    <t>Y</t>
  </si>
  <si>
    <t>DATA</t>
  </si>
  <si>
    <t>Mean-Flux Density</t>
  </si>
  <si>
    <t>Δф</t>
  </si>
  <si>
    <t>(▫)</t>
  </si>
  <si>
    <t>σ</t>
  </si>
  <si>
    <r>
      <t>1/σ</t>
    </r>
    <r>
      <rPr>
        <vertAlign val="superscript"/>
        <sz val="12"/>
        <color theme="1"/>
        <rFont val="Times New Roman"/>
        <family val="1"/>
      </rPr>
      <t>2</t>
    </r>
  </si>
  <si>
    <r>
      <t>x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/σ</t>
    </r>
    <r>
      <rPr>
        <vertAlign val="superscript"/>
        <sz val="12"/>
        <color theme="1"/>
        <rFont val="Times New Roman"/>
        <family val="1"/>
      </rPr>
      <t>2</t>
    </r>
  </si>
  <si>
    <r>
      <t>x</t>
    </r>
    <r>
      <rPr>
        <vertAlign val="subscript"/>
        <sz val="12"/>
        <color theme="1"/>
        <rFont val="Times New Roman"/>
        <family val="1"/>
      </rPr>
      <t>i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/σ</t>
    </r>
    <r>
      <rPr>
        <vertAlign val="superscript"/>
        <sz val="12"/>
        <color theme="1"/>
        <rFont val="Times New Roman"/>
        <family val="1"/>
      </rPr>
      <t>2</t>
    </r>
  </si>
  <si>
    <r>
      <t>y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/σ</t>
    </r>
    <r>
      <rPr>
        <vertAlign val="superscript"/>
        <sz val="12"/>
        <color theme="1"/>
        <rFont val="Times New Roman"/>
        <family val="1"/>
      </rPr>
      <t>2</t>
    </r>
  </si>
  <si>
    <r>
      <t>y</t>
    </r>
    <r>
      <rPr>
        <vertAlign val="subscript"/>
        <sz val="12"/>
        <color theme="1"/>
        <rFont val="Times New Roman"/>
        <family val="1"/>
      </rPr>
      <t>i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/σ</t>
    </r>
    <r>
      <rPr>
        <vertAlign val="superscript"/>
        <sz val="12"/>
        <color theme="1"/>
        <rFont val="Times New Roman"/>
        <family val="1"/>
      </rPr>
      <t>2</t>
    </r>
  </si>
  <si>
    <r>
      <t>x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y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/σ</t>
    </r>
    <r>
      <rPr>
        <vertAlign val="superscript"/>
        <sz val="12"/>
        <color theme="1"/>
        <rFont val="Times New Roman"/>
        <family val="1"/>
      </rPr>
      <t>2</t>
    </r>
  </si>
  <si>
    <t>Δ</t>
  </si>
  <si>
    <t>1/Δ</t>
  </si>
  <si>
    <t>ŷ</t>
  </si>
  <si>
    <r>
      <t>(y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-ȳ)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/σ</t>
    </r>
    <r>
      <rPr>
        <vertAlign val="superscript"/>
        <sz val="12"/>
        <color theme="1"/>
        <rFont val="Times New Roman"/>
        <family val="1"/>
      </rPr>
      <t>2</t>
    </r>
  </si>
  <si>
    <r>
      <t>(y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-ŷ)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/σ</t>
    </r>
    <r>
      <rPr>
        <vertAlign val="superscript"/>
        <sz val="12"/>
        <color theme="1"/>
        <rFont val="Times New Roman"/>
        <family val="1"/>
      </rPr>
      <t>2</t>
    </r>
  </si>
  <si>
    <t>Mean of data y:</t>
  </si>
  <si>
    <t>ȳ=</t>
  </si>
  <si>
    <t>(mT)</t>
  </si>
  <si>
    <t>#1</t>
  </si>
  <si>
    <t>Gradient of best fit line:</t>
  </si>
  <si>
    <t>m=</t>
  </si>
  <si>
    <t>#2</t>
  </si>
  <si>
    <t>#3</t>
  </si>
  <si>
    <t>Standard uncertainty of m:</t>
  </si>
  <si>
    <r>
      <t>u</t>
    </r>
    <r>
      <rPr>
        <vertAlign val="sub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>=</t>
    </r>
  </si>
  <si>
    <t>#4</t>
  </si>
  <si>
    <t>#5</t>
  </si>
  <si>
    <t>y-intercept of best line:</t>
  </si>
  <si>
    <t>c=</t>
  </si>
  <si>
    <t>#6</t>
  </si>
  <si>
    <t>SUM</t>
  </si>
  <si>
    <t>Standard uncertainty of c</t>
  </si>
  <si>
    <r>
      <t>u</t>
    </r>
    <r>
      <rPr>
        <vertAlign val="subscript"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1"/>
      </rPr>
      <t>=</t>
    </r>
  </si>
  <si>
    <t>Number of data:</t>
  </si>
  <si>
    <t>Coefficient of determination:</t>
  </si>
  <si>
    <r>
      <t>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=</t>
    </r>
  </si>
  <si>
    <t>g=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</si>
</sst>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0"/>
    <numFmt numFmtId="166" formatCode="0.00000"/>
    <numFmt numFmtId="167" formatCode="0.000"/>
  </numFmts>
  <fonts count="5" x14ac:knownFonts="1">
    <font>
      <sz val="12"/>
      <color theme="1"/>
      <name val="Times New Roman"/>
      <family val="2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7" fontId="0" fillId="0" borderId="1" xfId="0" applyNumberFormat="1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noFill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1156177325341664"/>
                  <c:y val="5.0334782055245407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fixedVal"/>
            <c:noEndCap val="0"/>
            <c:val val="5.8000000000000027E-5"/>
          </c:errBars>
          <c:xVal>
            <c:numRef>
              <c:f>Sheet1!$B$11:$B$18</c:f>
              <c:numCache>
                <c:formatCode>0.000</c:formatCode>
                <c:ptCount val="8"/>
                <c:pt idx="0">
                  <c:v>450.1</c:v>
                </c:pt>
                <c:pt idx="1">
                  <c:v>451</c:v>
                </c:pt>
                <c:pt idx="2">
                  <c:v>452.1</c:v>
                </c:pt>
                <c:pt idx="3">
                  <c:v>453.1</c:v>
                </c:pt>
                <c:pt idx="4">
                  <c:v>454.1</c:v>
                </c:pt>
                <c:pt idx="5">
                  <c:v>455.2</c:v>
                </c:pt>
                <c:pt idx="6">
                  <c:v>456.1</c:v>
                </c:pt>
                <c:pt idx="7">
                  <c:v>457.2</c:v>
                </c:pt>
              </c:numCache>
            </c:numRef>
          </c:xVal>
          <c:yVal>
            <c:numRef>
              <c:f>Sheet1!$C$11:$C$18</c:f>
              <c:numCache>
                <c:formatCode>0.000000</c:formatCode>
                <c:ptCount val="8"/>
                <c:pt idx="0">
                  <c:v>18.416399999999999</c:v>
                </c:pt>
                <c:pt idx="1">
                  <c:v>18.454000000000001</c:v>
                </c:pt>
                <c:pt idx="2">
                  <c:v>18.472300000000001</c:v>
                </c:pt>
                <c:pt idx="3">
                  <c:v>18.5046</c:v>
                </c:pt>
                <c:pt idx="4">
                  <c:v>18.538399999999999</c:v>
                </c:pt>
                <c:pt idx="5">
                  <c:v>18.5656</c:v>
                </c:pt>
                <c:pt idx="6">
                  <c:v>18.596499999999999</c:v>
                </c:pt>
                <c:pt idx="7">
                  <c:v>18.628499999999999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12320"/>
        <c:axId val="207943168"/>
      </c:scatterChart>
      <c:valAx>
        <c:axId val="20791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Magnetic Flux, B</a:t>
                </a:r>
                <a:r>
                  <a:rPr lang="en-US" baseline="-25000"/>
                  <a:t>0 </a:t>
                </a:r>
                <a:r>
                  <a:rPr lang="en-US" baseline="0"/>
                  <a:t>(mT)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07943168"/>
        <c:crosses val="autoZero"/>
        <c:crossBetween val="midCat"/>
      </c:valAx>
      <c:valAx>
        <c:axId val="2079431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Resonance</a:t>
                </a:r>
                <a:r>
                  <a:rPr lang="en-US" baseline="0"/>
                  <a:t> Frequency, v (MHz)</a:t>
                </a:r>
                <a:endParaRPr lang="en-US"/>
              </a:p>
            </c:rich>
          </c:tx>
          <c:overlay val="0"/>
        </c:title>
        <c:numFmt formatCode="0.000000" sourceLinked="1"/>
        <c:majorTickMark val="out"/>
        <c:minorTickMark val="none"/>
        <c:tickLblPos val="nextTo"/>
        <c:crossAx val="207912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noFill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7.4404408236697417E-2"/>
                  <c:y val="1.9506752999838575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fixedVal"/>
            <c:noEndCap val="0"/>
            <c:val val="5.8000000000000027E-5"/>
          </c:errBars>
          <c:xVal>
            <c:numRef>
              <c:f>Sheet1!$B$36:$B$43</c:f>
              <c:numCache>
                <c:formatCode>0.000</c:formatCode>
                <c:ptCount val="8"/>
                <c:pt idx="0">
                  <c:v>399.1</c:v>
                </c:pt>
                <c:pt idx="1">
                  <c:v>401.1</c:v>
                </c:pt>
                <c:pt idx="2">
                  <c:v>402.2</c:v>
                </c:pt>
                <c:pt idx="3">
                  <c:v>403.2</c:v>
                </c:pt>
                <c:pt idx="4">
                  <c:v>404.1</c:v>
                </c:pt>
                <c:pt idx="5">
                  <c:v>405.1</c:v>
                </c:pt>
                <c:pt idx="6">
                  <c:v>406.1</c:v>
                </c:pt>
                <c:pt idx="7">
                  <c:v>407.2</c:v>
                </c:pt>
              </c:numCache>
            </c:numRef>
          </c:xVal>
          <c:yVal>
            <c:numRef>
              <c:f>Sheet1!$C$36:$C$43</c:f>
              <c:numCache>
                <c:formatCode>0.000000</c:formatCode>
                <c:ptCount val="8"/>
                <c:pt idx="0">
                  <c:v>17.317</c:v>
                </c:pt>
                <c:pt idx="1">
                  <c:v>17.343599999999999</c:v>
                </c:pt>
                <c:pt idx="2">
                  <c:v>17.3672</c:v>
                </c:pt>
                <c:pt idx="3">
                  <c:v>17.395600000000002</c:v>
                </c:pt>
                <c:pt idx="4">
                  <c:v>17.428599999999999</c:v>
                </c:pt>
                <c:pt idx="5">
                  <c:v>17.45</c:v>
                </c:pt>
                <c:pt idx="6">
                  <c:v>17.478200000000001</c:v>
                </c:pt>
                <c:pt idx="7">
                  <c:v>17.511299999999999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8288"/>
        <c:axId val="207794560"/>
      </c:scatterChart>
      <c:valAx>
        <c:axId val="20778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Magnetic Flux, B</a:t>
                </a:r>
                <a:r>
                  <a:rPr lang="en-US" baseline="-25000"/>
                  <a:t>0 </a:t>
                </a:r>
                <a:r>
                  <a:rPr lang="en-US" baseline="0"/>
                  <a:t>(mT)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07794560"/>
        <c:crosses val="autoZero"/>
        <c:crossBetween val="midCat"/>
      </c:valAx>
      <c:valAx>
        <c:axId val="2077945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Resonance</a:t>
                </a:r>
                <a:r>
                  <a:rPr lang="en-US" baseline="0"/>
                  <a:t> Frequency, v (MHz)</a:t>
                </a:r>
                <a:endParaRPr lang="en-US"/>
              </a:p>
            </c:rich>
          </c:tx>
          <c:layout/>
          <c:overlay val="0"/>
        </c:title>
        <c:numFmt formatCode="0.000000" sourceLinked="1"/>
        <c:majorTickMark val="out"/>
        <c:minorTickMark val="none"/>
        <c:tickLblPos val="nextTo"/>
        <c:crossAx val="207788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Sheet1!$H$11:$H$18</c:f>
              <c:numCache>
                <c:formatCode>General</c:formatCode>
                <c:ptCount val="8"/>
                <c:pt idx="0">
                  <c:v>358</c:v>
                </c:pt>
                <c:pt idx="1">
                  <c:v>369</c:v>
                </c:pt>
                <c:pt idx="2">
                  <c:v>384</c:v>
                </c:pt>
                <c:pt idx="3">
                  <c:v>396</c:v>
                </c:pt>
                <c:pt idx="4">
                  <c:v>409</c:v>
                </c:pt>
                <c:pt idx="5">
                  <c:v>420</c:v>
                </c:pt>
                <c:pt idx="6">
                  <c:v>433</c:v>
                </c:pt>
                <c:pt idx="7">
                  <c:v>442</c:v>
                </c:pt>
              </c:numCache>
            </c:numRef>
          </c:xVal>
          <c:yVal>
            <c:numRef>
              <c:f>Sheet1!$I$11:$I$18</c:f>
              <c:numCache>
                <c:formatCode>General</c:formatCode>
                <c:ptCount val="8"/>
                <c:pt idx="0">
                  <c:v>16.010000000000002</c:v>
                </c:pt>
                <c:pt idx="1">
                  <c:v>16.5</c:v>
                </c:pt>
                <c:pt idx="2">
                  <c:v>17.02</c:v>
                </c:pt>
                <c:pt idx="3">
                  <c:v>17.510000000000002</c:v>
                </c:pt>
                <c:pt idx="4">
                  <c:v>18.010000000000002</c:v>
                </c:pt>
                <c:pt idx="5">
                  <c:v>18.5</c:v>
                </c:pt>
                <c:pt idx="6">
                  <c:v>19.010000000000002</c:v>
                </c:pt>
                <c:pt idx="7">
                  <c:v>19.47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64000"/>
        <c:axId val="208865536"/>
      </c:scatterChart>
      <c:valAx>
        <c:axId val="20886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65536"/>
        <c:crosses val="autoZero"/>
        <c:crossBetween val="midCat"/>
      </c:valAx>
      <c:valAx>
        <c:axId val="20886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64000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Sheet1!$H$36:$H$43</c:f>
              <c:numCache>
                <c:formatCode>General</c:formatCode>
                <c:ptCount val="8"/>
                <c:pt idx="0">
                  <c:v>372</c:v>
                </c:pt>
                <c:pt idx="1">
                  <c:v>386</c:v>
                </c:pt>
                <c:pt idx="2">
                  <c:v>396</c:v>
                </c:pt>
                <c:pt idx="3">
                  <c:v>409</c:v>
                </c:pt>
                <c:pt idx="4">
                  <c:v>422</c:v>
                </c:pt>
                <c:pt idx="5">
                  <c:v>434</c:v>
                </c:pt>
                <c:pt idx="6">
                  <c:v>445</c:v>
                </c:pt>
                <c:pt idx="7">
                  <c:v>459</c:v>
                </c:pt>
              </c:numCache>
            </c:numRef>
          </c:xVal>
          <c:yVal>
            <c:numRef>
              <c:f>Sheet1!$I$36:$I$43</c:f>
              <c:numCache>
                <c:formatCode>General</c:formatCode>
                <c:ptCount val="8"/>
                <c:pt idx="0">
                  <c:v>16</c:v>
                </c:pt>
                <c:pt idx="1">
                  <c:v>16.5</c:v>
                </c:pt>
                <c:pt idx="2">
                  <c:v>17.010000000000002</c:v>
                </c:pt>
                <c:pt idx="3">
                  <c:v>17.5</c:v>
                </c:pt>
                <c:pt idx="4">
                  <c:v>18.010000000000002</c:v>
                </c:pt>
                <c:pt idx="5">
                  <c:v>19.010000000000002</c:v>
                </c:pt>
                <c:pt idx="6">
                  <c:v>19</c:v>
                </c:pt>
                <c:pt idx="7">
                  <c:v>19.48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6768"/>
        <c:axId val="208898304"/>
      </c:scatterChart>
      <c:valAx>
        <c:axId val="20889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98304"/>
        <c:crosses val="autoZero"/>
        <c:crossBetween val="midCat"/>
      </c:valAx>
      <c:valAx>
        <c:axId val="20889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96768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19</xdr:row>
      <xdr:rowOff>6350</xdr:rowOff>
    </xdr:from>
    <xdr:to>
      <xdr:col>4</xdr:col>
      <xdr:colOff>1358899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4</xdr:col>
      <xdr:colOff>1349375</xdr:colOff>
      <xdr:row>57</xdr:row>
      <xdr:rowOff>193221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4535</xdr:colOff>
      <xdr:row>10</xdr:row>
      <xdr:rowOff>7257</xdr:rowOff>
    </xdr:from>
    <xdr:to>
      <xdr:col>16</xdr:col>
      <xdr:colOff>603250</xdr:colOff>
      <xdr:row>23</xdr:row>
      <xdr:rowOff>156029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16</xdr:col>
      <xdr:colOff>598715</xdr:colOff>
      <xdr:row>48</xdr:row>
      <xdr:rowOff>148772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4"/>
  <sheetViews>
    <sheetView tabSelected="1" topLeftCell="A40" zoomScale="115" zoomScaleNormal="115" workbookViewId="0">
      <selection activeCell="G50" sqref="G50"/>
    </sheetView>
  </sheetViews>
  <sheetFormatPr defaultRowHeight="15.5" x14ac:dyDescent="0.35"/>
  <cols>
    <col min="2" max="2" width="26.25" bestFit="1" customWidth="1"/>
    <col min="3" max="3" width="35.9140625" bestFit="1" customWidth="1"/>
    <col min="4" max="4" width="19.58203125" bestFit="1" customWidth="1"/>
    <col min="5" max="5" width="17.9140625" bestFit="1" customWidth="1"/>
    <col min="6" max="6" width="12.1640625" customWidth="1"/>
    <col min="9" max="9" width="13.08203125" bestFit="1" customWidth="1"/>
  </cols>
  <sheetData>
    <row r="1" spans="1:18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5">
      <c r="A2" s="1"/>
      <c r="B2" s="7" t="s">
        <v>0</v>
      </c>
      <c r="C2" s="7" t="s">
        <v>10</v>
      </c>
      <c r="D2" s="7" t="s">
        <v>11</v>
      </c>
      <c r="E2" s="7" t="s">
        <v>12</v>
      </c>
      <c r="F2" s="1">
        <f>0.0001/SQRT(3)</f>
        <v>5.7735026918962585E-5</v>
      </c>
      <c r="G2" s="1">
        <f>0.01/SQRT(3)</f>
        <v>5.773502691896258E-3</v>
      </c>
      <c r="H2" s="1">
        <f>0.001/SQRT(3)</f>
        <v>5.773502691896258E-4</v>
      </c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5">
      <c r="A3" s="1"/>
      <c r="B3" s="2" t="s">
        <v>1</v>
      </c>
      <c r="C3" s="4">
        <v>18.420400000000001</v>
      </c>
      <c r="D3" s="17">
        <f>18.25</f>
        <v>18.25</v>
      </c>
      <c r="E3" s="18">
        <f>3.306</f>
        <v>3.306</v>
      </c>
      <c r="F3" s="1">
        <v>5.8E-5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5">
      <c r="A4" s="1"/>
      <c r="B4" s="2" t="s">
        <v>2</v>
      </c>
      <c r="C4" s="4">
        <v>18.420300000000001</v>
      </c>
      <c r="D4" s="17"/>
      <c r="E4" s="1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5">
      <c r="A5" s="1"/>
      <c r="B5" s="2" t="s">
        <v>3</v>
      </c>
      <c r="C5" s="4">
        <v>18.419599999999999</v>
      </c>
      <c r="D5" s="17"/>
      <c r="E5" s="1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5">
      <c r="A6" s="1"/>
      <c r="B6" s="2" t="s">
        <v>4</v>
      </c>
      <c r="C6" s="4">
        <v>17.3337</v>
      </c>
      <c r="D6" s="17"/>
      <c r="E6" s="1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5">
      <c r="A7" s="1"/>
      <c r="B7" s="2" t="s">
        <v>5</v>
      </c>
      <c r="C7" s="4">
        <v>18.419</v>
      </c>
      <c r="D7" s="17"/>
      <c r="E7" s="1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35">
      <c r="A8" s="1"/>
      <c r="B8" s="2" t="s">
        <v>6</v>
      </c>
      <c r="C8" s="4">
        <v>18.419499999999999</v>
      </c>
      <c r="D8" s="17"/>
      <c r="E8" s="18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7.5" x14ac:dyDescent="0.35">
      <c r="A10" s="1"/>
      <c r="B10" s="3" t="s">
        <v>7</v>
      </c>
      <c r="C10" s="3" t="s">
        <v>8</v>
      </c>
      <c r="D10" s="3" t="s">
        <v>9</v>
      </c>
      <c r="E10" s="1"/>
      <c r="F10" s="1">
        <f>0.1/SQRT(3)</f>
        <v>5.7735026918962581E-2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35">
      <c r="A11" s="1"/>
      <c r="B11" s="5">
        <v>450.1</v>
      </c>
      <c r="C11" s="4">
        <f>18.4164</f>
        <v>18.416399999999999</v>
      </c>
      <c r="D11" s="6">
        <v>3.3</v>
      </c>
      <c r="E11" s="1">
        <f>(C11/B11)*(6.626E-34/5.051E-27)</f>
        <v>5.3674720208901412E-9</v>
      </c>
      <c r="F11" s="1">
        <f>(C11/$I$20)*(6.626E-34/5.051E-27)</f>
        <v>454.72592592592594</v>
      </c>
      <c r="G11" s="1"/>
      <c r="H11" s="1">
        <v>358</v>
      </c>
      <c r="I11" s="1">
        <v>16.010000000000002</v>
      </c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35">
      <c r="A12" s="1"/>
      <c r="B12" s="5">
        <v>451</v>
      </c>
      <c r="C12" s="4">
        <f>18.454</f>
        <v>18.454000000000001</v>
      </c>
      <c r="D12" s="6">
        <f>D11+0.01</f>
        <v>3.3099999999999996</v>
      </c>
      <c r="E12" s="1">
        <f t="shared" ref="E12:E18" si="0">(C12/B12)*(6.626E-34/5.051E-27)</f>
        <v>5.3676975558834264E-9</v>
      </c>
      <c r="F12" s="1">
        <f t="shared" ref="F12:F18" si="1">(C12/$I$20)*(6.626E-34/5.051E-27)</f>
        <v>455.65432098765433</v>
      </c>
      <c r="G12" s="1"/>
      <c r="H12" s="1">
        <v>369</v>
      </c>
      <c r="I12" s="1">
        <v>16.5</v>
      </c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35">
      <c r="A13" s="1"/>
      <c r="B13" s="5">
        <v>452.1</v>
      </c>
      <c r="C13" s="4">
        <f>18.4723</f>
        <v>18.472300000000001</v>
      </c>
      <c r="D13" s="6">
        <f t="shared" ref="D13:D18" si="2">D12+0.01</f>
        <v>3.3199999999999994</v>
      </c>
      <c r="E13" s="1">
        <f t="shared" si="0"/>
        <v>5.3599474171239244E-9</v>
      </c>
      <c r="F13" s="1">
        <f t="shared" si="1"/>
        <v>456.1061728395062</v>
      </c>
      <c r="G13" s="1"/>
      <c r="H13" s="1">
        <v>384</v>
      </c>
      <c r="I13" s="1">
        <v>17.02</v>
      </c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35">
      <c r="A14" s="1"/>
      <c r="B14" s="5">
        <v>453.1</v>
      </c>
      <c r="C14" s="4">
        <f>18.5046</f>
        <v>18.5046</v>
      </c>
      <c r="D14" s="6">
        <f t="shared" si="2"/>
        <v>3.3299999999999992</v>
      </c>
      <c r="E14" s="1">
        <f t="shared" si="0"/>
        <v>5.3574694417973953E-9</v>
      </c>
      <c r="F14" s="1">
        <f t="shared" si="1"/>
        <v>456.90370370370374</v>
      </c>
      <c r="G14" s="1"/>
      <c r="H14" s="1">
        <v>396</v>
      </c>
      <c r="I14" s="1">
        <v>17.510000000000002</v>
      </c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35">
      <c r="A15" s="1"/>
      <c r="B15" s="5">
        <v>454.1</v>
      </c>
      <c r="C15" s="4">
        <f>18.5384</f>
        <v>18.538399999999999</v>
      </c>
      <c r="D15" s="6">
        <f t="shared" si="2"/>
        <v>3.339999999999999</v>
      </c>
      <c r="E15" s="1">
        <f t="shared" si="0"/>
        <v>5.3554357053321474E-9</v>
      </c>
      <c r="F15" s="1">
        <f t="shared" si="1"/>
        <v>457.73827160493829</v>
      </c>
      <c r="G15" s="1"/>
      <c r="H15" s="1">
        <v>409</v>
      </c>
      <c r="I15" s="1">
        <v>18.010000000000002</v>
      </c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35">
      <c r="A16" s="1"/>
      <c r="B16" s="5">
        <v>455.2</v>
      </c>
      <c r="C16" s="4">
        <f>18.5656</f>
        <v>18.5656</v>
      </c>
      <c r="D16" s="6">
        <f t="shared" si="2"/>
        <v>3.3499999999999988</v>
      </c>
      <c r="E16" s="1">
        <f t="shared" si="0"/>
        <v>5.3503328266097056E-9</v>
      </c>
      <c r="F16" s="1">
        <f t="shared" si="1"/>
        <v>458.40987654320992</v>
      </c>
      <c r="G16" s="1"/>
      <c r="H16" s="1">
        <v>420</v>
      </c>
      <c r="I16" s="1">
        <v>18.5</v>
      </c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35">
      <c r="A17" s="1"/>
      <c r="B17" s="5">
        <v>456.1</v>
      </c>
      <c r="C17" s="4">
        <f>18.5965</f>
        <v>18.596499999999999</v>
      </c>
      <c r="D17" s="6">
        <f t="shared" si="2"/>
        <v>3.3599999999999985</v>
      </c>
      <c r="E17" s="1">
        <f t="shared" si="0"/>
        <v>5.3486626282560278E-9</v>
      </c>
      <c r="F17" s="1">
        <f t="shared" si="1"/>
        <v>459.17283950617286</v>
      </c>
      <c r="G17" s="1"/>
      <c r="H17" s="1">
        <v>433</v>
      </c>
      <c r="I17" s="1">
        <v>19.010000000000002</v>
      </c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35">
      <c r="A18" s="1"/>
      <c r="B18" s="5">
        <v>457.2</v>
      </c>
      <c r="C18" s="4">
        <f>18.6285</f>
        <v>18.628499999999999</v>
      </c>
      <c r="D18" s="6">
        <f t="shared" si="2"/>
        <v>3.3699999999999983</v>
      </c>
      <c r="E18" s="1">
        <f t="shared" si="0"/>
        <v>5.34497560577646E-9</v>
      </c>
      <c r="F18" s="1">
        <f t="shared" si="1"/>
        <v>459.96296296296293</v>
      </c>
      <c r="G18" s="1"/>
      <c r="H18" s="1">
        <v>442</v>
      </c>
      <c r="I18" s="1">
        <v>19.47</v>
      </c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5">
      <c r="A20" s="1"/>
      <c r="B20" s="1"/>
      <c r="C20" s="1"/>
      <c r="D20" s="1"/>
      <c r="E20" s="1"/>
      <c r="F20" s="1"/>
      <c r="G20" s="1"/>
      <c r="H20" s="1" t="s">
        <v>13</v>
      </c>
      <c r="I20" s="1">
        <f>0.0405*(6.626E-34/5.051E-27)</f>
        <v>5.312868738863591E-9</v>
      </c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35">
      <c r="A22" s="1"/>
      <c r="B22" s="1"/>
      <c r="C22" s="1"/>
      <c r="D22" s="1"/>
      <c r="E22" s="1"/>
      <c r="F22" s="1"/>
      <c r="G22" s="1">
        <f>((I20-I22)/I20)*100</f>
        <v>-0.82122133050090851</v>
      </c>
      <c r="H22" s="1"/>
      <c r="I22" s="1">
        <f>AVERAGE(E11:E18)</f>
        <v>5.3564991502086534E-9</v>
      </c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35">
      <c r="A24" s="1"/>
      <c r="B24" s="1"/>
      <c r="C24" s="1"/>
      <c r="D24" s="1"/>
      <c r="E24" s="1"/>
      <c r="F24" s="1"/>
      <c r="G24" s="1"/>
      <c r="H24" s="1"/>
      <c r="I24" s="1">
        <f>Sheet2!U7*(6.626E-34/5.051E-27)</f>
        <v>1.5724267829871257E-12</v>
      </c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5">
      <c r="A26" s="1"/>
      <c r="B26" s="1"/>
      <c r="C26" s="1"/>
      <c r="D26" s="1"/>
      <c r="E26" s="1"/>
      <c r="F26" s="1"/>
      <c r="G26" s="1"/>
      <c r="H26" s="1"/>
      <c r="I26" s="1">
        <f>I24*1000</f>
        <v>1.5724267829871256E-9</v>
      </c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7.5" x14ac:dyDescent="0.35">
      <c r="A35" s="1"/>
      <c r="B35" s="3" t="s">
        <v>7</v>
      </c>
      <c r="C35" s="3" t="s">
        <v>8</v>
      </c>
      <c r="D35" s="3" t="s">
        <v>9</v>
      </c>
      <c r="E35" s="1"/>
      <c r="F35" s="1">
        <f>0.1/SQRT(3)</f>
        <v>5.7735026918962581E-2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35">
      <c r="A36" s="1"/>
      <c r="B36" s="5">
        <f>399.1</f>
        <v>399.1</v>
      </c>
      <c r="C36" s="4">
        <f>17.317</f>
        <v>17.317</v>
      </c>
      <c r="D36" s="6">
        <v>3.3</v>
      </c>
      <c r="E36" s="1">
        <f>(C36/B36)*(6.626E-34/5.051E-27)</f>
        <v>5.6920013209289303E-9</v>
      </c>
      <c r="F36" s="1">
        <f>(C36/$I$45)*(6.626E-34/5.051E-27)</f>
        <v>412.3095238095238</v>
      </c>
      <c r="G36" s="1"/>
      <c r="H36" s="1">
        <v>372</v>
      </c>
      <c r="I36" s="1">
        <v>16</v>
      </c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35">
      <c r="A37" s="1"/>
      <c r="B37" s="5">
        <v>401.1</v>
      </c>
      <c r="C37" s="4">
        <f>17.3436</f>
        <v>17.343599999999999</v>
      </c>
      <c r="D37" s="6">
        <f>D36+0.01</f>
        <v>3.3099999999999996</v>
      </c>
      <c r="E37" s="1">
        <f t="shared" ref="E37:E43" si="3">(C37/B37)*(6.626E-34/5.051E-27)</f>
        <v>5.6723190398844267E-9</v>
      </c>
      <c r="F37" s="1">
        <f t="shared" ref="F37:F43" si="4">(C37/$I$45)*(6.626E-34/5.051E-27)</f>
        <v>412.94285714285706</v>
      </c>
      <c r="G37" s="1"/>
      <c r="H37" s="1">
        <v>386</v>
      </c>
      <c r="I37" s="1">
        <v>16.5</v>
      </c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35">
      <c r="A38" s="1"/>
      <c r="B38" s="5">
        <v>402.2</v>
      </c>
      <c r="C38" s="4">
        <f>17.3672</f>
        <v>17.3672</v>
      </c>
      <c r="D38" s="6">
        <f t="shared" ref="D38:D43" si="5">D37+0.01</f>
        <v>3.3199999999999994</v>
      </c>
      <c r="E38" s="1">
        <f t="shared" si="3"/>
        <v>5.6645028860766876E-9</v>
      </c>
      <c r="F38" s="1">
        <f t="shared" si="4"/>
        <v>413.50476190476189</v>
      </c>
      <c r="G38" s="1"/>
      <c r="H38" s="1">
        <v>396</v>
      </c>
      <c r="I38" s="1">
        <v>17.010000000000002</v>
      </c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35">
      <c r="A39" s="1"/>
      <c r="B39" s="5">
        <v>403.2</v>
      </c>
      <c r="C39" s="4">
        <f>17.3956</f>
        <v>17.395600000000002</v>
      </c>
      <c r="D39" s="6">
        <f t="shared" si="5"/>
        <v>3.3299999999999992</v>
      </c>
      <c r="E39" s="1">
        <f t="shared" si="3"/>
        <v>5.659694017843395E-9</v>
      </c>
      <c r="F39" s="1">
        <f t="shared" si="4"/>
        <v>414.18095238095236</v>
      </c>
      <c r="G39" s="1"/>
      <c r="H39" s="1">
        <v>409</v>
      </c>
      <c r="I39" s="1">
        <v>17.5</v>
      </c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35">
      <c r="A40" s="1"/>
      <c r="B40" s="5">
        <v>404.1</v>
      </c>
      <c r="C40" s="4">
        <f>17.4286</f>
        <v>17.428599999999999</v>
      </c>
      <c r="D40" s="6">
        <f t="shared" si="5"/>
        <v>3.339999999999999</v>
      </c>
      <c r="E40" s="1">
        <f t="shared" si="3"/>
        <v>5.6578016138382797E-9</v>
      </c>
      <c r="F40" s="1">
        <f t="shared" si="4"/>
        <v>414.96666666666658</v>
      </c>
      <c r="G40" s="1"/>
      <c r="H40" s="1">
        <v>422</v>
      </c>
      <c r="I40" s="1">
        <v>18.010000000000002</v>
      </c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35">
      <c r="A41" s="1"/>
      <c r="B41" s="5">
        <v>405.1</v>
      </c>
      <c r="C41" s="4">
        <f>17.45</f>
        <v>17.45</v>
      </c>
      <c r="D41" s="6">
        <f t="shared" si="5"/>
        <v>3.3499999999999988</v>
      </c>
      <c r="E41" s="1">
        <f t="shared" si="3"/>
        <v>5.650765059879722E-9</v>
      </c>
      <c r="F41" s="1">
        <f t="shared" si="4"/>
        <v>415.47619047619042</v>
      </c>
      <c r="G41" s="1"/>
      <c r="H41" s="1">
        <v>434</v>
      </c>
      <c r="I41" s="1">
        <v>19.010000000000002</v>
      </c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35">
      <c r="A42" s="1"/>
      <c r="B42" s="5">
        <v>406.1</v>
      </c>
      <c r="C42" s="4">
        <f>17.4782</f>
        <v>17.478200000000001</v>
      </c>
      <c r="D42" s="6">
        <f t="shared" si="5"/>
        <v>3.3599999999999985</v>
      </c>
      <c r="E42" s="1">
        <f t="shared" si="3"/>
        <v>5.6459597551904824E-9</v>
      </c>
      <c r="F42" s="1">
        <f t="shared" si="4"/>
        <v>416.14761904761906</v>
      </c>
      <c r="G42" s="1"/>
      <c r="H42" s="1">
        <v>445</v>
      </c>
      <c r="I42" s="1">
        <v>19</v>
      </c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35">
      <c r="A43" s="1"/>
      <c r="B43" s="5">
        <v>407.2</v>
      </c>
      <c r="C43" s="4">
        <f>17.5113</f>
        <v>17.511299999999999</v>
      </c>
      <c r="D43" s="6">
        <f t="shared" si="5"/>
        <v>3.3699999999999983</v>
      </c>
      <c r="E43" s="1">
        <f t="shared" si="3"/>
        <v>5.6413712645748131E-9</v>
      </c>
      <c r="F43" s="1">
        <f t="shared" si="4"/>
        <v>416.9357142857142</v>
      </c>
      <c r="G43" s="1"/>
      <c r="H43" s="1">
        <v>459</v>
      </c>
      <c r="I43" s="1">
        <v>19.48</v>
      </c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35">
      <c r="A45" s="1"/>
      <c r="B45" s="1"/>
      <c r="C45" s="1"/>
      <c r="D45" s="1"/>
      <c r="E45" s="1"/>
      <c r="F45" s="1"/>
      <c r="G45" s="1"/>
      <c r="H45" s="1" t="s">
        <v>53</v>
      </c>
      <c r="I45" s="1">
        <f>0.042*(6.626E-34/5.051E-27)</f>
        <v>5.5096416551177988E-9</v>
      </c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35">
      <c r="A47" s="1"/>
      <c r="B47" s="1"/>
      <c r="C47" s="1"/>
      <c r="D47" s="1"/>
      <c r="E47" s="1"/>
      <c r="F47" s="1"/>
      <c r="G47" s="1">
        <f>((I45-I47)/I45)*100</f>
        <v>-2.7390205045207452</v>
      </c>
      <c r="H47" s="1"/>
      <c r="I47" s="1">
        <f>AVERAGE(E36:E43)</f>
        <v>5.6605518697770915E-9</v>
      </c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35">
      <c r="A49" s="1"/>
      <c r="B49" s="1"/>
      <c r="C49" s="1"/>
      <c r="D49" s="1"/>
      <c r="E49" s="1"/>
      <c r="F49" s="1"/>
      <c r="G49" s="1"/>
      <c r="H49" s="1"/>
      <c r="I49" s="1">
        <f>Sheet2!U7*(6.626E-34/5.051E-27)</f>
        <v>1.5724267829871257E-12</v>
      </c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35">
      <c r="A51" s="1"/>
      <c r="B51" s="1"/>
      <c r="C51" s="1"/>
      <c r="D51" s="1"/>
      <c r="E51" s="1"/>
      <c r="F51" s="1"/>
      <c r="G51" s="1"/>
      <c r="H51" s="1"/>
      <c r="I51" s="1">
        <f>I49*1000</f>
        <v>1.5724267829871256E-9</v>
      </c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</sheetData>
  <mergeCells count="2">
    <mergeCell ref="D3:D8"/>
    <mergeCell ref="E3:E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3"/>
  <sheetViews>
    <sheetView topLeftCell="E1" workbookViewId="0">
      <selection activeCell="I13" sqref="I13"/>
    </sheetView>
  </sheetViews>
  <sheetFormatPr defaultRowHeight="15.5" x14ac:dyDescent="0.35"/>
  <sheetData>
    <row r="2" spans="2:21" x14ac:dyDescent="0.35">
      <c r="B2" s="8"/>
      <c r="C2" s="9" t="s">
        <v>14</v>
      </c>
      <c r="D2" s="10"/>
      <c r="E2" s="9" t="s">
        <v>15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2:21" x14ac:dyDescent="0.35">
      <c r="B3" s="21" t="s">
        <v>16</v>
      </c>
      <c r="C3" s="9" t="s">
        <v>17</v>
      </c>
      <c r="D3" s="9" t="s">
        <v>18</v>
      </c>
      <c r="E3" s="22" t="s">
        <v>19</v>
      </c>
      <c r="F3" s="19" t="s">
        <v>20</v>
      </c>
      <c r="G3" s="19" t="s">
        <v>21</v>
      </c>
      <c r="H3" s="19" t="s">
        <v>22</v>
      </c>
      <c r="I3" s="19" t="s">
        <v>23</v>
      </c>
      <c r="J3" s="19" t="s">
        <v>24</v>
      </c>
      <c r="K3" s="19" t="s">
        <v>25</v>
      </c>
      <c r="L3" s="19" t="s">
        <v>26</v>
      </c>
      <c r="M3" s="24" t="s">
        <v>27</v>
      </c>
      <c r="N3" s="24" t="s">
        <v>28</v>
      </c>
      <c r="O3" s="22" t="s">
        <v>29</v>
      </c>
      <c r="P3" s="19" t="s">
        <v>30</v>
      </c>
      <c r="Q3" s="19" t="s">
        <v>31</v>
      </c>
      <c r="R3" s="8"/>
      <c r="S3" s="11" t="s">
        <v>32</v>
      </c>
      <c r="T3" s="12" t="s">
        <v>33</v>
      </c>
      <c r="U3" s="8">
        <f>J11/G11</f>
        <v>17.383666666666667</v>
      </c>
    </row>
    <row r="4" spans="2:21" x14ac:dyDescent="0.35">
      <c r="B4" s="21"/>
      <c r="C4" s="9" t="s">
        <v>34</v>
      </c>
      <c r="D4" s="9" t="s">
        <v>19</v>
      </c>
      <c r="E4" s="23"/>
      <c r="F4" s="20"/>
      <c r="G4" s="20"/>
      <c r="H4" s="20"/>
      <c r="I4" s="20"/>
      <c r="J4" s="20"/>
      <c r="K4" s="20"/>
      <c r="L4" s="20"/>
      <c r="M4" s="25"/>
      <c r="N4" s="25"/>
      <c r="O4" s="23"/>
      <c r="P4" s="20"/>
      <c r="Q4" s="20"/>
      <c r="R4" s="8"/>
      <c r="S4" s="12"/>
      <c r="T4" s="12"/>
      <c r="U4" s="8"/>
    </row>
    <row r="5" spans="2:21" x14ac:dyDescent="0.35">
      <c r="B5" s="9" t="s">
        <v>35</v>
      </c>
      <c r="C5" s="5">
        <f>399.1</f>
        <v>399.1</v>
      </c>
      <c r="D5" s="4">
        <f>17.317</f>
        <v>17.317</v>
      </c>
      <c r="E5" s="13">
        <f t="shared" ref="E5:E10" si="0">D5</f>
        <v>17.317</v>
      </c>
      <c r="F5" s="9">
        <f t="shared" ref="F5:F10" si="1">0.000058</f>
        <v>5.8E-5</v>
      </c>
      <c r="G5" s="9">
        <f t="shared" ref="G5:G10" si="2">1/(F5^2)</f>
        <v>297265160.52318668</v>
      </c>
      <c r="H5" s="9">
        <f t="shared" ref="H5:H10" si="3">C5*G5</f>
        <v>118638525564.80382</v>
      </c>
      <c r="I5" s="9">
        <f t="shared" ref="I5:I10" si="4">(C5^2)*G5</f>
        <v>47348635552913.203</v>
      </c>
      <c r="J5" s="9">
        <f t="shared" ref="J5:J10" si="5">E5*G5</f>
        <v>5147740784.7800236</v>
      </c>
      <c r="K5" s="9">
        <f t="shared" ref="K5:K10" si="6">(E5^2)*G5</f>
        <v>89143427170.035675</v>
      </c>
      <c r="L5" s="9">
        <f t="shared" ref="L5:L10" si="7">C5*E5*G5</f>
        <v>2054463347205.7075</v>
      </c>
      <c r="M5" s="9"/>
      <c r="N5" s="9"/>
      <c r="O5" s="9">
        <f t="shared" ref="O5:O10" si="8">($U$6*C5)+$U$10</f>
        <v>0</v>
      </c>
      <c r="P5" s="13">
        <f t="shared" ref="P5:P10" si="9">((E5-$U$4)^2)*G5</f>
        <v>89143427170.035675</v>
      </c>
      <c r="Q5" s="13">
        <f t="shared" ref="Q5:Q10" si="10">((E5-O5)^2)*G5</f>
        <v>89143427170.035675</v>
      </c>
      <c r="R5" s="8"/>
      <c r="S5" s="11" t="s">
        <v>36</v>
      </c>
      <c r="T5" s="12" t="s">
        <v>37</v>
      </c>
      <c r="U5" s="8">
        <f>N11*((G11*L11)-(H11*J11))</f>
        <v>2.3081435079349972E-2</v>
      </c>
    </row>
    <row r="6" spans="2:21" x14ac:dyDescent="0.35">
      <c r="B6" s="9" t="s">
        <v>38</v>
      </c>
      <c r="C6" s="5">
        <v>401.1</v>
      </c>
      <c r="D6" s="4">
        <f>17.3436</f>
        <v>17.343599999999999</v>
      </c>
      <c r="E6" s="13">
        <f t="shared" si="0"/>
        <v>17.343599999999999</v>
      </c>
      <c r="F6" s="9">
        <f t="shared" si="1"/>
        <v>5.8E-5</v>
      </c>
      <c r="G6" s="9">
        <f t="shared" si="2"/>
        <v>297265160.52318668</v>
      </c>
      <c r="H6" s="9">
        <f t="shared" si="3"/>
        <v>119233055885.85019</v>
      </c>
      <c r="I6" s="9">
        <f t="shared" si="4"/>
        <v>47824378715814.516</v>
      </c>
      <c r="J6" s="9">
        <f t="shared" si="5"/>
        <v>5155648038.0499401</v>
      </c>
      <c r="K6" s="9">
        <f t="shared" si="6"/>
        <v>89417497312.722931</v>
      </c>
      <c r="L6" s="9">
        <f t="shared" si="7"/>
        <v>2067930428061.8313</v>
      </c>
      <c r="M6" s="9"/>
      <c r="N6" s="9"/>
      <c r="O6" s="9">
        <f t="shared" si="8"/>
        <v>0</v>
      </c>
      <c r="P6" s="13">
        <f t="shared" si="9"/>
        <v>89417497312.722931</v>
      </c>
      <c r="Q6" s="13">
        <f t="shared" si="10"/>
        <v>89417497312.722931</v>
      </c>
      <c r="R6" s="8"/>
      <c r="S6" s="11"/>
      <c r="T6" s="12"/>
      <c r="U6" s="8"/>
    </row>
    <row r="7" spans="2:21" ht="17.5" x14ac:dyDescent="0.35">
      <c r="B7" s="9" t="s">
        <v>39</v>
      </c>
      <c r="C7" s="5">
        <v>402.2</v>
      </c>
      <c r="D7" s="4">
        <f>17.3672</f>
        <v>17.3672</v>
      </c>
      <c r="E7" s="13">
        <f t="shared" si="0"/>
        <v>17.3672</v>
      </c>
      <c r="F7" s="9">
        <f t="shared" si="1"/>
        <v>5.8E-5</v>
      </c>
      <c r="G7" s="9">
        <f t="shared" si="2"/>
        <v>297265160.52318668</v>
      </c>
      <c r="H7" s="9">
        <f t="shared" si="3"/>
        <v>119560047562.42567</v>
      </c>
      <c r="I7" s="9">
        <f t="shared" si="4"/>
        <v>48087051129607.609</v>
      </c>
      <c r="J7" s="9">
        <f t="shared" si="5"/>
        <v>5162663495.8382883</v>
      </c>
      <c r="K7" s="9">
        <f t="shared" si="6"/>
        <v>89661009464.922714</v>
      </c>
      <c r="L7" s="9">
        <f t="shared" si="7"/>
        <v>2076423258026.1594</v>
      </c>
      <c r="M7" s="9"/>
      <c r="N7" s="9"/>
      <c r="O7" s="9">
        <f t="shared" si="8"/>
        <v>0</v>
      </c>
      <c r="P7" s="13">
        <f t="shared" si="9"/>
        <v>89661009464.922714</v>
      </c>
      <c r="Q7" s="13">
        <f t="shared" si="10"/>
        <v>89661009464.922714</v>
      </c>
      <c r="R7" s="8"/>
      <c r="S7" s="11" t="s">
        <v>40</v>
      </c>
      <c r="T7" s="12" t="s">
        <v>41</v>
      </c>
      <c r="U7" s="8">
        <f>SQRT(N11*G11)</f>
        <v>1.1986609841334097E-5</v>
      </c>
    </row>
    <row r="8" spans="2:21" x14ac:dyDescent="0.35">
      <c r="B8" s="14" t="s">
        <v>42</v>
      </c>
      <c r="C8" s="5">
        <v>403.2</v>
      </c>
      <c r="D8" s="4">
        <f>17.3956</f>
        <v>17.395600000000002</v>
      </c>
      <c r="E8" s="13">
        <f t="shared" si="0"/>
        <v>17.395600000000002</v>
      </c>
      <c r="F8" s="9">
        <f t="shared" si="1"/>
        <v>5.8E-5</v>
      </c>
      <c r="G8" s="14">
        <f t="shared" si="2"/>
        <v>297265160.52318668</v>
      </c>
      <c r="H8" s="14">
        <f t="shared" si="3"/>
        <v>119857312722.94887</v>
      </c>
      <c r="I8" s="14">
        <f t="shared" si="4"/>
        <v>48326468489892.984</v>
      </c>
      <c r="J8" s="14">
        <f t="shared" si="5"/>
        <v>5171105826.3971472</v>
      </c>
      <c r="K8" s="14">
        <f t="shared" si="6"/>
        <v>89954488513.67421</v>
      </c>
      <c r="L8" s="14">
        <f t="shared" si="7"/>
        <v>2084989869203.3293</v>
      </c>
      <c r="M8" s="14"/>
      <c r="N8" s="14"/>
      <c r="O8" s="9">
        <f t="shared" si="8"/>
        <v>0</v>
      </c>
      <c r="P8" s="13">
        <f t="shared" si="9"/>
        <v>89954488513.67421</v>
      </c>
      <c r="Q8" s="13">
        <f t="shared" si="10"/>
        <v>89954488513.67421</v>
      </c>
      <c r="R8" s="8"/>
      <c r="S8" s="11"/>
      <c r="T8" s="12"/>
      <c r="U8" s="8"/>
    </row>
    <row r="9" spans="2:21" x14ac:dyDescent="0.35">
      <c r="B9" s="15" t="s">
        <v>43</v>
      </c>
      <c r="C9" s="5">
        <v>404.1</v>
      </c>
      <c r="D9" s="4">
        <f>17.4286</f>
        <v>17.428599999999999</v>
      </c>
      <c r="E9" s="13">
        <f t="shared" si="0"/>
        <v>17.428599999999999</v>
      </c>
      <c r="F9" s="9">
        <f t="shared" si="1"/>
        <v>5.8E-5</v>
      </c>
      <c r="G9" s="9">
        <f t="shared" si="2"/>
        <v>297265160.52318668</v>
      </c>
      <c r="H9" s="9">
        <f t="shared" si="3"/>
        <v>120124851367.41974</v>
      </c>
      <c r="I9" s="9">
        <f t="shared" si="4"/>
        <v>48542452437574.328</v>
      </c>
      <c r="J9" s="9">
        <f t="shared" si="5"/>
        <v>5180915576.6944113</v>
      </c>
      <c r="K9" s="9">
        <f t="shared" si="6"/>
        <v>90296105219.976212</v>
      </c>
      <c r="L9" s="9">
        <f t="shared" si="7"/>
        <v>2093607984542.2117</v>
      </c>
      <c r="M9" s="9"/>
      <c r="N9" s="9"/>
      <c r="O9" s="9">
        <f t="shared" si="8"/>
        <v>0</v>
      </c>
      <c r="P9" s="13">
        <f t="shared" si="9"/>
        <v>90296105219.976212</v>
      </c>
      <c r="Q9" s="13">
        <f t="shared" si="10"/>
        <v>90296105219.976212</v>
      </c>
      <c r="R9" s="8"/>
      <c r="S9" s="11" t="s">
        <v>44</v>
      </c>
      <c r="T9" s="12" t="s">
        <v>45</v>
      </c>
      <c r="U9" s="8">
        <f>N11*((I11*J11)-(H11*L11))</f>
        <v>8.0941584284726957</v>
      </c>
    </row>
    <row r="10" spans="2:21" x14ac:dyDescent="0.35">
      <c r="B10" s="16" t="s">
        <v>46</v>
      </c>
      <c r="C10" s="5">
        <v>405.1</v>
      </c>
      <c r="D10" s="4">
        <f>17.45</f>
        <v>17.45</v>
      </c>
      <c r="E10" s="13">
        <f t="shared" si="0"/>
        <v>17.45</v>
      </c>
      <c r="F10" s="9">
        <f t="shared" si="1"/>
        <v>5.8E-5</v>
      </c>
      <c r="G10" s="9">
        <f t="shared" si="2"/>
        <v>297265160.52318668</v>
      </c>
      <c r="H10" s="9">
        <f t="shared" si="3"/>
        <v>120422116527.94293</v>
      </c>
      <c r="I10" s="9">
        <f t="shared" si="4"/>
        <v>48782999405469.68</v>
      </c>
      <c r="J10" s="9">
        <f t="shared" si="5"/>
        <v>5187277051.1296072</v>
      </c>
      <c r="K10" s="9">
        <f t="shared" si="6"/>
        <v>90517984542.211655</v>
      </c>
      <c r="L10" s="9">
        <f t="shared" si="7"/>
        <v>2101365933412.604</v>
      </c>
      <c r="M10" s="9"/>
      <c r="N10" s="9"/>
      <c r="O10" s="9">
        <f t="shared" si="8"/>
        <v>0</v>
      </c>
      <c r="P10" s="13">
        <f t="shared" si="9"/>
        <v>90517984542.211655</v>
      </c>
      <c r="Q10" s="13">
        <f t="shared" si="10"/>
        <v>90517984542.211655</v>
      </c>
      <c r="R10" s="8"/>
      <c r="S10" s="11"/>
      <c r="T10" s="12"/>
      <c r="U10" s="8"/>
    </row>
    <row r="11" spans="2:21" ht="17.5" x14ac:dyDescent="0.35">
      <c r="B11" s="7" t="s">
        <v>47</v>
      </c>
      <c r="C11" s="9">
        <f>SUM(C5:C10)</f>
        <v>2414.8000000000002</v>
      </c>
      <c r="D11" s="9">
        <f t="shared" ref="D11:L11" si="11">SUM(D5:D10)</f>
        <v>104.30200000000001</v>
      </c>
      <c r="E11" s="9">
        <f t="shared" si="11"/>
        <v>104.30200000000001</v>
      </c>
      <c r="F11" s="9">
        <f t="shared" si="11"/>
        <v>3.48E-4</v>
      </c>
      <c r="G11" s="9">
        <f t="shared" si="11"/>
        <v>1783590963.1391201</v>
      </c>
      <c r="H11" s="9">
        <f t="shared" si="11"/>
        <v>717835909631.39111</v>
      </c>
      <c r="I11" s="9">
        <f t="shared" si="11"/>
        <v>288911985731272.31</v>
      </c>
      <c r="J11" s="9">
        <f t="shared" si="11"/>
        <v>31005350772.88942</v>
      </c>
      <c r="K11" s="9">
        <f t="shared" si="11"/>
        <v>538990512223.5434</v>
      </c>
      <c r="L11" s="9">
        <f t="shared" si="11"/>
        <v>12478780820451.842</v>
      </c>
      <c r="M11" s="9">
        <f>(G11*I11)-((H11)^2)</f>
        <v>1.2413736548959257E+19</v>
      </c>
      <c r="N11" s="9">
        <f>1/M11</f>
        <v>8.0555922550478003E-20</v>
      </c>
      <c r="O11" s="9">
        <f>SUM(O5:O10)</f>
        <v>0</v>
      </c>
      <c r="P11" s="9">
        <f>SUM(P5:P10)</f>
        <v>538990512223.5434</v>
      </c>
      <c r="Q11" s="9">
        <f>SUM(Q5:Q10)</f>
        <v>538990512223.5434</v>
      </c>
      <c r="R11" s="8"/>
      <c r="S11" s="11" t="s">
        <v>48</v>
      </c>
      <c r="T11" s="12" t="s">
        <v>49</v>
      </c>
      <c r="U11" s="8">
        <f>SQRT(N11*I11)</f>
        <v>4.8242690168017353E-3</v>
      </c>
    </row>
    <row r="12" spans="2:21" x14ac:dyDescent="0.35">
      <c r="B12" s="8" t="s">
        <v>50</v>
      </c>
      <c r="C12" s="8">
        <f>COUNT(C5:C10)</f>
        <v>6</v>
      </c>
      <c r="D12" s="8"/>
      <c r="E12" s="8"/>
      <c r="F12" s="8"/>
      <c r="G12" s="8"/>
      <c r="H12" s="8"/>
      <c r="I12" s="8"/>
      <c r="J12" s="8"/>
      <c r="K12" s="10"/>
      <c r="L12" s="10"/>
      <c r="M12" s="10"/>
      <c r="N12" s="10"/>
      <c r="O12" s="10"/>
      <c r="P12" s="10"/>
      <c r="Q12" s="10"/>
      <c r="R12" s="8"/>
      <c r="S12" s="11"/>
      <c r="T12" s="12"/>
      <c r="U12" s="8"/>
    </row>
    <row r="13" spans="2:21" ht="18.5" x14ac:dyDescent="0.35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11" t="s">
        <v>51</v>
      </c>
      <c r="T13" s="12" t="s">
        <v>52</v>
      </c>
      <c r="U13" s="8">
        <f>1-ABS(Q11/P11)</f>
        <v>0</v>
      </c>
    </row>
  </sheetData>
  <mergeCells count="14">
    <mergeCell ref="P3:P4"/>
    <mergeCell ref="Q3:Q4"/>
    <mergeCell ref="J3:J4"/>
    <mergeCell ref="K3:K4"/>
    <mergeCell ref="L3:L4"/>
    <mergeCell ref="M3:M4"/>
    <mergeCell ref="N3:N4"/>
    <mergeCell ref="O3:O4"/>
    <mergeCell ref="I3:I4"/>
    <mergeCell ref="B3:B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Shairil Danil</dc:creator>
  <cp:lastModifiedBy>Shairil Danil</cp:lastModifiedBy>
  <dcterms:created xsi:type="dcterms:W3CDTF">2021-02-23T09:38:38Z</dcterms:created>
  <dcterms:modified xsi:type="dcterms:W3CDTF">2021-03-12T01:58:53Z</dcterms:modified>
</cp:coreProperties>
</file>