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rohin21_student_ubc_ca/Documents/"/>
    </mc:Choice>
  </mc:AlternateContent>
  <xr:revisionPtr revIDLastSave="5426" documentId="8_{AAB758A7-B297-4789-8A32-133D11E9BFF3}" xr6:coauthVersionLast="47" xr6:coauthVersionMax="47" xr10:uidLastSave="{CB9DFE14-522F-44BB-8620-A7132FC53F88}"/>
  <bookViews>
    <workbookView xWindow="-108" yWindow="-108" windowWidth="23256" windowHeight="13176" tabRatio="924" xr2:uid="{00000000-000D-0000-FFFF-FFFF00000000}"/>
  </bookViews>
  <sheets>
    <sheet name="InputOutputData" sheetId="9" r:id="rId1"/>
    <sheet name="Solar Panel" sheetId="15" r:id="rId2"/>
    <sheet name="On Demand Flow Calcs" sheetId="11" r:id="rId3"/>
    <sheet name="E + U + G satisfaction" sheetId="4" r:id="rId4"/>
    <sheet name="Maintenance Calculations" sheetId="13" r:id="rId5"/>
    <sheet name="More accurate Energy (diesel)" sheetId="12" r:id="rId6"/>
    <sheet name="Cost" sheetId="14" r:id="rId7"/>
    <sheet name="Satisfaction Values" sheetId="10" r:id="rId8"/>
    <sheet name="More accurate Energy (Solar)" sheetId="16" r:id="rId9"/>
    <sheet name="Rainfall Data" sheetId="18" r:id="rId10"/>
    <sheet name="Chlorine Filter (2)" sheetId="19" r:id="rId11"/>
    <sheet name="Chlorine Filter" sheetId="17" r:id="rId12"/>
    <sheet name="Updated Pump Parameters" sheetId="3" r:id="rId13"/>
    <sheet name="W11 Filter Loss Coefficient Exp" sheetId="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9" l="1"/>
  <c r="B374" i="19"/>
  <c r="C374" i="19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B1" i="19"/>
  <c r="C9" i="9"/>
  <c r="O9" i="9"/>
  <c r="O8" i="9"/>
  <c r="A17" i="16"/>
  <c r="A17" i="12" s="1"/>
  <c r="A18" i="16"/>
  <c r="A18" i="12" s="1"/>
  <c r="A19" i="16"/>
  <c r="A19" i="12" s="1"/>
  <c r="A20" i="16"/>
  <c r="A20" i="12" s="1"/>
  <c r="A21" i="16"/>
  <c r="A21" i="12" s="1"/>
  <c r="A22" i="16"/>
  <c r="A22" i="12" s="1"/>
  <c r="A23" i="16"/>
  <c r="A23" i="12" s="1"/>
  <c r="A24" i="16"/>
  <c r="A24" i="12" s="1"/>
  <c r="A25" i="16"/>
  <c r="A25" i="12" s="1"/>
  <c r="A26" i="16"/>
  <c r="A26" i="12" s="1"/>
  <c r="A27" i="16"/>
  <c r="A27" i="12" s="1"/>
  <c r="A28" i="16"/>
  <c r="A28" i="12" s="1"/>
  <c r="A29" i="16"/>
  <c r="A29" i="12" s="1"/>
  <c r="A30" i="16"/>
  <c r="A30" i="12" s="1"/>
  <c r="A31" i="16"/>
  <c r="A31" i="12" s="1"/>
  <c r="A32" i="16"/>
  <c r="A32" i="12" s="1"/>
  <c r="A33" i="16"/>
  <c r="A33" i="12" s="1"/>
  <c r="A34" i="16"/>
  <c r="A34" i="12" s="1"/>
  <c r="A35" i="16"/>
  <c r="A35" i="12" s="1"/>
  <c r="A36" i="16"/>
  <c r="A36" i="12" s="1"/>
  <c r="A37" i="16"/>
  <c r="A37" i="12" s="1"/>
  <c r="A38" i="16"/>
  <c r="A38" i="12" s="1"/>
  <c r="A39" i="16"/>
  <c r="A39" i="12" s="1"/>
  <c r="A40" i="16"/>
  <c r="A40" i="12" s="1"/>
  <c r="A41" i="16"/>
  <c r="A41" i="12" s="1"/>
  <c r="A42" i="16"/>
  <c r="A42" i="12" s="1"/>
  <c r="A43" i="16"/>
  <c r="A43" i="12" s="1"/>
  <c r="A44" i="16"/>
  <c r="A44" i="12" s="1"/>
  <c r="A45" i="16"/>
  <c r="A45" i="12" s="1"/>
  <c r="A46" i="16"/>
  <c r="A46" i="12" s="1"/>
  <c r="A47" i="16"/>
  <c r="A47" i="12" s="1"/>
  <c r="A48" i="16"/>
  <c r="A48" i="12" s="1"/>
  <c r="A49" i="16"/>
  <c r="A49" i="12" s="1"/>
  <c r="A50" i="16"/>
  <c r="A50" i="12" s="1"/>
  <c r="A51" i="16"/>
  <c r="A51" i="12" s="1"/>
  <c r="A52" i="16"/>
  <c r="A52" i="12" s="1"/>
  <c r="A53" i="16"/>
  <c r="A53" i="12" s="1"/>
  <c r="A54" i="16"/>
  <c r="A54" i="12" s="1"/>
  <c r="A55" i="16"/>
  <c r="A55" i="12" s="1"/>
  <c r="A56" i="16"/>
  <c r="A56" i="12" s="1"/>
  <c r="A57" i="16"/>
  <c r="A57" i="12" s="1"/>
  <c r="A58" i="16"/>
  <c r="A58" i="12" s="1"/>
  <c r="A59" i="16"/>
  <c r="A59" i="12" s="1"/>
  <c r="A60" i="16"/>
  <c r="A60" i="12" s="1"/>
  <c r="A61" i="16"/>
  <c r="A61" i="12" s="1"/>
  <c r="A62" i="16"/>
  <c r="A62" i="12" s="1"/>
  <c r="A63" i="16"/>
  <c r="A63" i="12" s="1"/>
  <c r="A64" i="16"/>
  <c r="A64" i="12" s="1"/>
  <c r="A65" i="16"/>
  <c r="A65" i="12" s="1"/>
  <c r="A66" i="16"/>
  <c r="A66" i="12" s="1"/>
  <c r="A67" i="16"/>
  <c r="A67" i="12" s="1"/>
  <c r="A68" i="16"/>
  <c r="A68" i="12" s="1"/>
  <c r="A69" i="16"/>
  <c r="A69" i="12" s="1"/>
  <c r="A70" i="16"/>
  <c r="A70" i="12" s="1"/>
  <c r="A71" i="16"/>
  <c r="A71" i="12" s="1"/>
  <c r="A72" i="16"/>
  <c r="A72" i="12" s="1"/>
  <c r="A73" i="16"/>
  <c r="A73" i="12" s="1"/>
  <c r="A74" i="16"/>
  <c r="A74" i="12" s="1"/>
  <c r="A75" i="16"/>
  <c r="A75" i="12" s="1"/>
  <c r="A76" i="16"/>
  <c r="A76" i="12" s="1"/>
  <c r="A77" i="16"/>
  <c r="A77" i="12" s="1"/>
  <c r="A78" i="16"/>
  <c r="A78" i="12" s="1"/>
  <c r="A79" i="16"/>
  <c r="A79" i="12" s="1"/>
  <c r="A80" i="16"/>
  <c r="A80" i="12" s="1"/>
  <c r="A81" i="16"/>
  <c r="A81" i="12" s="1"/>
  <c r="A82" i="16"/>
  <c r="A82" i="12" s="1"/>
  <c r="A83" i="16"/>
  <c r="A83" i="12" s="1"/>
  <c r="A84" i="16"/>
  <c r="A84" i="12" s="1"/>
  <c r="A85" i="16"/>
  <c r="A85" i="12" s="1"/>
  <c r="A86" i="16"/>
  <c r="A86" i="12" s="1"/>
  <c r="A87" i="16"/>
  <c r="A87" i="12" s="1"/>
  <c r="A88" i="16"/>
  <c r="A88" i="12" s="1"/>
  <c r="A89" i="16"/>
  <c r="A89" i="12" s="1"/>
  <c r="A90" i="16"/>
  <c r="A90" i="12" s="1"/>
  <c r="A91" i="16"/>
  <c r="A91" i="12" s="1"/>
  <c r="A92" i="16"/>
  <c r="A92" i="12" s="1"/>
  <c r="A93" i="16"/>
  <c r="A93" i="12" s="1"/>
  <c r="A94" i="16"/>
  <c r="A94" i="12" s="1"/>
  <c r="A95" i="16"/>
  <c r="A95" i="12" s="1"/>
  <c r="A96" i="16"/>
  <c r="A96" i="12" s="1"/>
  <c r="A97" i="16"/>
  <c r="A97" i="12" s="1"/>
  <c r="A98" i="16"/>
  <c r="A98" i="12" s="1"/>
  <c r="A99" i="16"/>
  <c r="A99" i="12" s="1"/>
  <c r="A100" i="16"/>
  <c r="A100" i="12" s="1"/>
  <c r="A101" i="16"/>
  <c r="A101" i="12" s="1"/>
  <c r="A102" i="16"/>
  <c r="A102" i="12" s="1"/>
  <c r="A103" i="16"/>
  <c r="A103" i="12" s="1"/>
  <c r="A104" i="16"/>
  <c r="A104" i="12" s="1"/>
  <c r="A105" i="16"/>
  <c r="A105" i="12" s="1"/>
  <c r="A106" i="16"/>
  <c r="A106" i="12" s="1"/>
  <c r="A107" i="16"/>
  <c r="A107" i="12" s="1"/>
  <c r="A108" i="16"/>
  <c r="A108" i="12" s="1"/>
  <c r="A109" i="16"/>
  <c r="A109" i="12" s="1"/>
  <c r="A110" i="16"/>
  <c r="A110" i="12" s="1"/>
  <c r="A111" i="16"/>
  <c r="A111" i="12" s="1"/>
  <c r="A112" i="16"/>
  <c r="A112" i="12" s="1"/>
  <c r="A113" i="16"/>
  <c r="A113" i="12" s="1"/>
  <c r="A114" i="16"/>
  <c r="A114" i="12" s="1"/>
  <c r="A115" i="16"/>
  <c r="A115" i="12" s="1"/>
  <c r="A116" i="16"/>
  <c r="A116" i="12" s="1"/>
  <c r="A117" i="16"/>
  <c r="A117" i="12" s="1"/>
  <c r="A118" i="16"/>
  <c r="A118" i="12" s="1"/>
  <c r="A119" i="16"/>
  <c r="A119" i="12" s="1"/>
  <c r="A120" i="16"/>
  <c r="A120" i="12" s="1"/>
  <c r="A121" i="16"/>
  <c r="A121" i="12" s="1"/>
  <c r="A122" i="16"/>
  <c r="A122" i="12" s="1"/>
  <c r="A123" i="16"/>
  <c r="A123" i="12" s="1"/>
  <c r="A124" i="16"/>
  <c r="A124" i="12" s="1"/>
  <c r="A125" i="16"/>
  <c r="A125" i="12" s="1"/>
  <c r="A126" i="16"/>
  <c r="A126" i="12" s="1"/>
  <c r="A127" i="16"/>
  <c r="A127" i="12" s="1"/>
  <c r="A128" i="16"/>
  <c r="A128" i="12" s="1"/>
  <c r="A129" i="16"/>
  <c r="A129" i="12" s="1"/>
  <c r="A130" i="16"/>
  <c r="A130" i="12" s="1"/>
  <c r="A131" i="16"/>
  <c r="A131" i="12" s="1"/>
  <c r="A132" i="16"/>
  <c r="A132" i="12" s="1"/>
  <c r="A133" i="16"/>
  <c r="A133" i="12" s="1"/>
  <c r="A134" i="16"/>
  <c r="A134" i="12" s="1"/>
  <c r="A135" i="16"/>
  <c r="A135" i="12" s="1"/>
  <c r="A136" i="16"/>
  <c r="A136" i="12" s="1"/>
  <c r="A137" i="16"/>
  <c r="A137" i="12" s="1"/>
  <c r="A138" i="16"/>
  <c r="A138" i="12" s="1"/>
  <c r="A139" i="16"/>
  <c r="A139" i="12" s="1"/>
  <c r="A140" i="16"/>
  <c r="A140" i="12" s="1"/>
  <c r="A141" i="16"/>
  <c r="A141" i="12" s="1"/>
  <c r="A142" i="16"/>
  <c r="A142" i="12" s="1"/>
  <c r="A143" i="16"/>
  <c r="A143" i="12" s="1"/>
  <c r="A144" i="16"/>
  <c r="A144" i="12" s="1"/>
  <c r="A145" i="16"/>
  <c r="A145" i="12" s="1"/>
  <c r="A146" i="16"/>
  <c r="A146" i="12" s="1"/>
  <c r="A147" i="16"/>
  <c r="A147" i="12" s="1"/>
  <c r="A148" i="16"/>
  <c r="A148" i="12" s="1"/>
  <c r="A149" i="16"/>
  <c r="A149" i="12" s="1"/>
  <c r="A150" i="16"/>
  <c r="A150" i="12" s="1"/>
  <c r="A151" i="16"/>
  <c r="A151" i="12" s="1"/>
  <c r="A152" i="16"/>
  <c r="A152" i="12" s="1"/>
  <c r="A153" i="16"/>
  <c r="A153" i="12" s="1"/>
  <c r="A154" i="16"/>
  <c r="A154" i="12" s="1"/>
  <c r="A155" i="16"/>
  <c r="A155" i="12" s="1"/>
  <c r="A156" i="16"/>
  <c r="A156" i="12" s="1"/>
  <c r="A157" i="16"/>
  <c r="A157" i="12" s="1"/>
  <c r="A158" i="16"/>
  <c r="A158" i="12" s="1"/>
  <c r="A159" i="16"/>
  <c r="A159" i="12" s="1"/>
  <c r="A160" i="16"/>
  <c r="A160" i="12" s="1"/>
  <c r="A161" i="16"/>
  <c r="A161" i="12" s="1"/>
  <c r="A162" i="16"/>
  <c r="A162" i="12" s="1"/>
  <c r="A163" i="16"/>
  <c r="A163" i="12" s="1"/>
  <c r="A164" i="16"/>
  <c r="A164" i="12" s="1"/>
  <c r="A165" i="16"/>
  <c r="A165" i="12" s="1"/>
  <c r="A166" i="16"/>
  <c r="A166" i="12" s="1"/>
  <c r="A167" i="16"/>
  <c r="A167" i="12" s="1"/>
  <c r="A168" i="16"/>
  <c r="A168" i="12" s="1"/>
  <c r="A169" i="16"/>
  <c r="A169" i="12" s="1"/>
  <c r="A170" i="16"/>
  <c r="A170" i="12" s="1"/>
  <c r="A171" i="16"/>
  <c r="A171" i="12" s="1"/>
  <c r="A172" i="16"/>
  <c r="A172" i="12" s="1"/>
  <c r="A173" i="16"/>
  <c r="A173" i="12" s="1"/>
  <c r="A174" i="16"/>
  <c r="A174" i="12" s="1"/>
  <c r="A175" i="16"/>
  <c r="A175" i="12" s="1"/>
  <c r="A176" i="16"/>
  <c r="A176" i="12" s="1"/>
  <c r="A177" i="16"/>
  <c r="A177" i="12" s="1"/>
  <c r="A178" i="16"/>
  <c r="A178" i="12" s="1"/>
  <c r="A179" i="16"/>
  <c r="A179" i="12" s="1"/>
  <c r="A180" i="16"/>
  <c r="A180" i="12" s="1"/>
  <c r="A181" i="16"/>
  <c r="A181" i="12" s="1"/>
  <c r="A182" i="16"/>
  <c r="A182" i="12" s="1"/>
  <c r="A183" i="16"/>
  <c r="A183" i="12" s="1"/>
  <c r="A184" i="16"/>
  <c r="A184" i="12" s="1"/>
  <c r="A185" i="16"/>
  <c r="A185" i="12" s="1"/>
  <c r="A186" i="16"/>
  <c r="A186" i="12" s="1"/>
  <c r="A187" i="16"/>
  <c r="A187" i="12" s="1"/>
  <c r="A188" i="16"/>
  <c r="A188" i="12" s="1"/>
  <c r="A189" i="16"/>
  <c r="A189" i="12" s="1"/>
  <c r="A190" i="16"/>
  <c r="A190" i="12" s="1"/>
  <c r="A191" i="16"/>
  <c r="A191" i="12" s="1"/>
  <c r="A192" i="16"/>
  <c r="A192" i="12" s="1"/>
  <c r="A193" i="16"/>
  <c r="A193" i="12" s="1"/>
  <c r="A194" i="16"/>
  <c r="A194" i="12" s="1"/>
  <c r="A195" i="16"/>
  <c r="A195" i="12" s="1"/>
  <c r="A196" i="16"/>
  <c r="A196" i="12" s="1"/>
  <c r="A197" i="16"/>
  <c r="A197" i="12" s="1"/>
  <c r="A198" i="16"/>
  <c r="A198" i="12" s="1"/>
  <c r="A199" i="16"/>
  <c r="A199" i="12" s="1"/>
  <c r="A200" i="16"/>
  <c r="A200" i="12" s="1"/>
  <c r="A201" i="16"/>
  <c r="A201" i="12" s="1"/>
  <c r="A202" i="16"/>
  <c r="A202" i="12" s="1"/>
  <c r="A203" i="16"/>
  <c r="A203" i="12" s="1"/>
  <c r="A204" i="16"/>
  <c r="A204" i="12" s="1"/>
  <c r="A205" i="16"/>
  <c r="A205" i="12" s="1"/>
  <c r="A206" i="16"/>
  <c r="A206" i="12" s="1"/>
  <c r="A207" i="16"/>
  <c r="A207" i="12" s="1"/>
  <c r="A208" i="16"/>
  <c r="A208" i="12" s="1"/>
  <c r="A209" i="16"/>
  <c r="A209" i="12" s="1"/>
  <c r="A210" i="16"/>
  <c r="A210" i="12" s="1"/>
  <c r="A211" i="16"/>
  <c r="A211" i="12" s="1"/>
  <c r="A212" i="16"/>
  <c r="A212" i="12" s="1"/>
  <c r="A213" i="16"/>
  <c r="A213" i="12" s="1"/>
  <c r="A214" i="16"/>
  <c r="A214" i="12" s="1"/>
  <c r="A215" i="16"/>
  <c r="A215" i="12" s="1"/>
  <c r="A216" i="16"/>
  <c r="A216" i="12" s="1"/>
  <c r="A217" i="16"/>
  <c r="A217" i="12" s="1"/>
  <c r="A218" i="16"/>
  <c r="A218" i="12" s="1"/>
  <c r="A219" i="16"/>
  <c r="A219" i="12" s="1"/>
  <c r="A220" i="16"/>
  <c r="A220" i="12" s="1"/>
  <c r="A221" i="16"/>
  <c r="A221" i="12" s="1"/>
  <c r="A222" i="16"/>
  <c r="A222" i="12" s="1"/>
  <c r="A223" i="16"/>
  <c r="A223" i="12" s="1"/>
  <c r="A224" i="16"/>
  <c r="A224" i="12" s="1"/>
  <c r="A225" i="16"/>
  <c r="A225" i="12" s="1"/>
  <c r="A226" i="16"/>
  <c r="A226" i="12" s="1"/>
  <c r="A227" i="16"/>
  <c r="A227" i="12" s="1"/>
  <c r="A228" i="16"/>
  <c r="A228" i="12" s="1"/>
  <c r="A229" i="16"/>
  <c r="A229" i="12" s="1"/>
  <c r="A230" i="16"/>
  <c r="A230" i="12" s="1"/>
  <c r="A231" i="16"/>
  <c r="A231" i="12" s="1"/>
  <c r="A232" i="16"/>
  <c r="A232" i="12" s="1"/>
  <c r="A233" i="16"/>
  <c r="A233" i="12" s="1"/>
  <c r="A234" i="16"/>
  <c r="A234" i="12" s="1"/>
  <c r="A235" i="16"/>
  <c r="A235" i="12" s="1"/>
  <c r="A236" i="16"/>
  <c r="A236" i="12" s="1"/>
  <c r="A237" i="16"/>
  <c r="A237" i="12" s="1"/>
  <c r="A238" i="16"/>
  <c r="A238" i="12" s="1"/>
  <c r="A239" i="16"/>
  <c r="A239" i="12" s="1"/>
  <c r="A240" i="16"/>
  <c r="A240" i="12" s="1"/>
  <c r="A241" i="16"/>
  <c r="A241" i="12" s="1"/>
  <c r="A242" i="16"/>
  <c r="A242" i="12" s="1"/>
  <c r="A243" i="16"/>
  <c r="A243" i="12" s="1"/>
  <c r="A244" i="16"/>
  <c r="A244" i="12" s="1"/>
  <c r="A245" i="16"/>
  <c r="A245" i="12" s="1"/>
  <c r="A246" i="16"/>
  <c r="A246" i="12" s="1"/>
  <c r="A247" i="16"/>
  <c r="A247" i="12" s="1"/>
  <c r="A248" i="16"/>
  <c r="A248" i="12" s="1"/>
  <c r="A249" i="16"/>
  <c r="A249" i="12" s="1"/>
  <c r="A250" i="16"/>
  <c r="A250" i="12" s="1"/>
  <c r="A251" i="16"/>
  <c r="A251" i="12" s="1"/>
  <c r="A252" i="16"/>
  <c r="A252" i="12" s="1"/>
  <c r="A253" i="16"/>
  <c r="A253" i="12" s="1"/>
  <c r="A254" i="16"/>
  <c r="A254" i="12" s="1"/>
  <c r="A255" i="16"/>
  <c r="A255" i="12" s="1"/>
  <c r="A256" i="16"/>
  <c r="A256" i="12" s="1"/>
  <c r="A257" i="16"/>
  <c r="A257" i="12" s="1"/>
  <c r="A258" i="16"/>
  <c r="A258" i="12" s="1"/>
  <c r="A259" i="16"/>
  <c r="A259" i="12" s="1"/>
  <c r="A260" i="16"/>
  <c r="A260" i="12" s="1"/>
  <c r="A261" i="16"/>
  <c r="A261" i="12" s="1"/>
  <c r="A262" i="16"/>
  <c r="A262" i="12" s="1"/>
  <c r="A263" i="16"/>
  <c r="A263" i="12" s="1"/>
  <c r="A264" i="16"/>
  <c r="A264" i="12" s="1"/>
  <c r="A265" i="16"/>
  <c r="A265" i="12" s="1"/>
  <c r="A266" i="16"/>
  <c r="A266" i="12" s="1"/>
  <c r="A267" i="16"/>
  <c r="A267" i="12" s="1"/>
  <c r="A268" i="16"/>
  <c r="A268" i="12" s="1"/>
  <c r="A269" i="16"/>
  <c r="A269" i="12" s="1"/>
  <c r="A270" i="16"/>
  <c r="A270" i="12" s="1"/>
  <c r="A271" i="16"/>
  <c r="A271" i="12" s="1"/>
  <c r="A272" i="16"/>
  <c r="A272" i="12" s="1"/>
  <c r="A273" i="16"/>
  <c r="A273" i="12" s="1"/>
  <c r="A274" i="16"/>
  <c r="A274" i="12" s="1"/>
  <c r="A275" i="16"/>
  <c r="A275" i="12" s="1"/>
  <c r="A276" i="16"/>
  <c r="A276" i="12" s="1"/>
  <c r="A277" i="16"/>
  <c r="A277" i="12" s="1"/>
  <c r="A278" i="16"/>
  <c r="A278" i="12" s="1"/>
  <c r="A279" i="16"/>
  <c r="A279" i="12" s="1"/>
  <c r="A280" i="16"/>
  <c r="A280" i="12" s="1"/>
  <c r="A281" i="16"/>
  <c r="A281" i="12" s="1"/>
  <c r="A282" i="16"/>
  <c r="A282" i="12" s="1"/>
  <c r="A283" i="16"/>
  <c r="A283" i="12" s="1"/>
  <c r="A284" i="16"/>
  <c r="A284" i="12" s="1"/>
  <c r="A285" i="16"/>
  <c r="A285" i="12" s="1"/>
  <c r="A286" i="16"/>
  <c r="A286" i="12" s="1"/>
  <c r="A287" i="16"/>
  <c r="A287" i="12" s="1"/>
  <c r="A288" i="16"/>
  <c r="A288" i="12" s="1"/>
  <c r="A289" i="16"/>
  <c r="A289" i="12" s="1"/>
  <c r="A290" i="16"/>
  <c r="A290" i="12" s="1"/>
  <c r="A291" i="16"/>
  <c r="A291" i="12" s="1"/>
  <c r="A292" i="16"/>
  <c r="A292" i="12" s="1"/>
  <c r="A293" i="16"/>
  <c r="A293" i="12" s="1"/>
  <c r="A294" i="16"/>
  <c r="A294" i="12" s="1"/>
  <c r="A295" i="16"/>
  <c r="A295" i="12" s="1"/>
  <c r="A296" i="16"/>
  <c r="A296" i="12" s="1"/>
  <c r="A297" i="16"/>
  <c r="A297" i="12" s="1"/>
  <c r="A298" i="16"/>
  <c r="A298" i="12" s="1"/>
  <c r="A299" i="16"/>
  <c r="A299" i="12" s="1"/>
  <c r="A300" i="16"/>
  <c r="A300" i="12" s="1"/>
  <c r="A301" i="16"/>
  <c r="A301" i="12" s="1"/>
  <c r="A302" i="16"/>
  <c r="A302" i="12" s="1"/>
  <c r="A303" i="16"/>
  <c r="A303" i="12" s="1"/>
  <c r="A304" i="16"/>
  <c r="A304" i="12" s="1"/>
  <c r="A305" i="16"/>
  <c r="A305" i="12" s="1"/>
  <c r="A306" i="16"/>
  <c r="A306" i="12" s="1"/>
  <c r="A307" i="16"/>
  <c r="A307" i="12" s="1"/>
  <c r="A308" i="16"/>
  <c r="A308" i="12" s="1"/>
  <c r="A309" i="16"/>
  <c r="A309" i="12" s="1"/>
  <c r="A310" i="16"/>
  <c r="A310" i="12" s="1"/>
  <c r="A311" i="16"/>
  <c r="A311" i="12" s="1"/>
  <c r="A312" i="16"/>
  <c r="A312" i="12" s="1"/>
  <c r="A313" i="16"/>
  <c r="A313" i="12" s="1"/>
  <c r="A314" i="16"/>
  <c r="A314" i="12" s="1"/>
  <c r="A315" i="16"/>
  <c r="A315" i="12" s="1"/>
  <c r="A316" i="16"/>
  <c r="A316" i="12" s="1"/>
  <c r="A317" i="16"/>
  <c r="A317" i="12" s="1"/>
  <c r="A318" i="16"/>
  <c r="A318" i="12" s="1"/>
  <c r="A319" i="16"/>
  <c r="A319" i="12" s="1"/>
  <c r="A320" i="16"/>
  <c r="A320" i="12" s="1"/>
  <c r="A321" i="16"/>
  <c r="A321" i="12" s="1"/>
  <c r="A322" i="16"/>
  <c r="A322" i="12" s="1"/>
  <c r="A323" i="16"/>
  <c r="A323" i="12" s="1"/>
  <c r="A324" i="16"/>
  <c r="A324" i="12" s="1"/>
  <c r="A325" i="16"/>
  <c r="A325" i="12" s="1"/>
  <c r="A326" i="16"/>
  <c r="A326" i="12" s="1"/>
  <c r="A327" i="16"/>
  <c r="A327" i="12" s="1"/>
  <c r="A328" i="16"/>
  <c r="A328" i="12" s="1"/>
  <c r="A329" i="16"/>
  <c r="A329" i="12" s="1"/>
  <c r="A330" i="16"/>
  <c r="A330" i="12" s="1"/>
  <c r="A331" i="16"/>
  <c r="A331" i="12" s="1"/>
  <c r="A332" i="16"/>
  <c r="A332" i="12" s="1"/>
  <c r="A333" i="16"/>
  <c r="A333" i="12" s="1"/>
  <c r="A334" i="16"/>
  <c r="A334" i="12" s="1"/>
  <c r="A335" i="16"/>
  <c r="A335" i="12" s="1"/>
  <c r="A336" i="16"/>
  <c r="A336" i="12" s="1"/>
  <c r="A337" i="16"/>
  <c r="A337" i="12" s="1"/>
  <c r="A338" i="16"/>
  <c r="A338" i="12" s="1"/>
  <c r="A339" i="16"/>
  <c r="A339" i="12" s="1"/>
  <c r="A340" i="16"/>
  <c r="A340" i="12" s="1"/>
  <c r="A341" i="16"/>
  <c r="A341" i="12" s="1"/>
  <c r="A342" i="16"/>
  <c r="A342" i="12" s="1"/>
  <c r="A343" i="16"/>
  <c r="A343" i="12" s="1"/>
  <c r="A344" i="16"/>
  <c r="A344" i="12" s="1"/>
  <c r="A345" i="16"/>
  <c r="A345" i="12" s="1"/>
  <c r="A346" i="16"/>
  <c r="A346" i="12" s="1"/>
  <c r="A347" i="16"/>
  <c r="A347" i="12" s="1"/>
  <c r="A348" i="16"/>
  <c r="A348" i="12" s="1"/>
  <c r="A349" i="16"/>
  <c r="A349" i="12" s="1"/>
  <c r="A350" i="16"/>
  <c r="A350" i="12" s="1"/>
  <c r="A351" i="16"/>
  <c r="A351" i="12" s="1"/>
  <c r="A352" i="16"/>
  <c r="A352" i="12" s="1"/>
  <c r="A353" i="16"/>
  <c r="A353" i="12" s="1"/>
  <c r="A354" i="16"/>
  <c r="A354" i="12" s="1"/>
  <c r="A355" i="16"/>
  <c r="A355" i="12" s="1"/>
  <c r="A356" i="16"/>
  <c r="A356" i="12" s="1"/>
  <c r="A357" i="16"/>
  <c r="A357" i="12" s="1"/>
  <c r="A358" i="16"/>
  <c r="A358" i="12" s="1"/>
  <c r="A359" i="16"/>
  <c r="A359" i="12" s="1"/>
  <c r="A360" i="16"/>
  <c r="A360" i="12" s="1"/>
  <c r="A361" i="16"/>
  <c r="A361" i="12" s="1"/>
  <c r="A362" i="16"/>
  <c r="A362" i="12" s="1"/>
  <c r="A363" i="16"/>
  <c r="A363" i="12" s="1"/>
  <c r="A364" i="16"/>
  <c r="A364" i="12" s="1"/>
  <c r="A365" i="16"/>
  <c r="A365" i="12" s="1"/>
  <c r="A366" i="16"/>
  <c r="A366" i="12" s="1"/>
  <c r="A367" i="16"/>
  <c r="A367" i="12" s="1"/>
  <c r="A368" i="16"/>
  <c r="A368" i="12" s="1"/>
  <c r="A369" i="16"/>
  <c r="A369" i="12" s="1"/>
  <c r="A370" i="16"/>
  <c r="A370" i="12" s="1"/>
  <c r="A371" i="16"/>
  <c r="A371" i="12" s="1"/>
  <c r="A372" i="16"/>
  <c r="A372" i="12" s="1"/>
  <c r="A373" i="16"/>
  <c r="A373" i="12" s="1"/>
  <c r="A374" i="16"/>
  <c r="A374" i="12" s="1"/>
  <c r="A375" i="16"/>
  <c r="A375" i="12" s="1"/>
  <c r="A376" i="16"/>
  <c r="A376" i="12" s="1"/>
  <c r="A377" i="16"/>
  <c r="A377" i="12" s="1"/>
  <c r="A378" i="16"/>
  <c r="A378" i="12" s="1"/>
  <c r="A379" i="16"/>
  <c r="A379" i="12" s="1"/>
  <c r="A380" i="16"/>
  <c r="A380" i="12" s="1"/>
  <c r="A16" i="16"/>
  <c r="A16" i="12" s="1"/>
  <c r="L10" i="13"/>
  <c r="O3" i="13"/>
  <c r="O2" i="13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10" i="17"/>
  <c r="C6" i="11"/>
  <c r="G9" i="15"/>
  <c r="M3" i="11"/>
  <c r="M3" i="3"/>
  <c r="I20" i="14"/>
  <c r="M22" i="14"/>
  <c r="M20" i="14"/>
  <c r="I17" i="14"/>
  <c r="L20" i="9"/>
  <c r="D374" i="17"/>
  <c r="C374" i="17"/>
  <c r="B374" i="17"/>
  <c r="B1" i="17"/>
  <c r="F3" i="15"/>
  <c r="K21" i="15" s="1"/>
  <c r="D374" i="19" l="1"/>
  <c r="M17" i="14"/>
  <c r="L25" i="4"/>
  <c r="R4" i="16"/>
  <c r="R3" i="16"/>
  <c r="R2" i="16"/>
  <c r="D17" i="16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D171" i="16" s="1"/>
  <c r="D172" i="16" s="1"/>
  <c r="D173" i="16" s="1"/>
  <c r="D174" i="16" s="1"/>
  <c r="D175" i="16" s="1"/>
  <c r="D176" i="16" s="1"/>
  <c r="D177" i="16" s="1"/>
  <c r="D178" i="16" s="1"/>
  <c r="D179" i="16" s="1"/>
  <c r="D180" i="16" s="1"/>
  <c r="D181" i="16" s="1"/>
  <c r="D182" i="16" s="1"/>
  <c r="D183" i="16" s="1"/>
  <c r="D184" i="16" s="1"/>
  <c r="D185" i="16" s="1"/>
  <c r="D186" i="16" s="1"/>
  <c r="D187" i="16" s="1"/>
  <c r="D188" i="16" s="1"/>
  <c r="D189" i="16" s="1"/>
  <c r="D190" i="16" s="1"/>
  <c r="D191" i="16" s="1"/>
  <c r="D192" i="16" s="1"/>
  <c r="D193" i="16" s="1"/>
  <c r="D194" i="16" s="1"/>
  <c r="D195" i="16" s="1"/>
  <c r="D196" i="16" s="1"/>
  <c r="D197" i="16" s="1"/>
  <c r="D198" i="16" s="1"/>
  <c r="D199" i="16" s="1"/>
  <c r="D200" i="16" s="1"/>
  <c r="D201" i="16" s="1"/>
  <c r="D202" i="16" s="1"/>
  <c r="D203" i="16" s="1"/>
  <c r="D204" i="16" s="1"/>
  <c r="D205" i="16" s="1"/>
  <c r="D206" i="16" s="1"/>
  <c r="D207" i="16" s="1"/>
  <c r="D208" i="16" s="1"/>
  <c r="D209" i="16" s="1"/>
  <c r="D210" i="16" s="1"/>
  <c r="D211" i="16" s="1"/>
  <c r="D212" i="16" s="1"/>
  <c r="D213" i="16" s="1"/>
  <c r="D214" i="16" s="1"/>
  <c r="D215" i="16" s="1"/>
  <c r="D216" i="16" s="1"/>
  <c r="D217" i="16" s="1"/>
  <c r="D218" i="16" s="1"/>
  <c r="D219" i="16" s="1"/>
  <c r="D220" i="16" s="1"/>
  <c r="D221" i="16" s="1"/>
  <c r="D222" i="16" s="1"/>
  <c r="D223" i="16" s="1"/>
  <c r="D224" i="16" s="1"/>
  <c r="D225" i="16" s="1"/>
  <c r="D226" i="16" s="1"/>
  <c r="D227" i="16" s="1"/>
  <c r="D228" i="16" s="1"/>
  <c r="D229" i="16" s="1"/>
  <c r="D230" i="16" s="1"/>
  <c r="D231" i="16" s="1"/>
  <c r="D232" i="16" s="1"/>
  <c r="D233" i="16" s="1"/>
  <c r="D234" i="16" s="1"/>
  <c r="D235" i="16" s="1"/>
  <c r="D236" i="16" s="1"/>
  <c r="D237" i="16" s="1"/>
  <c r="D238" i="16" s="1"/>
  <c r="D239" i="16" s="1"/>
  <c r="D240" i="16" s="1"/>
  <c r="D241" i="16" s="1"/>
  <c r="D242" i="16" s="1"/>
  <c r="D243" i="16" s="1"/>
  <c r="D244" i="16" s="1"/>
  <c r="D245" i="16" s="1"/>
  <c r="D246" i="16" s="1"/>
  <c r="D247" i="16" s="1"/>
  <c r="D248" i="16" s="1"/>
  <c r="D249" i="16" s="1"/>
  <c r="D250" i="16" s="1"/>
  <c r="D251" i="16" s="1"/>
  <c r="D252" i="16" s="1"/>
  <c r="D253" i="16" s="1"/>
  <c r="D254" i="16" s="1"/>
  <c r="D255" i="16" s="1"/>
  <c r="D256" i="16" s="1"/>
  <c r="D257" i="16" s="1"/>
  <c r="D258" i="16" s="1"/>
  <c r="D259" i="16" s="1"/>
  <c r="D260" i="16" s="1"/>
  <c r="D261" i="16" s="1"/>
  <c r="D262" i="16" s="1"/>
  <c r="D263" i="16" s="1"/>
  <c r="D264" i="16" s="1"/>
  <c r="D265" i="16" s="1"/>
  <c r="D266" i="16" s="1"/>
  <c r="D267" i="16" s="1"/>
  <c r="D268" i="16" s="1"/>
  <c r="D269" i="16" s="1"/>
  <c r="D270" i="16" s="1"/>
  <c r="D271" i="16" s="1"/>
  <c r="D272" i="16" s="1"/>
  <c r="D273" i="16" s="1"/>
  <c r="D274" i="16" s="1"/>
  <c r="D275" i="16" s="1"/>
  <c r="D276" i="16" s="1"/>
  <c r="D277" i="16" s="1"/>
  <c r="D278" i="16" s="1"/>
  <c r="D279" i="16" s="1"/>
  <c r="D280" i="16" s="1"/>
  <c r="D281" i="16" s="1"/>
  <c r="D282" i="16" s="1"/>
  <c r="D283" i="16" s="1"/>
  <c r="D284" i="16" s="1"/>
  <c r="D285" i="16" s="1"/>
  <c r="D286" i="16" s="1"/>
  <c r="D287" i="16" s="1"/>
  <c r="D288" i="16" s="1"/>
  <c r="D289" i="16" s="1"/>
  <c r="D290" i="16" s="1"/>
  <c r="D291" i="16" s="1"/>
  <c r="D292" i="16" s="1"/>
  <c r="D293" i="16" s="1"/>
  <c r="D294" i="16" s="1"/>
  <c r="D295" i="16" s="1"/>
  <c r="D296" i="16" s="1"/>
  <c r="D297" i="16" s="1"/>
  <c r="D298" i="16" s="1"/>
  <c r="D299" i="16" s="1"/>
  <c r="D300" i="16" s="1"/>
  <c r="D301" i="16" s="1"/>
  <c r="D302" i="16" s="1"/>
  <c r="D303" i="16" s="1"/>
  <c r="D304" i="16" s="1"/>
  <c r="D305" i="16" s="1"/>
  <c r="D306" i="16" s="1"/>
  <c r="D307" i="16" s="1"/>
  <c r="D308" i="16" s="1"/>
  <c r="D309" i="16" s="1"/>
  <c r="D310" i="16" s="1"/>
  <c r="D311" i="16" s="1"/>
  <c r="D312" i="16" s="1"/>
  <c r="D313" i="16" s="1"/>
  <c r="D314" i="16" s="1"/>
  <c r="D315" i="16" s="1"/>
  <c r="D316" i="16" s="1"/>
  <c r="D317" i="16" s="1"/>
  <c r="D318" i="16" s="1"/>
  <c r="D319" i="16" s="1"/>
  <c r="D320" i="16" s="1"/>
  <c r="D321" i="16" s="1"/>
  <c r="D322" i="16" s="1"/>
  <c r="D323" i="16" s="1"/>
  <c r="D324" i="16" s="1"/>
  <c r="D325" i="16" s="1"/>
  <c r="D326" i="16" s="1"/>
  <c r="D327" i="16" s="1"/>
  <c r="D328" i="16" s="1"/>
  <c r="D329" i="16" s="1"/>
  <c r="D330" i="16" s="1"/>
  <c r="D331" i="16" s="1"/>
  <c r="D332" i="16" s="1"/>
  <c r="D333" i="16" s="1"/>
  <c r="D334" i="16" s="1"/>
  <c r="D335" i="16" s="1"/>
  <c r="D336" i="16" s="1"/>
  <c r="D337" i="16" s="1"/>
  <c r="D338" i="16" s="1"/>
  <c r="D339" i="16" s="1"/>
  <c r="D340" i="16" s="1"/>
  <c r="D341" i="16" s="1"/>
  <c r="D342" i="16" s="1"/>
  <c r="D343" i="16" s="1"/>
  <c r="D344" i="16" s="1"/>
  <c r="D345" i="16" s="1"/>
  <c r="D346" i="16" s="1"/>
  <c r="D347" i="16" s="1"/>
  <c r="D348" i="16" s="1"/>
  <c r="D349" i="16" s="1"/>
  <c r="D350" i="16" s="1"/>
  <c r="D351" i="16" s="1"/>
  <c r="D352" i="16" s="1"/>
  <c r="D353" i="16" s="1"/>
  <c r="D354" i="16" s="1"/>
  <c r="D355" i="16" s="1"/>
  <c r="D356" i="16" s="1"/>
  <c r="D357" i="16" s="1"/>
  <c r="D358" i="16" s="1"/>
  <c r="D359" i="16" s="1"/>
  <c r="D360" i="16" s="1"/>
  <c r="D361" i="16" s="1"/>
  <c r="D362" i="16" s="1"/>
  <c r="D363" i="16" s="1"/>
  <c r="D364" i="16" s="1"/>
  <c r="D365" i="16" s="1"/>
  <c r="D366" i="16" s="1"/>
  <c r="D367" i="16" s="1"/>
  <c r="D368" i="16" s="1"/>
  <c r="D369" i="16" s="1"/>
  <c r="D370" i="16" s="1"/>
  <c r="D371" i="16" s="1"/>
  <c r="D372" i="16" s="1"/>
  <c r="D373" i="16" s="1"/>
  <c r="D374" i="16" s="1"/>
  <c r="D375" i="16" s="1"/>
  <c r="D376" i="16" s="1"/>
  <c r="D377" i="16" s="1"/>
  <c r="D378" i="16" s="1"/>
  <c r="D379" i="16" s="1"/>
  <c r="D380" i="16" s="1"/>
  <c r="Q6" i="16"/>
  <c r="E5" i="16"/>
  <c r="E4" i="16"/>
  <c r="E2" i="16"/>
  <c r="E3" i="15"/>
  <c r="L21" i="15"/>
  <c r="G3" i="15"/>
  <c r="E4" i="15"/>
  <c r="F4" i="15"/>
  <c r="E5" i="15"/>
  <c r="F5" i="15"/>
  <c r="E6" i="15"/>
  <c r="F6" i="15"/>
  <c r="G6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21" i="15"/>
  <c r="B1" i="15"/>
  <c r="A2" i="15"/>
  <c r="B2" i="15"/>
  <c r="A3" i="15"/>
  <c r="C3" i="15"/>
  <c r="A4" i="15"/>
  <c r="C4" i="15"/>
  <c r="A5" i="15"/>
  <c r="A6" i="15"/>
  <c r="C6" i="15"/>
  <c r="A7" i="15"/>
  <c r="B7" i="15"/>
  <c r="C7" i="15"/>
  <c r="A8" i="15"/>
  <c r="B8" i="15"/>
  <c r="C8" i="15"/>
  <c r="M33" i="9"/>
  <c r="I33" i="9"/>
  <c r="H27" i="4" s="1"/>
  <c r="I27" i="4" s="1"/>
  <c r="H26" i="4"/>
  <c r="I26" i="4" s="1"/>
  <c r="H25" i="4"/>
  <c r="H24" i="4"/>
  <c r="E21" i="4"/>
  <c r="D24" i="4" s="1"/>
  <c r="E5" i="12"/>
  <c r="E4" i="12"/>
  <c r="P6" i="12"/>
  <c r="N2" i="4"/>
  <c r="N1" i="4"/>
  <c r="D28" i="14"/>
  <c r="F28" i="14" s="1"/>
  <c r="D26" i="14"/>
  <c r="D27" i="14"/>
  <c r="D25" i="14"/>
  <c r="F25" i="14" s="1"/>
  <c r="D24" i="14"/>
  <c r="D23" i="14"/>
  <c r="F23" i="14" s="1"/>
  <c r="D22" i="14"/>
  <c r="F22" i="14" s="1"/>
  <c r="D21" i="14"/>
  <c r="F21" i="14" s="1"/>
  <c r="D20" i="14"/>
  <c r="D17" i="14"/>
  <c r="F17" i="14" s="1"/>
  <c r="I3" i="3"/>
  <c r="D16" i="14"/>
  <c r="D15" i="14"/>
  <c r="D14" i="14"/>
  <c r="D13" i="14"/>
  <c r="D13" i="4"/>
  <c r="D17" i="4"/>
  <c r="D16" i="4"/>
  <c r="D15" i="4"/>
  <c r="D14" i="4"/>
  <c r="E2" i="12"/>
  <c r="F4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0" i="3"/>
  <c r="I1" i="3"/>
  <c r="D22" i="9"/>
  <c r="D23" i="9"/>
  <c r="D24" i="9"/>
  <c r="D25" i="9"/>
  <c r="D26" i="9"/>
  <c r="D27" i="9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27" i="11"/>
  <c r="F16" i="14"/>
  <c r="F15" i="14"/>
  <c r="K7" i="9"/>
  <c r="F14" i="14" s="1"/>
  <c r="S2" i="9"/>
  <c r="I30" i="9"/>
  <c r="B6" i="15" s="1"/>
  <c r="I29" i="9"/>
  <c r="B5" i="15" s="1"/>
  <c r="I28" i="9"/>
  <c r="B4" i="15" s="1"/>
  <c r="I27" i="9"/>
  <c r="B3" i="15" s="1"/>
  <c r="O18" i="9"/>
  <c r="K16" i="9"/>
  <c r="K15" i="9"/>
  <c r="K14" i="9"/>
  <c r="F3" i="3" s="1"/>
  <c r="K13" i="9"/>
  <c r="F2" i="3" s="1"/>
  <c r="K12" i="9"/>
  <c r="F1" i="3" s="1"/>
  <c r="C1" i="9"/>
  <c r="C7" i="9" s="1"/>
  <c r="C2" i="9"/>
  <c r="B1" i="3" s="1"/>
  <c r="D7" i="10"/>
  <c r="I7" i="10" s="1"/>
  <c r="J7" i="10" s="1"/>
  <c r="F20" i="9" s="1"/>
  <c r="B20" i="9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27" i="13"/>
  <c r="B14" i="13"/>
  <c r="E14" i="13"/>
  <c r="F14" i="13"/>
  <c r="G14" i="13"/>
  <c r="B15" i="13"/>
  <c r="E15" i="13"/>
  <c r="G15" i="13"/>
  <c r="B16" i="13"/>
  <c r="E16" i="13"/>
  <c r="C1" i="13"/>
  <c r="C3" i="13"/>
  <c r="C5" i="13"/>
  <c r="C6" i="13"/>
  <c r="C7" i="13"/>
  <c r="C8" i="13"/>
  <c r="D20" i="9"/>
  <c r="D21" i="9"/>
  <c r="E15" i="10"/>
  <c r="K380" i="12"/>
  <c r="L380" i="12" s="1"/>
  <c r="K379" i="12"/>
  <c r="L379" i="12" s="1"/>
  <c r="K378" i="12"/>
  <c r="L378" i="12" s="1"/>
  <c r="K377" i="12"/>
  <c r="L377" i="12" s="1"/>
  <c r="K376" i="12"/>
  <c r="L376" i="12" s="1"/>
  <c r="K375" i="12"/>
  <c r="L375" i="12" s="1"/>
  <c r="K374" i="12"/>
  <c r="L374" i="12" s="1"/>
  <c r="K373" i="12"/>
  <c r="L373" i="12" s="1"/>
  <c r="K372" i="12"/>
  <c r="L372" i="12" s="1"/>
  <c r="K371" i="12"/>
  <c r="L371" i="12" s="1"/>
  <c r="K370" i="12"/>
  <c r="L370" i="12" s="1"/>
  <c r="K369" i="12"/>
  <c r="L369" i="12" s="1"/>
  <c r="K368" i="12"/>
  <c r="L368" i="12" s="1"/>
  <c r="K367" i="12"/>
  <c r="L367" i="12" s="1"/>
  <c r="K366" i="12"/>
  <c r="L366" i="12" s="1"/>
  <c r="K365" i="12"/>
  <c r="L365" i="12" s="1"/>
  <c r="K364" i="12"/>
  <c r="L364" i="12" s="1"/>
  <c r="K363" i="12"/>
  <c r="L363" i="12" s="1"/>
  <c r="K362" i="12"/>
  <c r="L362" i="12" s="1"/>
  <c r="K361" i="12"/>
  <c r="L361" i="12" s="1"/>
  <c r="K360" i="12"/>
  <c r="L360" i="12" s="1"/>
  <c r="K359" i="12"/>
  <c r="L359" i="12" s="1"/>
  <c r="K358" i="12"/>
  <c r="L358" i="12" s="1"/>
  <c r="K357" i="12"/>
  <c r="L357" i="12" s="1"/>
  <c r="K356" i="12"/>
  <c r="L356" i="12" s="1"/>
  <c r="K355" i="12"/>
  <c r="L355" i="12" s="1"/>
  <c r="K354" i="12"/>
  <c r="L354" i="12" s="1"/>
  <c r="K353" i="12"/>
  <c r="L353" i="12" s="1"/>
  <c r="K352" i="12"/>
  <c r="L352" i="12" s="1"/>
  <c r="K351" i="12"/>
  <c r="L351" i="12" s="1"/>
  <c r="K350" i="12"/>
  <c r="L350" i="12" s="1"/>
  <c r="K349" i="12"/>
  <c r="L349" i="12" s="1"/>
  <c r="K348" i="12"/>
  <c r="L348" i="12" s="1"/>
  <c r="K347" i="12"/>
  <c r="L347" i="12" s="1"/>
  <c r="K346" i="12"/>
  <c r="L346" i="12" s="1"/>
  <c r="K345" i="12"/>
  <c r="L345" i="12" s="1"/>
  <c r="K344" i="12"/>
  <c r="L344" i="12" s="1"/>
  <c r="K343" i="12"/>
  <c r="L343" i="12" s="1"/>
  <c r="K342" i="12"/>
  <c r="L342" i="12" s="1"/>
  <c r="K341" i="12"/>
  <c r="L341" i="12" s="1"/>
  <c r="K340" i="12"/>
  <c r="L340" i="12" s="1"/>
  <c r="K339" i="12"/>
  <c r="L339" i="12" s="1"/>
  <c r="K338" i="12"/>
  <c r="L338" i="12" s="1"/>
  <c r="K337" i="12"/>
  <c r="L337" i="12" s="1"/>
  <c r="K336" i="12"/>
  <c r="L336" i="12" s="1"/>
  <c r="K335" i="12"/>
  <c r="L335" i="12" s="1"/>
  <c r="K334" i="12"/>
  <c r="L334" i="12" s="1"/>
  <c r="K333" i="12"/>
  <c r="L333" i="12" s="1"/>
  <c r="K332" i="12"/>
  <c r="L332" i="12" s="1"/>
  <c r="K331" i="12"/>
  <c r="L331" i="12" s="1"/>
  <c r="K330" i="12"/>
  <c r="L330" i="12" s="1"/>
  <c r="K329" i="12"/>
  <c r="L329" i="12" s="1"/>
  <c r="K328" i="12"/>
  <c r="L328" i="12" s="1"/>
  <c r="K327" i="12"/>
  <c r="L327" i="12" s="1"/>
  <c r="K326" i="12"/>
  <c r="L326" i="12" s="1"/>
  <c r="K325" i="12"/>
  <c r="L325" i="12" s="1"/>
  <c r="K324" i="12"/>
  <c r="L324" i="12" s="1"/>
  <c r="K323" i="12"/>
  <c r="L323" i="12" s="1"/>
  <c r="K322" i="12"/>
  <c r="L322" i="12" s="1"/>
  <c r="K321" i="12"/>
  <c r="L321" i="12" s="1"/>
  <c r="K320" i="12"/>
  <c r="L320" i="12" s="1"/>
  <c r="K319" i="12"/>
  <c r="L319" i="12" s="1"/>
  <c r="K318" i="12"/>
  <c r="L318" i="12" s="1"/>
  <c r="K317" i="12"/>
  <c r="L317" i="12" s="1"/>
  <c r="K316" i="12"/>
  <c r="L316" i="12" s="1"/>
  <c r="K315" i="12"/>
  <c r="L315" i="12" s="1"/>
  <c r="K314" i="12"/>
  <c r="L314" i="12" s="1"/>
  <c r="K313" i="12"/>
  <c r="L313" i="12" s="1"/>
  <c r="K312" i="12"/>
  <c r="L312" i="12" s="1"/>
  <c r="K311" i="12"/>
  <c r="L311" i="12" s="1"/>
  <c r="K310" i="12"/>
  <c r="L310" i="12" s="1"/>
  <c r="K309" i="12"/>
  <c r="L309" i="12" s="1"/>
  <c r="K308" i="12"/>
  <c r="L308" i="12" s="1"/>
  <c r="K307" i="12"/>
  <c r="L307" i="12" s="1"/>
  <c r="K306" i="12"/>
  <c r="L306" i="12" s="1"/>
  <c r="K305" i="12"/>
  <c r="L305" i="12" s="1"/>
  <c r="K304" i="12"/>
  <c r="L304" i="12" s="1"/>
  <c r="K303" i="12"/>
  <c r="L303" i="12" s="1"/>
  <c r="K302" i="12"/>
  <c r="L302" i="12" s="1"/>
  <c r="K301" i="12"/>
  <c r="L301" i="12" s="1"/>
  <c r="K300" i="12"/>
  <c r="L300" i="12" s="1"/>
  <c r="K299" i="12"/>
  <c r="L299" i="12" s="1"/>
  <c r="K298" i="12"/>
  <c r="L298" i="12" s="1"/>
  <c r="K297" i="12"/>
  <c r="L297" i="12" s="1"/>
  <c r="K296" i="12"/>
  <c r="L296" i="12" s="1"/>
  <c r="K295" i="12"/>
  <c r="L295" i="12" s="1"/>
  <c r="K294" i="12"/>
  <c r="L294" i="12" s="1"/>
  <c r="K293" i="12"/>
  <c r="L293" i="12" s="1"/>
  <c r="K292" i="12"/>
  <c r="L292" i="12" s="1"/>
  <c r="K291" i="12"/>
  <c r="L291" i="12" s="1"/>
  <c r="K290" i="12"/>
  <c r="L290" i="12" s="1"/>
  <c r="K289" i="12"/>
  <c r="L289" i="12" s="1"/>
  <c r="K288" i="12"/>
  <c r="L288" i="12" s="1"/>
  <c r="K287" i="12"/>
  <c r="L287" i="12" s="1"/>
  <c r="K286" i="12"/>
  <c r="L286" i="12" s="1"/>
  <c r="K285" i="12"/>
  <c r="L285" i="12" s="1"/>
  <c r="K284" i="12"/>
  <c r="L284" i="12" s="1"/>
  <c r="K283" i="12"/>
  <c r="L283" i="12" s="1"/>
  <c r="K282" i="12"/>
  <c r="L282" i="12" s="1"/>
  <c r="K281" i="12"/>
  <c r="L281" i="12" s="1"/>
  <c r="K280" i="12"/>
  <c r="L280" i="12" s="1"/>
  <c r="K279" i="12"/>
  <c r="L279" i="12" s="1"/>
  <c r="K278" i="12"/>
  <c r="L278" i="12" s="1"/>
  <c r="K277" i="12"/>
  <c r="L277" i="12" s="1"/>
  <c r="K276" i="12"/>
  <c r="L276" i="12" s="1"/>
  <c r="K275" i="12"/>
  <c r="L275" i="12" s="1"/>
  <c r="K274" i="12"/>
  <c r="L274" i="12" s="1"/>
  <c r="K273" i="12"/>
  <c r="L273" i="12" s="1"/>
  <c r="K272" i="12"/>
  <c r="L272" i="12" s="1"/>
  <c r="K271" i="12"/>
  <c r="L271" i="12" s="1"/>
  <c r="K270" i="12"/>
  <c r="L270" i="12" s="1"/>
  <c r="K269" i="12"/>
  <c r="L269" i="12" s="1"/>
  <c r="K268" i="12"/>
  <c r="L268" i="12" s="1"/>
  <c r="K267" i="12"/>
  <c r="L267" i="12" s="1"/>
  <c r="K266" i="12"/>
  <c r="L266" i="12" s="1"/>
  <c r="K265" i="12"/>
  <c r="L265" i="12" s="1"/>
  <c r="K264" i="12"/>
  <c r="L264" i="12" s="1"/>
  <c r="K263" i="12"/>
  <c r="L263" i="12" s="1"/>
  <c r="K262" i="12"/>
  <c r="L262" i="12" s="1"/>
  <c r="K261" i="12"/>
  <c r="L261" i="12" s="1"/>
  <c r="K260" i="12"/>
  <c r="L260" i="12" s="1"/>
  <c r="K259" i="12"/>
  <c r="L259" i="12" s="1"/>
  <c r="K258" i="12"/>
  <c r="L258" i="12" s="1"/>
  <c r="K257" i="12"/>
  <c r="L257" i="12" s="1"/>
  <c r="K256" i="12"/>
  <c r="L256" i="12" s="1"/>
  <c r="K255" i="12"/>
  <c r="L255" i="12" s="1"/>
  <c r="K254" i="12"/>
  <c r="L254" i="12" s="1"/>
  <c r="K253" i="12"/>
  <c r="L253" i="12" s="1"/>
  <c r="K252" i="12"/>
  <c r="L252" i="12" s="1"/>
  <c r="K251" i="12"/>
  <c r="L251" i="12" s="1"/>
  <c r="K250" i="12"/>
  <c r="L250" i="12" s="1"/>
  <c r="K249" i="12"/>
  <c r="L249" i="12" s="1"/>
  <c r="K248" i="12"/>
  <c r="L248" i="12" s="1"/>
  <c r="K247" i="12"/>
  <c r="L247" i="12" s="1"/>
  <c r="K246" i="12"/>
  <c r="L246" i="12" s="1"/>
  <c r="K245" i="12"/>
  <c r="L245" i="12" s="1"/>
  <c r="K244" i="12"/>
  <c r="L244" i="12" s="1"/>
  <c r="K243" i="12"/>
  <c r="L243" i="12" s="1"/>
  <c r="K242" i="12"/>
  <c r="L242" i="12" s="1"/>
  <c r="K241" i="12"/>
  <c r="L241" i="12" s="1"/>
  <c r="K240" i="12"/>
  <c r="L240" i="12" s="1"/>
  <c r="K239" i="12"/>
  <c r="L239" i="12" s="1"/>
  <c r="K238" i="12"/>
  <c r="L238" i="12" s="1"/>
  <c r="K237" i="12"/>
  <c r="L237" i="12" s="1"/>
  <c r="K236" i="12"/>
  <c r="L236" i="12" s="1"/>
  <c r="K235" i="12"/>
  <c r="L235" i="12" s="1"/>
  <c r="K234" i="12"/>
  <c r="L234" i="12" s="1"/>
  <c r="K233" i="12"/>
  <c r="L233" i="12" s="1"/>
  <c r="K232" i="12"/>
  <c r="L232" i="12" s="1"/>
  <c r="K231" i="12"/>
  <c r="L231" i="12" s="1"/>
  <c r="K230" i="12"/>
  <c r="L230" i="12" s="1"/>
  <c r="K229" i="12"/>
  <c r="L229" i="12" s="1"/>
  <c r="K228" i="12"/>
  <c r="L228" i="12" s="1"/>
  <c r="K227" i="12"/>
  <c r="L227" i="12" s="1"/>
  <c r="K226" i="12"/>
  <c r="L226" i="12" s="1"/>
  <c r="K225" i="12"/>
  <c r="L225" i="12" s="1"/>
  <c r="K224" i="12"/>
  <c r="L224" i="12" s="1"/>
  <c r="K223" i="12"/>
  <c r="L223" i="12" s="1"/>
  <c r="K222" i="12"/>
  <c r="L222" i="12" s="1"/>
  <c r="K221" i="12"/>
  <c r="L221" i="12" s="1"/>
  <c r="K220" i="12"/>
  <c r="L220" i="12" s="1"/>
  <c r="K219" i="12"/>
  <c r="L219" i="12" s="1"/>
  <c r="K218" i="12"/>
  <c r="L218" i="12" s="1"/>
  <c r="K217" i="12"/>
  <c r="L217" i="12" s="1"/>
  <c r="K216" i="12"/>
  <c r="L216" i="12" s="1"/>
  <c r="K215" i="12"/>
  <c r="L215" i="12" s="1"/>
  <c r="K214" i="12"/>
  <c r="L214" i="12" s="1"/>
  <c r="K213" i="12"/>
  <c r="L213" i="12" s="1"/>
  <c r="K212" i="12"/>
  <c r="L212" i="12" s="1"/>
  <c r="K211" i="12"/>
  <c r="L211" i="12" s="1"/>
  <c r="K210" i="12"/>
  <c r="L210" i="12" s="1"/>
  <c r="K209" i="12"/>
  <c r="L209" i="12" s="1"/>
  <c r="K208" i="12"/>
  <c r="L208" i="12" s="1"/>
  <c r="K207" i="12"/>
  <c r="L207" i="12" s="1"/>
  <c r="K206" i="12"/>
  <c r="L206" i="12" s="1"/>
  <c r="K205" i="12"/>
  <c r="L205" i="12" s="1"/>
  <c r="K204" i="12"/>
  <c r="L204" i="12" s="1"/>
  <c r="K203" i="12"/>
  <c r="L203" i="12" s="1"/>
  <c r="K202" i="12"/>
  <c r="L202" i="12" s="1"/>
  <c r="K201" i="12"/>
  <c r="L201" i="12" s="1"/>
  <c r="K200" i="12"/>
  <c r="L200" i="12" s="1"/>
  <c r="K199" i="12"/>
  <c r="L199" i="12" s="1"/>
  <c r="K198" i="12"/>
  <c r="L198" i="12" s="1"/>
  <c r="K197" i="12"/>
  <c r="L197" i="12" s="1"/>
  <c r="K196" i="12"/>
  <c r="L196" i="12" s="1"/>
  <c r="K195" i="12"/>
  <c r="L195" i="12" s="1"/>
  <c r="K194" i="12"/>
  <c r="L194" i="12" s="1"/>
  <c r="K193" i="12"/>
  <c r="L193" i="12" s="1"/>
  <c r="K192" i="12"/>
  <c r="L192" i="12" s="1"/>
  <c r="K191" i="12"/>
  <c r="L191" i="12" s="1"/>
  <c r="K190" i="12"/>
  <c r="L190" i="12" s="1"/>
  <c r="K189" i="12"/>
  <c r="L189" i="12" s="1"/>
  <c r="K188" i="12"/>
  <c r="L188" i="12" s="1"/>
  <c r="K187" i="12"/>
  <c r="L187" i="12" s="1"/>
  <c r="K186" i="12"/>
  <c r="L186" i="12" s="1"/>
  <c r="K185" i="12"/>
  <c r="L185" i="12" s="1"/>
  <c r="K184" i="12"/>
  <c r="L184" i="12" s="1"/>
  <c r="K183" i="12"/>
  <c r="L183" i="12" s="1"/>
  <c r="K182" i="12"/>
  <c r="L182" i="12" s="1"/>
  <c r="K181" i="12"/>
  <c r="L181" i="12" s="1"/>
  <c r="K180" i="12"/>
  <c r="L180" i="12" s="1"/>
  <c r="K179" i="12"/>
  <c r="L179" i="12" s="1"/>
  <c r="K178" i="12"/>
  <c r="L178" i="12" s="1"/>
  <c r="K177" i="12"/>
  <c r="L177" i="12" s="1"/>
  <c r="K176" i="12"/>
  <c r="L176" i="12" s="1"/>
  <c r="K175" i="12"/>
  <c r="L175" i="12" s="1"/>
  <c r="K174" i="12"/>
  <c r="L174" i="12" s="1"/>
  <c r="K173" i="12"/>
  <c r="L173" i="12" s="1"/>
  <c r="K172" i="12"/>
  <c r="L172" i="12" s="1"/>
  <c r="K171" i="12"/>
  <c r="L171" i="12" s="1"/>
  <c r="K170" i="12"/>
  <c r="L170" i="12" s="1"/>
  <c r="K169" i="12"/>
  <c r="L169" i="12" s="1"/>
  <c r="K168" i="12"/>
  <c r="L168" i="12" s="1"/>
  <c r="K167" i="12"/>
  <c r="L167" i="12" s="1"/>
  <c r="K166" i="12"/>
  <c r="L166" i="12" s="1"/>
  <c r="K165" i="12"/>
  <c r="L165" i="12" s="1"/>
  <c r="K164" i="12"/>
  <c r="L164" i="12" s="1"/>
  <c r="K163" i="12"/>
  <c r="L163" i="12" s="1"/>
  <c r="K162" i="12"/>
  <c r="L162" i="12" s="1"/>
  <c r="K161" i="12"/>
  <c r="L161" i="12" s="1"/>
  <c r="K160" i="12"/>
  <c r="L160" i="12" s="1"/>
  <c r="K159" i="12"/>
  <c r="L159" i="12" s="1"/>
  <c r="K158" i="12"/>
  <c r="L158" i="12" s="1"/>
  <c r="K157" i="12"/>
  <c r="L157" i="12" s="1"/>
  <c r="K156" i="12"/>
  <c r="L156" i="12" s="1"/>
  <c r="K155" i="12"/>
  <c r="L155" i="12" s="1"/>
  <c r="K154" i="12"/>
  <c r="L154" i="12" s="1"/>
  <c r="K153" i="12"/>
  <c r="L153" i="12" s="1"/>
  <c r="K152" i="12"/>
  <c r="L152" i="12" s="1"/>
  <c r="K151" i="12"/>
  <c r="L151" i="12" s="1"/>
  <c r="K150" i="12"/>
  <c r="L150" i="12" s="1"/>
  <c r="K149" i="12"/>
  <c r="L149" i="12" s="1"/>
  <c r="K148" i="12"/>
  <c r="L148" i="12" s="1"/>
  <c r="K147" i="12"/>
  <c r="L147" i="12" s="1"/>
  <c r="K146" i="12"/>
  <c r="L146" i="12" s="1"/>
  <c r="K145" i="12"/>
  <c r="L145" i="12" s="1"/>
  <c r="K144" i="12"/>
  <c r="L144" i="12" s="1"/>
  <c r="K143" i="12"/>
  <c r="L143" i="12" s="1"/>
  <c r="K142" i="12"/>
  <c r="L142" i="12" s="1"/>
  <c r="K141" i="12"/>
  <c r="L141" i="12" s="1"/>
  <c r="K140" i="12"/>
  <c r="L140" i="12" s="1"/>
  <c r="K139" i="12"/>
  <c r="L139" i="12" s="1"/>
  <c r="K138" i="12"/>
  <c r="L138" i="12" s="1"/>
  <c r="K137" i="12"/>
  <c r="L137" i="12" s="1"/>
  <c r="K136" i="12"/>
  <c r="L136" i="12" s="1"/>
  <c r="K135" i="12"/>
  <c r="L135" i="12" s="1"/>
  <c r="K134" i="12"/>
  <c r="L134" i="12" s="1"/>
  <c r="K133" i="12"/>
  <c r="L133" i="12" s="1"/>
  <c r="K132" i="12"/>
  <c r="L132" i="12" s="1"/>
  <c r="K131" i="12"/>
  <c r="L131" i="12" s="1"/>
  <c r="K130" i="12"/>
  <c r="L130" i="12" s="1"/>
  <c r="K129" i="12"/>
  <c r="L129" i="12" s="1"/>
  <c r="K128" i="12"/>
  <c r="L128" i="12" s="1"/>
  <c r="K127" i="12"/>
  <c r="L127" i="12" s="1"/>
  <c r="K126" i="12"/>
  <c r="L126" i="12" s="1"/>
  <c r="K125" i="12"/>
  <c r="L125" i="12" s="1"/>
  <c r="K124" i="12"/>
  <c r="L124" i="12" s="1"/>
  <c r="K123" i="12"/>
  <c r="L123" i="12" s="1"/>
  <c r="K122" i="12"/>
  <c r="L122" i="12" s="1"/>
  <c r="K121" i="12"/>
  <c r="L121" i="12" s="1"/>
  <c r="K120" i="12"/>
  <c r="L120" i="12" s="1"/>
  <c r="K119" i="12"/>
  <c r="L119" i="12" s="1"/>
  <c r="K118" i="12"/>
  <c r="L118" i="12" s="1"/>
  <c r="K117" i="12"/>
  <c r="L117" i="12" s="1"/>
  <c r="K116" i="12"/>
  <c r="L116" i="12" s="1"/>
  <c r="K115" i="12"/>
  <c r="L115" i="12" s="1"/>
  <c r="K114" i="12"/>
  <c r="L114" i="12" s="1"/>
  <c r="K113" i="12"/>
  <c r="L113" i="12" s="1"/>
  <c r="K112" i="12"/>
  <c r="L112" i="12" s="1"/>
  <c r="K111" i="12"/>
  <c r="L111" i="12" s="1"/>
  <c r="K110" i="12"/>
  <c r="L110" i="12" s="1"/>
  <c r="K109" i="12"/>
  <c r="L109" i="12" s="1"/>
  <c r="K108" i="12"/>
  <c r="L108" i="12" s="1"/>
  <c r="K107" i="12"/>
  <c r="L107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K101" i="12"/>
  <c r="L101" i="12" s="1"/>
  <c r="K100" i="12"/>
  <c r="L100" i="12" s="1"/>
  <c r="K99" i="12"/>
  <c r="L99" i="12" s="1"/>
  <c r="K98" i="12"/>
  <c r="L98" i="12" s="1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K88" i="12"/>
  <c r="L88" i="12" s="1"/>
  <c r="K87" i="12"/>
  <c r="L87" i="12" s="1"/>
  <c r="K86" i="12"/>
  <c r="L86" i="12" s="1"/>
  <c r="K85" i="12"/>
  <c r="L85" i="12" s="1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K77" i="12"/>
  <c r="L77" i="12" s="1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K58" i="12"/>
  <c r="L58" i="12" s="1"/>
  <c r="K57" i="12"/>
  <c r="L57" i="12" s="1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K38" i="12"/>
  <c r="L38" i="12" s="1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20" i="12"/>
  <c r="L20" i="12" s="1"/>
  <c r="K19" i="12"/>
  <c r="L19" i="12" s="1"/>
  <c r="K18" i="12"/>
  <c r="L18" i="12" s="1"/>
  <c r="K17" i="12"/>
  <c r="L17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D371" i="12" s="1"/>
  <c r="D372" i="12" s="1"/>
  <c r="D373" i="12" s="1"/>
  <c r="D374" i="12" s="1"/>
  <c r="D375" i="12" s="1"/>
  <c r="D376" i="12" s="1"/>
  <c r="D377" i="12" s="1"/>
  <c r="D378" i="12" s="1"/>
  <c r="D379" i="12" s="1"/>
  <c r="D380" i="12" s="1"/>
  <c r="K16" i="12"/>
  <c r="L16" i="12" s="1"/>
  <c r="A1" i="11"/>
  <c r="B1" i="11"/>
  <c r="C1" i="11"/>
  <c r="D1" i="11"/>
  <c r="A2" i="11"/>
  <c r="B2" i="11"/>
  <c r="D2" i="11"/>
  <c r="A3" i="11"/>
  <c r="B3" i="11"/>
  <c r="C3" i="11"/>
  <c r="D3" i="11"/>
  <c r="G3" i="11"/>
  <c r="H3" i="11"/>
  <c r="A4" i="11"/>
  <c r="B4" i="11"/>
  <c r="D4" i="11"/>
  <c r="A5" i="11"/>
  <c r="B5" i="11"/>
  <c r="C5" i="11"/>
  <c r="A6" i="11"/>
  <c r="B6" i="11"/>
  <c r="A7" i="11"/>
  <c r="B7" i="11"/>
  <c r="C7" i="11"/>
  <c r="M15" i="11" s="1"/>
  <c r="D7" i="11"/>
  <c r="A8" i="11"/>
  <c r="B8" i="11"/>
  <c r="C8" i="11"/>
  <c r="D8" i="11"/>
  <c r="C11" i="11"/>
  <c r="D11" i="11"/>
  <c r="E11" i="11"/>
  <c r="A12" i="11"/>
  <c r="B12" i="11"/>
  <c r="C12" i="11"/>
  <c r="D12" i="11"/>
  <c r="E12" i="11"/>
  <c r="F12" i="11"/>
  <c r="G12" i="11"/>
  <c r="A13" i="11"/>
  <c r="B13" i="11"/>
  <c r="E13" i="11"/>
  <c r="F13" i="11"/>
  <c r="G13" i="11"/>
  <c r="A14" i="11"/>
  <c r="B14" i="11"/>
  <c r="E14" i="11"/>
  <c r="F14" i="11"/>
  <c r="G14" i="11"/>
  <c r="A15" i="11"/>
  <c r="B15" i="11"/>
  <c r="E15" i="11"/>
  <c r="F15" i="11"/>
  <c r="G15" i="11"/>
  <c r="A16" i="11"/>
  <c r="D15" i="9"/>
  <c r="D13" i="9"/>
  <c r="D14" i="9"/>
  <c r="C15" i="9"/>
  <c r="C14" i="9"/>
  <c r="C13" i="9"/>
  <c r="C4" i="9"/>
  <c r="Q10" i="5"/>
  <c r="N10" i="5"/>
  <c r="B24" i="5"/>
  <c r="B25" i="5"/>
  <c r="B26" i="5"/>
  <c r="B27" i="5"/>
  <c r="A24" i="5"/>
  <c r="A25" i="5"/>
  <c r="A26" i="5"/>
  <c r="B23" i="5"/>
  <c r="A23" i="5"/>
  <c r="Q11" i="5"/>
  <c r="H14" i="5"/>
  <c r="I14" i="5" s="1"/>
  <c r="D14" i="5"/>
  <c r="E14" i="5" s="1"/>
  <c r="N11" i="5"/>
  <c r="D11" i="5"/>
  <c r="E11" i="5" s="1"/>
  <c r="D12" i="5"/>
  <c r="E12" i="5" s="1"/>
  <c r="D13" i="5"/>
  <c r="E13" i="5" s="1"/>
  <c r="D10" i="5"/>
  <c r="E10" i="5" s="1"/>
  <c r="C3" i="5"/>
  <c r="H11" i="5"/>
  <c r="I11" i="5" s="1"/>
  <c r="H12" i="5"/>
  <c r="I12" i="5" s="1"/>
  <c r="H13" i="5"/>
  <c r="I13" i="5" s="1"/>
  <c r="H10" i="5"/>
  <c r="I10" i="5" s="1"/>
  <c r="I6" i="3"/>
  <c r="A25" i="3"/>
  <c r="A22" i="3"/>
  <c r="A23" i="3" s="1"/>
  <c r="A24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11" i="3"/>
  <c r="C2" i="13" l="1"/>
  <c r="O20" i="9"/>
  <c r="M18" i="14" s="1"/>
  <c r="N18" i="14" s="1"/>
  <c r="O19" i="9"/>
  <c r="E21" i="15"/>
  <c r="E7" i="16"/>
  <c r="E7" i="12"/>
  <c r="B2" i="3"/>
  <c r="C2" i="11"/>
  <c r="D18" i="14" s="1"/>
  <c r="F18" i="14" s="1"/>
  <c r="E6" i="16"/>
  <c r="E6" i="12"/>
  <c r="H28" i="4"/>
  <c r="M21" i="14"/>
  <c r="D30" i="14"/>
  <c r="F30" i="14" s="1"/>
  <c r="F27" i="14"/>
  <c r="D29" i="14"/>
  <c r="F29" i="14" s="1"/>
  <c r="I28" i="4"/>
  <c r="I25" i="4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8" i="15"/>
  <c r="F28" i="15" s="1"/>
  <c r="G28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35" i="15"/>
  <c r="F35" i="15" s="1"/>
  <c r="G35" i="15" s="1"/>
  <c r="E36" i="15"/>
  <c r="F36" i="15" s="1"/>
  <c r="G36" i="15" s="1"/>
  <c r="E37" i="15"/>
  <c r="F37" i="15" s="1"/>
  <c r="G37" i="15" s="1"/>
  <c r="E38" i="15"/>
  <c r="F38" i="15" s="1"/>
  <c r="G38" i="15" s="1"/>
  <c r="E39" i="15"/>
  <c r="F39" i="15" s="1"/>
  <c r="G39" i="15" s="1"/>
  <c r="E40" i="15"/>
  <c r="F40" i="15" s="1"/>
  <c r="G40" i="15" s="1"/>
  <c r="E41" i="15"/>
  <c r="F41" i="15" s="1"/>
  <c r="G41" i="15" s="1"/>
  <c r="E42" i="15"/>
  <c r="F42" i="15" s="1"/>
  <c r="G42" i="15" s="1"/>
  <c r="E43" i="15"/>
  <c r="F43" i="15" s="1"/>
  <c r="G43" i="15" s="1"/>
  <c r="E44" i="15"/>
  <c r="F44" i="15" s="1"/>
  <c r="G44" i="15" s="1"/>
  <c r="E45" i="15"/>
  <c r="F45" i="15" s="1"/>
  <c r="G45" i="15" s="1"/>
  <c r="E46" i="15"/>
  <c r="F46" i="15" s="1"/>
  <c r="G46" i="15" s="1"/>
  <c r="E47" i="15"/>
  <c r="F47" i="15" s="1"/>
  <c r="G47" i="15" s="1"/>
  <c r="E48" i="15"/>
  <c r="F48" i="15" s="1"/>
  <c r="G48" i="15" s="1"/>
  <c r="E49" i="15"/>
  <c r="F49" i="15" s="1"/>
  <c r="G49" i="15" s="1"/>
  <c r="E50" i="15"/>
  <c r="F50" i="15" s="1"/>
  <c r="G50" i="15" s="1"/>
  <c r="E51" i="15"/>
  <c r="F51" i="15" s="1"/>
  <c r="G51" i="15" s="1"/>
  <c r="E52" i="15"/>
  <c r="F52" i="15" s="1"/>
  <c r="G52" i="15" s="1"/>
  <c r="E53" i="15"/>
  <c r="F53" i="15" s="1"/>
  <c r="G53" i="15" s="1"/>
  <c r="E54" i="15"/>
  <c r="F54" i="15" s="1"/>
  <c r="G54" i="15" s="1"/>
  <c r="E55" i="15"/>
  <c r="F55" i="15" s="1"/>
  <c r="G55" i="15" s="1"/>
  <c r="E56" i="15"/>
  <c r="F56" i="15" s="1"/>
  <c r="G56" i="15" s="1"/>
  <c r="E57" i="15"/>
  <c r="F57" i="15" s="1"/>
  <c r="G57" i="15" s="1"/>
  <c r="E58" i="15"/>
  <c r="F58" i="15" s="1"/>
  <c r="G58" i="15" s="1"/>
  <c r="E59" i="15"/>
  <c r="F59" i="15" s="1"/>
  <c r="G59" i="15" s="1"/>
  <c r="E60" i="15"/>
  <c r="F60" i="15" s="1"/>
  <c r="G60" i="15" s="1"/>
  <c r="E61" i="15"/>
  <c r="F61" i="15" s="1"/>
  <c r="G61" i="15" s="1"/>
  <c r="E62" i="15"/>
  <c r="F62" i="15" s="1"/>
  <c r="G62" i="15" s="1"/>
  <c r="E63" i="15"/>
  <c r="F63" i="15" s="1"/>
  <c r="G63" i="15" s="1"/>
  <c r="E64" i="15"/>
  <c r="F64" i="15" s="1"/>
  <c r="G64" i="15" s="1"/>
  <c r="E65" i="15"/>
  <c r="F65" i="15" s="1"/>
  <c r="G65" i="15" s="1"/>
  <c r="E66" i="15"/>
  <c r="F66" i="15" s="1"/>
  <c r="G66" i="15" s="1"/>
  <c r="E67" i="15"/>
  <c r="F67" i="15" s="1"/>
  <c r="G67" i="15" s="1"/>
  <c r="E68" i="15"/>
  <c r="F68" i="15" s="1"/>
  <c r="G68" i="15" s="1"/>
  <c r="E69" i="15"/>
  <c r="F69" i="15" s="1"/>
  <c r="G69" i="15" s="1"/>
  <c r="E70" i="15"/>
  <c r="F70" i="15" s="1"/>
  <c r="G70" i="15" s="1"/>
  <c r="E71" i="15"/>
  <c r="F71" i="15" s="1"/>
  <c r="G71" i="15" s="1"/>
  <c r="E72" i="15"/>
  <c r="F72" i="15" s="1"/>
  <c r="G72" i="15" s="1"/>
  <c r="E73" i="15"/>
  <c r="F73" i="15" s="1"/>
  <c r="G73" i="15" s="1"/>
  <c r="E74" i="15"/>
  <c r="F74" i="15" s="1"/>
  <c r="G74" i="15" s="1"/>
  <c r="E75" i="15"/>
  <c r="F75" i="15" s="1"/>
  <c r="G75" i="15" s="1"/>
  <c r="E76" i="15"/>
  <c r="F76" i="15" s="1"/>
  <c r="G76" i="15" s="1"/>
  <c r="E77" i="15"/>
  <c r="F77" i="15" s="1"/>
  <c r="G77" i="15" s="1"/>
  <c r="E78" i="15"/>
  <c r="F78" i="15" s="1"/>
  <c r="G78" i="15" s="1"/>
  <c r="E79" i="15"/>
  <c r="F79" i="15" s="1"/>
  <c r="G79" i="15" s="1"/>
  <c r="E80" i="15"/>
  <c r="F80" i="15" s="1"/>
  <c r="G80" i="15" s="1"/>
  <c r="E81" i="15"/>
  <c r="F81" i="15" s="1"/>
  <c r="G81" i="15" s="1"/>
  <c r="E82" i="15"/>
  <c r="F82" i="15" s="1"/>
  <c r="G82" i="15" s="1"/>
  <c r="E83" i="15"/>
  <c r="F83" i="15" s="1"/>
  <c r="G83" i="15" s="1"/>
  <c r="E84" i="15"/>
  <c r="F84" i="15" s="1"/>
  <c r="G84" i="15" s="1"/>
  <c r="E85" i="15"/>
  <c r="F85" i="15" s="1"/>
  <c r="G85" i="15" s="1"/>
  <c r="E86" i="15"/>
  <c r="F86" i="15" s="1"/>
  <c r="G86" i="15" s="1"/>
  <c r="E87" i="15"/>
  <c r="F87" i="15" s="1"/>
  <c r="G87" i="15" s="1"/>
  <c r="E88" i="15"/>
  <c r="F88" i="15" s="1"/>
  <c r="G88" i="15" s="1"/>
  <c r="E89" i="15"/>
  <c r="F89" i="15" s="1"/>
  <c r="G89" i="15" s="1"/>
  <c r="E90" i="15"/>
  <c r="F90" i="15" s="1"/>
  <c r="G90" i="15" s="1"/>
  <c r="E91" i="15"/>
  <c r="F91" i="15" s="1"/>
  <c r="G91" i="15" s="1"/>
  <c r="E92" i="15"/>
  <c r="F92" i="15" s="1"/>
  <c r="G92" i="15" s="1"/>
  <c r="E93" i="15"/>
  <c r="F93" i="15" s="1"/>
  <c r="G93" i="15" s="1"/>
  <c r="E94" i="15"/>
  <c r="F94" i="15" s="1"/>
  <c r="G94" i="15" s="1"/>
  <c r="E95" i="15"/>
  <c r="F95" i="15" s="1"/>
  <c r="G95" i="15" s="1"/>
  <c r="E96" i="15"/>
  <c r="F96" i="15" s="1"/>
  <c r="G96" i="15" s="1"/>
  <c r="E97" i="15"/>
  <c r="F97" i="15" s="1"/>
  <c r="G97" i="15" s="1"/>
  <c r="E98" i="15"/>
  <c r="F98" i="15" s="1"/>
  <c r="G98" i="15" s="1"/>
  <c r="E99" i="15"/>
  <c r="F99" i="15" s="1"/>
  <c r="G99" i="15" s="1"/>
  <c r="E100" i="15"/>
  <c r="F100" i="15" s="1"/>
  <c r="G100" i="15" s="1"/>
  <c r="E101" i="15"/>
  <c r="F101" i="15" s="1"/>
  <c r="G101" i="15" s="1"/>
  <c r="E102" i="15"/>
  <c r="F102" i="15" s="1"/>
  <c r="G102" i="15" s="1"/>
  <c r="E103" i="15"/>
  <c r="F103" i="15" s="1"/>
  <c r="G103" i="15" s="1"/>
  <c r="E104" i="15"/>
  <c r="F104" i="15" s="1"/>
  <c r="G104" i="15" s="1"/>
  <c r="E105" i="15"/>
  <c r="F105" i="15" s="1"/>
  <c r="G105" i="15" s="1"/>
  <c r="E106" i="15"/>
  <c r="F106" i="15" s="1"/>
  <c r="G106" i="15" s="1"/>
  <c r="E107" i="15"/>
  <c r="F107" i="15" s="1"/>
  <c r="G107" i="15" s="1"/>
  <c r="E108" i="15"/>
  <c r="F108" i="15" s="1"/>
  <c r="G108" i="15" s="1"/>
  <c r="E109" i="15"/>
  <c r="F109" i="15" s="1"/>
  <c r="G109" i="15" s="1"/>
  <c r="E110" i="15"/>
  <c r="F110" i="15" s="1"/>
  <c r="G110" i="15" s="1"/>
  <c r="E111" i="15"/>
  <c r="F111" i="15" s="1"/>
  <c r="G111" i="15" s="1"/>
  <c r="E112" i="15"/>
  <c r="F112" i="15" s="1"/>
  <c r="G112" i="15" s="1"/>
  <c r="E113" i="15"/>
  <c r="F113" i="15" s="1"/>
  <c r="G113" i="15" s="1"/>
  <c r="E114" i="15"/>
  <c r="F114" i="15" s="1"/>
  <c r="G114" i="15" s="1"/>
  <c r="E115" i="15"/>
  <c r="F115" i="15" s="1"/>
  <c r="G115" i="15" s="1"/>
  <c r="E116" i="15"/>
  <c r="F116" i="15" s="1"/>
  <c r="G116" i="15" s="1"/>
  <c r="E117" i="15"/>
  <c r="F117" i="15" s="1"/>
  <c r="G117" i="15" s="1"/>
  <c r="E118" i="15"/>
  <c r="F118" i="15" s="1"/>
  <c r="G118" i="15" s="1"/>
  <c r="E119" i="15"/>
  <c r="F119" i="15" s="1"/>
  <c r="G119" i="15" s="1"/>
  <c r="E120" i="15"/>
  <c r="F120" i="15" s="1"/>
  <c r="G120" i="15" s="1"/>
  <c r="E121" i="15"/>
  <c r="F121" i="15" s="1"/>
  <c r="G121" i="15" s="1"/>
  <c r="E122" i="15"/>
  <c r="F122" i="15" s="1"/>
  <c r="G122" i="15" s="1"/>
  <c r="E123" i="15"/>
  <c r="F123" i="15" s="1"/>
  <c r="G123" i="15" s="1"/>
  <c r="E124" i="15"/>
  <c r="F124" i="15" s="1"/>
  <c r="G124" i="15" s="1"/>
  <c r="E125" i="15"/>
  <c r="F125" i="15" s="1"/>
  <c r="G125" i="15" s="1"/>
  <c r="E126" i="15"/>
  <c r="F126" i="15" s="1"/>
  <c r="G126" i="15" s="1"/>
  <c r="E127" i="15"/>
  <c r="F127" i="15" s="1"/>
  <c r="G127" i="15" s="1"/>
  <c r="E128" i="15"/>
  <c r="F128" i="15" s="1"/>
  <c r="G128" i="15" s="1"/>
  <c r="E129" i="15"/>
  <c r="F129" i="15" s="1"/>
  <c r="G129" i="15" s="1"/>
  <c r="E130" i="15"/>
  <c r="F130" i="15" s="1"/>
  <c r="G130" i="15" s="1"/>
  <c r="E131" i="15"/>
  <c r="F131" i="15" s="1"/>
  <c r="G131" i="15" s="1"/>
  <c r="E132" i="15"/>
  <c r="F132" i="15" s="1"/>
  <c r="G132" i="15" s="1"/>
  <c r="E133" i="15"/>
  <c r="F133" i="15" s="1"/>
  <c r="G133" i="15" s="1"/>
  <c r="E134" i="15"/>
  <c r="F134" i="15" s="1"/>
  <c r="G134" i="15" s="1"/>
  <c r="E135" i="15"/>
  <c r="F135" i="15" s="1"/>
  <c r="G135" i="15" s="1"/>
  <c r="E136" i="15"/>
  <c r="F136" i="15" s="1"/>
  <c r="G136" i="15" s="1"/>
  <c r="E137" i="15"/>
  <c r="F137" i="15" s="1"/>
  <c r="G137" i="15" s="1"/>
  <c r="E138" i="15"/>
  <c r="F138" i="15" s="1"/>
  <c r="G138" i="15" s="1"/>
  <c r="E139" i="15"/>
  <c r="F139" i="15" s="1"/>
  <c r="G139" i="15" s="1"/>
  <c r="E140" i="15"/>
  <c r="F140" i="15" s="1"/>
  <c r="G140" i="15" s="1"/>
  <c r="E141" i="15"/>
  <c r="F141" i="15" s="1"/>
  <c r="G141" i="15" s="1"/>
  <c r="E142" i="15"/>
  <c r="F142" i="15" s="1"/>
  <c r="G142" i="15" s="1"/>
  <c r="E143" i="15"/>
  <c r="F143" i="15" s="1"/>
  <c r="G143" i="15" s="1"/>
  <c r="E144" i="15"/>
  <c r="F144" i="15" s="1"/>
  <c r="G144" i="15" s="1"/>
  <c r="E145" i="15"/>
  <c r="F145" i="15" s="1"/>
  <c r="G145" i="15" s="1"/>
  <c r="E146" i="15"/>
  <c r="F146" i="15" s="1"/>
  <c r="G146" i="15" s="1"/>
  <c r="E147" i="15"/>
  <c r="F147" i="15" s="1"/>
  <c r="G147" i="15" s="1"/>
  <c r="E148" i="15"/>
  <c r="F148" i="15" s="1"/>
  <c r="G148" i="15" s="1"/>
  <c r="E149" i="15"/>
  <c r="F149" i="15" s="1"/>
  <c r="G149" i="15" s="1"/>
  <c r="E150" i="15"/>
  <c r="F150" i="15" s="1"/>
  <c r="G150" i="15" s="1"/>
  <c r="E151" i="15"/>
  <c r="F151" i="15" s="1"/>
  <c r="G151" i="15" s="1"/>
  <c r="E152" i="15"/>
  <c r="F152" i="15" s="1"/>
  <c r="G152" i="15" s="1"/>
  <c r="E153" i="15"/>
  <c r="F153" i="15" s="1"/>
  <c r="G153" i="15" s="1"/>
  <c r="E154" i="15"/>
  <c r="F154" i="15" s="1"/>
  <c r="G154" i="15" s="1"/>
  <c r="E155" i="15"/>
  <c r="F155" i="15" s="1"/>
  <c r="G155" i="15" s="1"/>
  <c r="E156" i="15"/>
  <c r="F156" i="15" s="1"/>
  <c r="G156" i="15" s="1"/>
  <c r="E157" i="15"/>
  <c r="F157" i="15" s="1"/>
  <c r="G157" i="15" s="1"/>
  <c r="E158" i="15"/>
  <c r="F158" i="15" s="1"/>
  <c r="G158" i="15" s="1"/>
  <c r="E159" i="15"/>
  <c r="F159" i="15" s="1"/>
  <c r="G159" i="15" s="1"/>
  <c r="E160" i="15"/>
  <c r="F160" i="15" s="1"/>
  <c r="G160" i="15" s="1"/>
  <c r="E161" i="15"/>
  <c r="F161" i="15" s="1"/>
  <c r="G161" i="15" s="1"/>
  <c r="E162" i="15"/>
  <c r="F162" i="15" s="1"/>
  <c r="G162" i="15" s="1"/>
  <c r="E163" i="15"/>
  <c r="F163" i="15" s="1"/>
  <c r="G163" i="15" s="1"/>
  <c r="E164" i="15"/>
  <c r="F164" i="15" s="1"/>
  <c r="G164" i="15" s="1"/>
  <c r="E165" i="15"/>
  <c r="F165" i="15" s="1"/>
  <c r="G165" i="15" s="1"/>
  <c r="E166" i="15"/>
  <c r="F166" i="15" s="1"/>
  <c r="G166" i="15" s="1"/>
  <c r="E167" i="15"/>
  <c r="F167" i="15" s="1"/>
  <c r="G167" i="15" s="1"/>
  <c r="E168" i="15"/>
  <c r="F168" i="15" s="1"/>
  <c r="G168" i="15" s="1"/>
  <c r="E169" i="15"/>
  <c r="F169" i="15" s="1"/>
  <c r="G169" i="15" s="1"/>
  <c r="E170" i="15"/>
  <c r="F170" i="15" s="1"/>
  <c r="G170" i="15" s="1"/>
  <c r="E171" i="15"/>
  <c r="F171" i="15" s="1"/>
  <c r="G171" i="15" s="1"/>
  <c r="E172" i="15"/>
  <c r="F172" i="15" s="1"/>
  <c r="G172" i="15" s="1"/>
  <c r="E173" i="15"/>
  <c r="F173" i="15" s="1"/>
  <c r="G173" i="15" s="1"/>
  <c r="E174" i="15"/>
  <c r="F174" i="15" s="1"/>
  <c r="G174" i="15" s="1"/>
  <c r="E175" i="15"/>
  <c r="F175" i="15" s="1"/>
  <c r="G175" i="15" s="1"/>
  <c r="E176" i="15"/>
  <c r="F176" i="15" s="1"/>
  <c r="G176" i="15" s="1"/>
  <c r="E177" i="15"/>
  <c r="F177" i="15" s="1"/>
  <c r="G177" i="15" s="1"/>
  <c r="E178" i="15"/>
  <c r="F178" i="15" s="1"/>
  <c r="G178" i="15" s="1"/>
  <c r="E179" i="15"/>
  <c r="F179" i="15" s="1"/>
  <c r="G179" i="15" s="1"/>
  <c r="E180" i="15"/>
  <c r="F180" i="15" s="1"/>
  <c r="G180" i="15" s="1"/>
  <c r="E181" i="15"/>
  <c r="F181" i="15" s="1"/>
  <c r="G181" i="15" s="1"/>
  <c r="E182" i="15"/>
  <c r="F182" i="15" s="1"/>
  <c r="G182" i="15" s="1"/>
  <c r="E183" i="15"/>
  <c r="F183" i="15" s="1"/>
  <c r="G183" i="15" s="1"/>
  <c r="E184" i="15"/>
  <c r="F184" i="15" s="1"/>
  <c r="G184" i="15" s="1"/>
  <c r="E185" i="15"/>
  <c r="F185" i="15" s="1"/>
  <c r="G185" i="15" s="1"/>
  <c r="E186" i="15"/>
  <c r="F186" i="15" s="1"/>
  <c r="G186" i="15" s="1"/>
  <c r="E187" i="15"/>
  <c r="F187" i="15" s="1"/>
  <c r="G187" i="15" s="1"/>
  <c r="E188" i="15"/>
  <c r="F188" i="15" s="1"/>
  <c r="G188" i="15" s="1"/>
  <c r="E189" i="15"/>
  <c r="F189" i="15" s="1"/>
  <c r="G189" i="15" s="1"/>
  <c r="E190" i="15"/>
  <c r="F190" i="15" s="1"/>
  <c r="G190" i="15" s="1"/>
  <c r="E191" i="15"/>
  <c r="F191" i="15" s="1"/>
  <c r="G191" i="15" s="1"/>
  <c r="E192" i="15"/>
  <c r="F192" i="15" s="1"/>
  <c r="G192" i="15" s="1"/>
  <c r="E193" i="15"/>
  <c r="F193" i="15" s="1"/>
  <c r="G193" i="15" s="1"/>
  <c r="E194" i="15"/>
  <c r="F194" i="15" s="1"/>
  <c r="G194" i="15" s="1"/>
  <c r="E195" i="15"/>
  <c r="F195" i="15" s="1"/>
  <c r="G195" i="15" s="1"/>
  <c r="E196" i="15"/>
  <c r="F196" i="15" s="1"/>
  <c r="G196" i="15" s="1"/>
  <c r="E197" i="15"/>
  <c r="F197" i="15" s="1"/>
  <c r="G197" i="15" s="1"/>
  <c r="E198" i="15"/>
  <c r="F198" i="15" s="1"/>
  <c r="G198" i="15" s="1"/>
  <c r="E199" i="15"/>
  <c r="F199" i="15" s="1"/>
  <c r="G199" i="15" s="1"/>
  <c r="E200" i="15"/>
  <c r="F200" i="15" s="1"/>
  <c r="G200" i="15" s="1"/>
  <c r="E201" i="15"/>
  <c r="F201" i="15" s="1"/>
  <c r="G201" i="15" s="1"/>
  <c r="E202" i="15"/>
  <c r="F202" i="15" s="1"/>
  <c r="G202" i="15" s="1"/>
  <c r="E203" i="15"/>
  <c r="F203" i="15" s="1"/>
  <c r="G203" i="15" s="1"/>
  <c r="E204" i="15"/>
  <c r="F204" i="15" s="1"/>
  <c r="G204" i="15" s="1"/>
  <c r="E205" i="15"/>
  <c r="F205" i="15" s="1"/>
  <c r="G205" i="15" s="1"/>
  <c r="E206" i="15"/>
  <c r="F206" i="15" s="1"/>
  <c r="G206" i="15" s="1"/>
  <c r="E207" i="15"/>
  <c r="F207" i="15" s="1"/>
  <c r="G207" i="15" s="1"/>
  <c r="E208" i="15"/>
  <c r="F208" i="15" s="1"/>
  <c r="G208" i="15" s="1"/>
  <c r="E209" i="15"/>
  <c r="F209" i="15" s="1"/>
  <c r="G209" i="15" s="1"/>
  <c r="E210" i="15"/>
  <c r="F210" i="15" s="1"/>
  <c r="G210" i="15" s="1"/>
  <c r="E211" i="15"/>
  <c r="F211" i="15" s="1"/>
  <c r="G211" i="15" s="1"/>
  <c r="E212" i="15"/>
  <c r="F212" i="15" s="1"/>
  <c r="G212" i="15" s="1"/>
  <c r="E213" i="15"/>
  <c r="F213" i="15" s="1"/>
  <c r="G213" i="15" s="1"/>
  <c r="E214" i="15"/>
  <c r="F214" i="15" s="1"/>
  <c r="G214" i="15" s="1"/>
  <c r="E215" i="15"/>
  <c r="F215" i="15" s="1"/>
  <c r="G215" i="15" s="1"/>
  <c r="E216" i="15"/>
  <c r="F216" i="15" s="1"/>
  <c r="G216" i="15" s="1"/>
  <c r="E217" i="15"/>
  <c r="F217" i="15" s="1"/>
  <c r="G217" i="15" s="1"/>
  <c r="E218" i="15"/>
  <c r="F218" i="15" s="1"/>
  <c r="G218" i="15" s="1"/>
  <c r="E219" i="15"/>
  <c r="F219" i="15" s="1"/>
  <c r="G219" i="15" s="1"/>
  <c r="E220" i="15"/>
  <c r="F220" i="15" s="1"/>
  <c r="G220" i="15" s="1"/>
  <c r="E221" i="15"/>
  <c r="F221" i="15" s="1"/>
  <c r="G221" i="15" s="1"/>
  <c r="E222" i="15"/>
  <c r="F222" i="15" s="1"/>
  <c r="G222" i="15" s="1"/>
  <c r="E223" i="15"/>
  <c r="F223" i="15" s="1"/>
  <c r="G223" i="15" s="1"/>
  <c r="E224" i="15"/>
  <c r="F224" i="15" s="1"/>
  <c r="G224" i="15" s="1"/>
  <c r="E225" i="15"/>
  <c r="F225" i="15" s="1"/>
  <c r="G225" i="15" s="1"/>
  <c r="E226" i="15"/>
  <c r="F226" i="15" s="1"/>
  <c r="G226" i="15" s="1"/>
  <c r="E227" i="15"/>
  <c r="F227" i="15" s="1"/>
  <c r="G227" i="15" s="1"/>
  <c r="E228" i="15"/>
  <c r="F228" i="15" s="1"/>
  <c r="G228" i="15" s="1"/>
  <c r="E229" i="15"/>
  <c r="F229" i="15" s="1"/>
  <c r="G229" i="15" s="1"/>
  <c r="E230" i="15"/>
  <c r="F230" i="15" s="1"/>
  <c r="G230" i="15" s="1"/>
  <c r="E231" i="15"/>
  <c r="F231" i="15" s="1"/>
  <c r="G231" i="15" s="1"/>
  <c r="E232" i="15"/>
  <c r="F232" i="15" s="1"/>
  <c r="G232" i="15" s="1"/>
  <c r="E233" i="15"/>
  <c r="F233" i="15" s="1"/>
  <c r="G233" i="15" s="1"/>
  <c r="E234" i="15"/>
  <c r="F234" i="15" s="1"/>
  <c r="G234" i="15" s="1"/>
  <c r="E235" i="15"/>
  <c r="F235" i="15" s="1"/>
  <c r="G235" i="15" s="1"/>
  <c r="E236" i="15"/>
  <c r="F236" i="15" s="1"/>
  <c r="G236" i="15" s="1"/>
  <c r="E237" i="15"/>
  <c r="F237" i="15" s="1"/>
  <c r="G237" i="15" s="1"/>
  <c r="E238" i="15"/>
  <c r="F238" i="15" s="1"/>
  <c r="G238" i="15" s="1"/>
  <c r="E239" i="15"/>
  <c r="F239" i="15" s="1"/>
  <c r="G239" i="15" s="1"/>
  <c r="E240" i="15"/>
  <c r="F240" i="15" s="1"/>
  <c r="G240" i="15" s="1"/>
  <c r="E241" i="15"/>
  <c r="F241" i="15" s="1"/>
  <c r="G241" i="15" s="1"/>
  <c r="E242" i="15"/>
  <c r="F242" i="15" s="1"/>
  <c r="G242" i="15" s="1"/>
  <c r="E243" i="15"/>
  <c r="F243" i="15" s="1"/>
  <c r="G243" i="15" s="1"/>
  <c r="E244" i="15"/>
  <c r="F244" i="15" s="1"/>
  <c r="G244" i="15" s="1"/>
  <c r="E245" i="15"/>
  <c r="F245" i="15" s="1"/>
  <c r="G245" i="15" s="1"/>
  <c r="E246" i="15"/>
  <c r="F246" i="15" s="1"/>
  <c r="G246" i="15" s="1"/>
  <c r="E247" i="15"/>
  <c r="F247" i="15" s="1"/>
  <c r="G247" i="15" s="1"/>
  <c r="E248" i="15"/>
  <c r="F248" i="15" s="1"/>
  <c r="G248" i="15" s="1"/>
  <c r="E249" i="15"/>
  <c r="F249" i="15" s="1"/>
  <c r="G249" i="15" s="1"/>
  <c r="E250" i="15"/>
  <c r="F250" i="15" s="1"/>
  <c r="G250" i="15" s="1"/>
  <c r="E251" i="15"/>
  <c r="F251" i="15" s="1"/>
  <c r="G251" i="15" s="1"/>
  <c r="E252" i="15"/>
  <c r="F252" i="15" s="1"/>
  <c r="G252" i="15" s="1"/>
  <c r="E253" i="15"/>
  <c r="F253" i="15" s="1"/>
  <c r="G253" i="15" s="1"/>
  <c r="E254" i="15"/>
  <c r="F254" i="15" s="1"/>
  <c r="G254" i="15" s="1"/>
  <c r="E255" i="15"/>
  <c r="F255" i="15" s="1"/>
  <c r="G255" i="15" s="1"/>
  <c r="E256" i="15"/>
  <c r="F256" i="15" s="1"/>
  <c r="G256" i="15" s="1"/>
  <c r="E257" i="15"/>
  <c r="F257" i="15" s="1"/>
  <c r="G257" i="15" s="1"/>
  <c r="E258" i="15"/>
  <c r="F258" i="15" s="1"/>
  <c r="G258" i="15" s="1"/>
  <c r="E259" i="15"/>
  <c r="F259" i="15" s="1"/>
  <c r="G259" i="15" s="1"/>
  <c r="E260" i="15"/>
  <c r="F260" i="15" s="1"/>
  <c r="G260" i="15" s="1"/>
  <c r="E261" i="15"/>
  <c r="F261" i="15" s="1"/>
  <c r="G261" i="15" s="1"/>
  <c r="E262" i="15"/>
  <c r="F262" i="15" s="1"/>
  <c r="G262" i="15" s="1"/>
  <c r="E263" i="15"/>
  <c r="F263" i="15" s="1"/>
  <c r="G263" i="15" s="1"/>
  <c r="E264" i="15"/>
  <c r="F264" i="15" s="1"/>
  <c r="G264" i="15" s="1"/>
  <c r="E265" i="15"/>
  <c r="F265" i="15" s="1"/>
  <c r="G265" i="15" s="1"/>
  <c r="E266" i="15"/>
  <c r="F266" i="15" s="1"/>
  <c r="G266" i="15" s="1"/>
  <c r="E267" i="15"/>
  <c r="F267" i="15" s="1"/>
  <c r="G267" i="15" s="1"/>
  <c r="E268" i="15"/>
  <c r="F268" i="15" s="1"/>
  <c r="G268" i="15" s="1"/>
  <c r="E269" i="15"/>
  <c r="F269" i="15" s="1"/>
  <c r="G269" i="15" s="1"/>
  <c r="E270" i="15"/>
  <c r="F270" i="15" s="1"/>
  <c r="G270" i="15" s="1"/>
  <c r="E271" i="15"/>
  <c r="F271" i="15" s="1"/>
  <c r="G271" i="15" s="1"/>
  <c r="E272" i="15"/>
  <c r="F272" i="15" s="1"/>
  <c r="G272" i="15" s="1"/>
  <c r="E273" i="15"/>
  <c r="F273" i="15" s="1"/>
  <c r="G273" i="15" s="1"/>
  <c r="E274" i="15"/>
  <c r="F274" i="15" s="1"/>
  <c r="G274" i="15" s="1"/>
  <c r="E275" i="15"/>
  <c r="F275" i="15" s="1"/>
  <c r="G275" i="15" s="1"/>
  <c r="E276" i="15"/>
  <c r="F276" i="15" s="1"/>
  <c r="G276" i="15" s="1"/>
  <c r="E277" i="15"/>
  <c r="F277" i="15" s="1"/>
  <c r="G277" i="15" s="1"/>
  <c r="E278" i="15"/>
  <c r="F278" i="15" s="1"/>
  <c r="G278" i="15" s="1"/>
  <c r="E279" i="15"/>
  <c r="F279" i="15" s="1"/>
  <c r="G279" i="15" s="1"/>
  <c r="E280" i="15"/>
  <c r="F280" i="15" s="1"/>
  <c r="G280" i="15" s="1"/>
  <c r="E281" i="15"/>
  <c r="F281" i="15" s="1"/>
  <c r="G281" i="15" s="1"/>
  <c r="E282" i="15"/>
  <c r="F282" i="15" s="1"/>
  <c r="G282" i="15" s="1"/>
  <c r="E283" i="15"/>
  <c r="F283" i="15" s="1"/>
  <c r="G283" i="15" s="1"/>
  <c r="E284" i="15"/>
  <c r="F284" i="15" s="1"/>
  <c r="G284" i="15" s="1"/>
  <c r="E285" i="15"/>
  <c r="F285" i="15" s="1"/>
  <c r="G285" i="15" s="1"/>
  <c r="E286" i="15"/>
  <c r="F286" i="15" s="1"/>
  <c r="G286" i="15" s="1"/>
  <c r="E287" i="15"/>
  <c r="F287" i="15" s="1"/>
  <c r="G287" i="15" s="1"/>
  <c r="E288" i="15"/>
  <c r="F288" i="15" s="1"/>
  <c r="G288" i="15" s="1"/>
  <c r="E289" i="15"/>
  <c r="F289" i="15" s="1"/>
  <c r="G289" i="15" s="1"/>
  <c r="E290" i="15"/>
  <c r="F290" i="15" s="1"/>
  <c r="G290" i="15" s="1"/>
  <c r="E291" i="15"/>
  <c r="F291" i="15" s="1"/>
  <c r="G291" i="15" s="1"/>
  <c r="E292" i="15"/>
  <c r="F292" i="15" s="1"/>
  <c r="G292" i="15" s="1"/>
  <c r="E293" i="15"/>
  <c r="F293" i="15" s="1"/>
  <c r="G293" i="15" s="1"/>
  <c r="E294" i="15"/>
  <c r="F294" i="15" s="1"/>
  <c r="G294" i="15" s="1"/>
  <c r="E295" i="15"/>
  <c r="F295" i="15" s="1"/>
  <c r="G295" i="15" s="1"/>
  <c r="E296" i="15"/>
  <c r="F296" i="15" s="1"/>
  <c r="G296" i="15" s="1"/>
  <c r="E297" i="15"/>
  <c r="F297" i="15" s="1"/>
  <c r="G297" i="15" s="1"/>
  <c r="E298" i="15"/>
  <c r="F298" i="15" s="1"/>
  <c r="G298" i="15" s="1"/>
  <c r="E299" i="15"/>
  <c r="F299" i="15" s="1"/>
  <c r="G299" i="15" s="1"/>
  <c r="E300" i="15"/>
  <c r="F300" i="15" s="1"/>
  <c r="G300" i="15" s="1"/>
  <c r="E301" i="15"/>
  <c r="F301" i="15" s="1"/>
  <c r="G301" i="15" s="1"/>
  <c r="E302" i="15"/>
  <c r="F302" i="15" s="1"/>
  <c r="G302" i="15" s="1"/>
  <c r="E303" i="15"/>
  <c r="F303" i="15" s="1"/>
  <c r="G303" i="15" s="1"/>
  <c r="E304" i="15"/>
  <c r="F304" i="15" s="1"/>
  <c r="G304" i="15" s="1"/>
  <c r="E305" i="15"/>
  <c r="F305" i="15" s="1"/>
  <c r="G305" i="15" s="1"/>
  <c r="E306" i="15"/>
  <c r="F306" i="15" s="1"/>
  <c r="G306" i="15" s="1"/>
  <c r="E307" i="15"/>
  <c r="F307" i="15" s="1"/>
  <c r="G307" i="15" s="1"/>
  <c r="E308" i="15"/>
  <c r="F308" i="15" s="1"/>
  <c r="G308" i="15" s="1"/>
  <c r="E309" i="15"/>
  <c r="F309" i="15" s="1"/>
  <c r="G309" i="15" s="1"/>
  <c r="E310" i="15"/>
  <c r="F310" i="15" s="1"/>
  <c r="G310" i="15" s="1"/>
  <c r="E311" i="15"/>
  <c r="F311" i="15" s="1"/>
  <c r="G311" i="15" s="1"/>
  <c r="E312" i="15"/>
  <c r="F312" i="15" s="1"/>
  <c r="G312" i="15" s="1"/>
  <c r="E313" i="15"/>
  <c r="F313" i="15" s="1"/>
  <c r="G313" i="15" s="1"/>
  <c r="E314" i="15"/>
  <c r="F314" i="15" s="1"/>
  <c r="G314" i="15" s="1"/>
  <c r="E315" i="15"/>
  <c r="F315" i="15" s="1"/>
  <c r="G315" i="15" s="1"/>
  <c r="E316" i="15"/>
  <c r="F316" i="15" s="1"/>
  <c r="G316" i="15" s="1"/>
  <c r="E317" i="15"/>
  <c r="F317" i="15" s="1"/>
  <c r="G317" i="15" s="1"/>
  <c r="E318" i="15"/>
  <c r="F318" i="15" s="1"/>
  <c r="G318" i="15" s="1"/>
  <c r="E319" i="15"/>
  <c r="F319" i="15" s="1"/>
  <c r="G319" i="15" s="1"/>
  <c r="E320" i="15"/>
  <c r="F320" i="15" s="1"/>
  <c r="G320" i="15" s="1"/>
  <c r="E321" i="15"/>
  <c r="F321" i="15" s="1"/>
  <c r="G321" i="15" s="1"/>
  <c r="E322" i="15"/>
  <c r="F322" i="15" s="1"/>
  <c r="G322" i="15" s="1"/>
  <c r="E323" i="15"/>
  <c r="F323" i="15" s="1"/>
  <c r="G323" i="15" s="1"/>
  <c r="E324" i="15"/>
  <c r="F324" i="15" s="1"/>
  <c r="G324" i="15" s="1"/>
  <c r="E325" i="15"/>
  <c r="F325" i="15" s="1"/>
  <c r="G325" i="15" s="1"/>
  <c r="E326" i="15"/>
  <c r="F326" i="15" s="1"/>
  <c r="G326" i="15" s="1"/>
  <c r="E327" i="15"/>
  <c r="F327" i="15" s="1"/>
  <c r="G327" i="15" s="1"/>
  <c r="E328" i="15"/>
  <c r="F328" i="15" s="1"/>
  <c r="G328" i="15" s="1"/>
  <c r="E329" i="15"/>
  <c r="F329" i="15" s="1"/>
  <c r="G329" i="15" s="1"/>
  <c r="E330" i="15"/>
  <c r="F330" i="15" s="1"/>
  <c r="G330" i="15" s="1"/>
  <c r="E331" i="15"/>
  <c r="F331" i="15" s="1"/>
  <c r="G331" i="15" s="1"/>
  <c r="E332" i="15"/>
  <c r="F332" i="15" s="1"/>
  <c r="G332" i="15" s="1"/>
  <c r="E333" i="15"/>
  <c r="F333" i="15" s="1"/>
  <c r="G333" i="15" s="1"/>
  <c r="E334" i="15"/>
  <c r="F334" i="15" s="1"/>
  <c r="G334" i="15" s="1"/>
  <c r="E335" i="15"/>
  <c r="F335" i="15" s="1"/>
  <c r="G335" i="15" s="1"/>
  <c r="E336" i="15"/>
  <c r="F336" i="15" s="1"/>
  <c r="G336" i="15" s="1"/>
  <c r="E337" i="15"/>
  <c r="F337" i="15" s="1"/>
  <c r="G337" i="15" s="1"/>
  <c r="E338" i="15"/>
  <c r="F338" i="15" s="1"/>
  <c r="G338" i="15" s="1"/>
  <c r="E339" i="15"/>
  <c r="F339" i="15" s="1"/>
  <c r="G339" i="15" s="1"/>
  <c r="E340" i="15"/>
  <c r="F340" i="15" s="1"/>
  <c r="G340" i="15" s="1"/>
  <c r="E341" i="15"/>
  <c r="F341" i="15" s="1"/>
  <c r="G341" i="15" s="1"/>
  <c r="E342" i="15"/>
  <c r="F342" i="15" s="1"/>
  <c r="G342" i="15" s="1"/>
  <c r="E343" i="15"/>
  <c r="F343" i="15" s="1"/>
  <c r="G343" i="15" s="1"/>
  <c r="E344" i="15"/>
  <c r="F344" i="15" s="1"/>
  <c r="G344" i="15" s="1"/>
  <c r="E345" i="15"/>
  <c r="F345" i="15" s="1"/>
  <c r="G345" i="15" s="1"/>
  <c r="E346" i="15"/>
  <c r="F346" i="15" s="1"/>
  <c r="G346" i="15" s="1"/>
  <c r="E347" i="15"/>
  <c r="F347" i="15" s="1"/>
  <c r="G347" i="15" s="1"/>
  <c r="E348" i="15"/>
  <c r="F348" i="15" s="1"/>
  <c r="G348" i="15" s="1"/>
  <c r="E349" i="15"/>
  <c r="F349" i="15" s="1"/>
  <c r="G349" i="15" s="1"/>
  <c r="E350" i="15"/>
  <c r="F350" i="15" s="1"/>
  <c r="G350" i="15" s="1"/>
  <c r="E351" i="15"/>
  <c r="F351" i="15" s="1"/>
  <c r="G351" i="15" s="1"/>
  <c r="E352" i="15"/>
  <c r="F352" i="15" s="1"/>
  <c r="G352" i="15" s="1"/>
  <c r="E353" i="15"/>
  <c r="F353" i="15" s="1"/>
  <c r="G353" i="15" s="1"/>
  <c r="E354" i="15"/>
  <c r="F354" i="15" s="1"/>
  <c r="G354" i="15" s="1"/>
  <c r="E355" i="15"/>
  <c r="F355" i="15" s="1"/>
  <c r="G355" i="15" s="1"/>
  <c r="E356" i="15"/>
  <c r="F356" i="15" s="1"/>
  <c r="G356" i="15" s="1"/>
  <c r="E357" i="15"/>
  <c r="F357" i="15" s="1"/>
  <c r="G357" i="15" s="1"/>
  <c r="E358" i="15"/>
  <c r="F358" i="15" s="1"/>
  <c r="G358" i="15" s="1"/>
  <c r="E359" i="15"/>
  <c r="F359" i="15" s="1"/>
  <c r="G359" i="15" s="1"/>
  <c r="E360" i="15"/>
  <c r="F360" i="15" s="1"/>
  <c r="G360" i="15" s="1"/>
  <c r="E361" i="15"/>
  <c r="F361" i="15" s="1"/>
  <c r="G361" i="15" s="1"/>
  <c r="E362" i="15"/>
  <c r="F362" i="15" s="1"/>
  <c r="G362" i="15" s="1"/>
  <c r="E363" i="15"/>
  <c r="F363" i="15" s="1"/>
  <c r="G363" i="15" s="1"/>
  <c r="E364" i="15"/>
  <c r="F364" i="15" s="1"/>
  <c r="G364" i="15" s="1"/>
  <c r="E365" i="15"/>
  <c r="F365" i="15" s="1"/>
  <c r="G365" i="15" s="1"/>
  <c r="E366" i="15"/>
  <c r="F366" i="15" s="1"/>
  <c r="G366" i="15" s="1"/>
  <c r="E367" i="15"/>
  <c r="F367" i="15" s="1"/>
  <c r="G367" i="15" s="1"/>
  <c r="E368" i="15"/>
  <c r="F368" i="15" s="1"/>
  <c r="G368" i="15" s="1"/>
  <c r="E369" i="15"/>
  <c r="F369" i="15" s="1"/>
  <c r="G369" i="15" s="1"/>
  <c r="E370" i="15"/>
  <c r="F370" i="15" s="1"/>
  <c r="G370" i="15" s="1"/>
  <c r="E371" i="15"/>
  <c r="F371" i="15" s="1"/>
  <c r="G371" i="15" s="1"/>
  <c r="E372" i="15"/>
  <c r="F372" i="15" s="1"/>
  <c r="G372" i="15" s="1"/>
  <c r="E373" i="15"/>
  <c r="F373" i="15" s="1"/>
  <c r="G373" i="15" s="1"/>
  <c r="E374" i="15"/>
  <c r="F374" i="15" s="1"/>
  <c r="G374" i="15" s="1"/>
  <c r="E375" i="15"/>
  <c r="F375" i="15" s="1"/>
  <c r="G375" i="15" s="1"/>
  <c r="E376" i="15"/>
  <c r="F376" i="15" s="1"/>
  <c r="G376" i="15" s="1"/>
  <c r="E377" i="15"/>
  <c r="F377" i="15" s="1"/>
  <c r="G377" i="15" s="1"/>
  <c r="E378" i="15"/>
  <c r="F378" i="15" s="1"/>
  <c r="G378" i="15" s="1"/>
  <c r="E379" i="15"/>
  <c r="F379" i="15" s="1"/>
  <c r="G379" i="15" s="1"/>
  <c r="E380" i="15"/>
  <c r="F380" i="15" s="1"/>
  <c r="G380" i="15" s="1"/>
  <c r="E381" i="15"/>
  <c r="F381" i="15" s="1"/>
  <c r="G381" i="15" s="1"/>
  <c r="E382" i="15"/>
  <c r="F382" i="15" s="1"/>
  <c r="G382" i="15" s="1"/>
  <c r="E383" i="15"/>
  <c r="F383" i="15" s="1"/>
  <c r="G383" i="15" s="1"/>
  <c r="E384" i="15"/>
  <c r="F384" i="15" s="1"/>
  <c r="G384" i="15" s="1"/>
  <c r="E385" i="15"/>
  <c r="F385" i="15" s="1"/>
  <c r="G385" i="15" s="1"/>
  <c r="F21" i="15"/>
  <c r="G21" i="15" s="1"/>
  <c r="V8" i="16"/>
  <c r="U8" i="12"/>
  <c r="V9" i="16"/>
  <c r="U9" i="12"/>
  <c r="K1" i="16"/>
  <c r="M3" i="16" s="1"/>
  <c r="J1" i="12"/>
  <c r="L3" i="12" s="1"/>
  <c r="R16" i="12" s="1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D26" i="4"/>
  <c r="D25" i="4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0" i="3"/>
  <c r="F29" i="3"/>
  <c r="S5" i="9"/>
  <c r="S4" i="9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10" i="3"/>
  <c r="C10" i="3" s="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26" i="11"/>
  <c r="F13" i="14"/>
  <c r="S3" i="9"/>
  <c r="E3" i="16" s="1"/>
  <c r="O23" i="9"/>
  <c r="O22" i="9"/>
  <c r="F24" i="14"/>
  <c r="C4" i="13"/>
  <c r="C4" i="11"/>
  <c r="C14" i="13"/>
  <c r="C13" i="11"/>
  <c r="C16" i="9"/>
  <c r="I4" i="3" s="1"/>
  <c r="C15" i="13"/>
  <c r="C14" i="11"/>
  <c r="C16" i="13"/>
  <c r="C15" i="11"/>
  <c r="B26" i="13"/>
  <c r="C26" i="13"/>
  <c r="D26" i="13"/>
  <c r="D16" i="13"/>
  <c r="D15" i="11"/>
  <c r="D14" i="11"/>
  <c r="D15" i="13"/>
  <c r="D13" i="11"/>
  <c r="D14" i="13"/>
  <c r="K7" i="10"/>
  <c r="A27" i="5"/>
  <c r="M13" i="11" l="1"/>
  <c r="D28" i="4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17" i="13"/>
  <c r="C16" i="11"/>
  <c r="M14" i="11" s="1"/>
  <c r="C37" i="11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12"/>
  <c r="D18" i="4"/>
  <c r="B13" i="4" s="1"/>
  <c r="D14" i="10" s="1"/>
  <c r="B27" i="9" s="1"/>
  <c r="D19" i="14"/>
  <c r="F19" i="14" s="1"/>
  <c r="F31" i="14" s="1"/>
  <c r="F30" i="3"/>
  <c r="H11" i="3"/>
  <c r="H12" i="3"/>
  <c r="H13" i="3"/>
  <c r="H14" i="3"/>
  <c r="H15" i="3"/>
  <c r="H16" i="3"/>
  <c r="H17" i="3"/>
  <c r="H18" i="3"/>
  <c r="H19" i="3"/>
  <c r="D19" i="3" s="1"/>
  <c r="H20" i="3"/>
  <c r="D20" i="3" s="1"/>
  <c r="H21" i="3"/>
  <c r="D21" i="3" s="1"/>
  <c r="H22" i="3"/>
  <c r="D22" i="3" s="1"/>
  <c r="H23" i="3"/>
  <c r="H24" i="3"/>
  <c r="D24" i="3" s="1"/>
  <c r="H25" i="3"/>
  <c r="D25" i="3" s="1"/>
  <c r="H10" i="3"/>
  <c r="D10" i="3" s="1"/>
  <c r="F31" i="3" s="1"/>
  <c r="D11" i="3"/>
  <c r="D12" i="3"/>
  <c r="D13" i="3"/>
  <c r="D14" i="3"/>
  <c r="D15" i="3"/>
  <c r="D16" i="3"/>
  <c r="D17" i="3"/>
  <c r="D18" i="3"/>
  <c r="D23" i="3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6" i="12" s="1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H141" i="12" s="1"/>
  <c r="C142" i="12"/>
  <c r="H142" i="12" s="1"/>
  <c r="C143" i="12"/>
  <c r="H143" i="12" s="1"/>
  <c r="C144" i="12"/>
  <c r="H144" i="12" s="1"/>
  <c r="C145" i="12"/>
  <c r="C146" i="12"/>
  <c r="C147" i="12"/>
  <c r="C148" i="12"/>
  <c r="C149" i="12"/>
  <c r="C150" i="12"/>
  <c r="C151" i="12"/>
  <c r="C152" i="12"/>
  <c r="C153" i="12"/>
  <c r="C154" i="12"/>
  <c r="H154" i="12" s="1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H169" i="12" s="1"/>
  <c r="C170" i="12"/>
  <c r="C171" i="12"/>
  <c r="H171" i="12" s="1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H188" i="12" s="1"/>
  <c r="C189" i="12"/>
  <c r="C190" i="12"/>
  <c r="C191" i="12"/>
  <c r="C192" i="12"/>
  <c r="C193" i="12"/>
  <c r="C194" i="12"/>
  <c r="C195" i="12"/>
  <c r="C196" i="12"/>
  <c r="H196" i="12" s="1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H211" i="12" s="1"/>
  <c r="C212" i="12"/>
  <c r="H212" i="12" s="1"/>
  <c r="C213" i="12"/>
  <c r="H213" i="12" s="1"/>
  <c r="C214" i="12"/>
  <c r="C215" i="12"/>
  <c r="C216" i="12"/>
  <c r="C217" i="12"/>
  <c r="H217" i="12" s="1"/>
  <c r="C218" i="12"/>
  <c r="C219" i="12"/>
  <c r="C220" i="12"/>
  <c r="C221" i="12"/>
  <c r="C222" i="12"/>
  <c r="C223" i="12"/>
  <c r="H223" i="12" s="1"/>
  <c r="C224" i="12"/>
  <c r="H224" i="12" s="1"/>
  <c r="C225" i="12"/>
  <c r="H225" i="12" s="1"/>
  <c r="C226" i="12"/>
  <c r="H226" i="12" s="1"/>
  <c r="C227" i="12"/>
  <c r="C228" i="12"/>
  <c r="C229" i="12"/>
  <c r="H229" i="12" s="1"/>
  <c r="C230" i="12"/>
  <c r="H230" i="12" s="1"/>
  <c r="C231" i="12"/>
  <c r="C232" i="12"/>
  <c r="C233" i="12"/>
  <c r="C234" i="12"/>
  <c r="C235" i="12"/>
  <c r="C236" i="12"/>
  <c r="C237" i="12"/>
  <c r="H237" i="12" s="1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H252" i="12" s="1"/>
  <c r="C253" i="12"/>
  <c r="H253" i="12" s="1"/>
  <c r="C254" i="12"/>
  <c r="C255" i="12"/>
  <c r="C256" i="12"/>
  <c r="C257" i="12"/>
  <c r="C258" i="12"/>
  <c r="C259" i="12"/>
  <c r="C260" i="12"/>
  <c r="C261" i="12"/>
  <c r="C262" i="12"/>
  <c r="H262" i="12" s="1"/>
  <c r="C263" i="12"/>
  <c r="C264" i="12"/>
  <c r="C265" i="12"/>
  <c r="C266" i="12"/>
  <c r="C267" i="12"/>
  <c r="C268" i="12"/>
  <c r="H268" i="12" s="1"/>
  <c r="C269" i="12"/>
  <c r="H269" i="12" s="1"/>
  <c r="C270" i="12"/>
  <c r="H270" i="12" s="1"/>
  <c r="C271" i="12"/>
  <c r="H271" i="12" s="1"/>
  <c r="C272" i="12"/>
  <c r="H272" i="12" s="1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H289" i="12" s="1"/>
  <c r="C290" i="12"/>
  <c r="H290" i="12" s="1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H328" i="12" s="1"/>
  <c r="C329" i="12"/>
  <c r="C330" i="12"/>
  <c r="C331" i="12"/>
  <c r="C332" i="12"/>
  <c r="C333" i="12"/>
  <c r="C334" i="12"/>
  <c r="C335" i="12"/>
  <c r="C336" i="12"/>
  <c r="C337" i="12"/>
  <c r="H337" i="12" s="1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16" i="12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27" i="11"/>
  <c r="C28" i="11"/>
  <c r="C30" i="11"/>
  <c r="C31" i="11"/>
  <c r="C32" i="11"/>
  <c r="C33" i="11"/>
  <c r="C34" i="11"/>
  <c r="C35" i="11"/>
  <c r="C36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27" i="11"/>
  <c r="M18" i="11"/>
  <c r="M17" i="11"/>
  <c r="D27" i="13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D358" i="13" s="1"/>
  <c r="D359" i="13" s="1"/>
  <c r="D360" i="13" s="1"/>
  <c r="D361" i="13" s="1"/>
  <c r="D362" i="13" s="1"/>
  <c r="D363" i="13" s="1"/>
  <c r="D364" i="13" s="1"/>
  <c r="D365" i="13" s="1"/>
  <c r="D366" i="13" s="1"/>
  <c r="D367" i="13" s="1"/>
  <c r="D368" i="13" s="1"/>
  <c r="D369" i="13" s="1"/>
  <c r="D370" i="13" s="1"/>
  <c r="D371" i="13" s="1"/>
  <c r="D372" i="13" s="1"/>
  <c r="D373" i="13" s="1"/>
  <c r="D374" i="13" s="1"/>
  <c r="D375" i="13" s="1"/>
  <c r="D376" i="13" s="1"/>
  <c r="D377" i="13" s="1"/>
  <c r="D378" i="13" s="1"/>
  <c r="D379" i="13" s="1"/>
  <c r="D380" i="13" s="1"/>
  <c r="D381" i="13" s="1"/>
  <c r="D382" i="13" s="1"/>
  <c r="D383" i="13" s="1"/>
  <c r="D384" i="13" s="1"/>
  <c r="D385" i="13" s="1"/>
  <c r="D386" i="13" s="1"/>
  <c r="D387" i="13" s="1"/>
  <c r="D388" i="13" s="1"/>
  <c r="D389" i="13" s="1"/>
  <c r="E27" i="13"/>
  <c r="F27" i="13"/>
  <c r="I14" i="10" l="1"/>
  <c r="J14" i="10" s="1"/>
  <c r="M20" i="11"/>
  <c r="C29" i="11"/>
  <c r="G27" i="13"/>
  <c r="C16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F34" i="3"/>
  <c r="F33" i="3"/>
  <c r="F27" i="9"/>
  <c r="K14" i="10"/>
  <c r="E16" i="12"/>
  <c r="O16" i="12" s="1"/>
  <c r="B16" i="12"/>
  <c r="G16" i="12" s="1"/>
  <c r="I16" i="12"/>
  <c r="J16" i="12" s="1"/>
  <c r="B380" i="12"/>
  <c r="G380" i="12" s="1"/>
  <c r="H380" i="12" s="1"/>
  <c r="I380" i="12"/>
  <c r="J380" i="12" s="1"/>
  <c r="B379" i="12"/>
  <c r="G379" i="12" s="1"/>
  <c r="H379" i="12" s="1"/>
  <c r="I379" i="12"/>
  <c r="J379" i="12" s="1"/>
  <c r="B378" i="12"/>
  <c r="G378" i="12" s="1"/>
  <c r="H378" i="12" s="1"/>
  <c r="I378" i="12"/>
  <c r="J378" i="12" s="1"/>
  <c r="B377" i="12"/>
  <c r="G377" i="12" s="1"/>
  <c r="H377" i="12" s="1"/>
  <c r="I377" i="12"/>
  <c r="J377" i="12" s="1"/>
  <c r="B376" i="12"/>
  <c r="G376" i="12" s="1"/>
  <c r="I376" i="12"/>
  <c r="J376" i="12" s="1"/>
  <c r="B375" i="12"/>
  <c r="G375" i="12" s="1"/>
  <c r="I375" i="12"/>
  <c r="J375" i="12" s="1"/>
  <c r="B374" i="12"/>
  <c r="G374" i="12" s="1"/>
  <c r="I374" i="12"/>
  <c r="J374" i="12" s="1"/>
  <c r="B373" i="12"/>
  <c r="G373" i="12" s="1"/>
  <c r="I373" i="12"/>
  <c r="J373" i="12" s="1"/>
  <c r="B372" i="12"/>
  <c r="G372" i="12" s="1"/>
  <c r="I372" i="12"/>
  <c r="J372" i="12" s="1"/>
  <c r="B371" i="12"/>
  <c r="G371" i="12" s="1"/>
  <c r="I371" i="12"/>
  <c r="J371" i="12" s="1"/>
  <c r="B370" i="12"/>
  <c r="G370" i="12" s="1"/>
  <c r="I370" i="12"/>
  <c r="J370" i="12" s="1"/>
  <c r="B369" i="12"/>
  <c r="G369" i="12" s="1"/>
  <c r="H369" i="12" s="1"/>
  <c r="I369" i="12"/>
  <c r="J369" i="12" s="1"/>
  <c r="B368" i="12"/>
  <c r="G368" i="12" s="1"/>
  <c r="H368" i="12" s="1"/>
  <c r="I368" i="12"/>
  <c r="J368" i="12" s="1"/>
  <c r="B367" i="12"/>
  <c r="G367" i="12" s="1"/>
  <c r="I367" i="12"/>
  <c r="J367" i="12" s="1"/>
  <c r="B366" i="12"/>
  <c r="G366" i="12" s="1"/>
  <c r="I366" i="12"/>
  <c r="J366" i="12" s="1"/>
  <c r="B365" i="12"/>
  <c r="G365" i="12" s="1"/>
  <c r="I365" i="12"/>
  <c r="J365" i="12" s="1"/>
  <c r="B364" i="12"/>
  <c r="G364" i="12" s="1"/>
  <c r="I364" i="12"/>
  <c r="J364" i="12" s="1"/>
  <c r="B363" i="12"/>
  <c r="G363" i="12" s="1"/>
  <c r="H363" i="12" s="1"/>
  <c r="I363" i="12"/>
  <c r="J363" i="12" s="1"/>
  <c r="B362" i="12"/>
  <c r="G362" i="12" s="1"/>
  <c r="I362" i="12"/>
  <c r="J362" i="12" s="1"/>
  <c r="B361" i="12"/>
  <c r="G361" i="12" s="1"/>
  <c r="I361" i="12"/>
  <c r="J361" i="12" s="1"/>
  <c r="B360" i="12"/>
  <c r="G360" i="12" s="1"/>
  <c r="I360" i="12"/>
  <c r="J360" i="12" s="1"/>
  <c r="B359" i="12"/>
  <c r="G359" i="12" s="1"/>
  <c r="I359" i="12"/>
  <c r="J359" i="12" s="1"/>
  <c r="B358" i="12"/>
  <c r="G358" i="12" s="1"/>
  <c r="I358" i="12"/>
  <c r="J358" i="12" s="1"/>
  <c r="B357" i="12"/>
  <c r="G357" i="12" s="1"/>
  <c r="I357" i="12"/>
  <c r="J357" i="12" s="1"/>
  <c r="B356" i="12"/>
  <c r="G356" i="12" s="1"/>
  <c r="I356" i="12"/>
  <c r="J356" i="12" s="1"/>
  <c r="B355" i="12"/>
  <c r="G355" i="12" s="1"/>
  <c r="I355" i="12"/>
  <c r="J355" i="12" s="1"/>
  <c r="B354" i="12"/>
  <c r="G354" i="12" s="1"/>
  <c r="I354" i="12"/>
  <c r="J354" i="12" s="1"/>
  <c r="B353" i="12"/>
  <c r="G353" i="12" s="1"/>
  <c r="I353" i="12"/>
  <c r="J353" i="12" s="1"/>
  <c r="B352" i="12"/>
  <c r="G352" i="12" s="1"/>
  <c r="H352" i="12" s="1"/>
  <c r="I352" i="12"/>
  <c r="J352" i="12" s="1"/>
  <c r="B351" i="12"/>
  <c r="G351" i="12" s="1"/>
  <c r="H351" i="12" s="1"/>
  <c r="I351" i="12"/>
  <c r="J351" i="12" s="1"/>
  <c r="B350" i="12"/>
  <c r="G350" i="12" s="1"/>
  <c r="H350" i="12" s="1"/>
  <c r="I350" i="12"/>
  <c r="J350" i="12" s="1"/>
  <c r="B349" i="12"/>
  <c r="G349" i="12" s="1"/>
  <c r="H349" i="12" s="1"/>
  <c r="I349" i="12"/>
  <c r="J349" i="12" s="1"/>
  <c r="B348" i="12"/>
  <c r="G348" i="12" s="1"/>
  <c r="H348" i="12" s="1"/>
  <c r="I348" i="12"/>
  <c r="J348" i="12" s="1"/>
  <c r="B347" i="12"/>
  <c r="G347" i="12" s="1"/>
  <c r="H347" i="12" s="1"/>
  <c r="I347" i="12"/>
  <c r="J347" i="12" s="1"/>
  <c r="B346" i="12"/>
  <c r="G346" i="12" s="1"/>
  <c r="I346" i="12"/>
  <c r="J346" i="12" s="1"/>
  <c r="B345" i="12"/>
  <c r="G345" i="12" s="1"/>
  <c r="I345" i="12"/>
  <c r="J345" i="12" s="1"/>
  <c r="B344" i="12"/>
  <c r="G344" i="12" s="1"/>
  <c r="I344" i="12"/>
  <c r="J344" i="12" s="1"/>
  <c r="B343" i="12"/>
  <c r="G343" i="12" s="1"/>
  <c r="I343" i="12"/>
  <c r="J343" i="12" s="1"/>
  <c r="B342" i="12"/>
  <c r="G342" i="12" s="1"/>
  <c r="I342" i="12"/>
  <c r="J342" i="12" s="1"/>
  <c r="B341" i="12"/>
  <c r="G341" i="12" s="1"/>
  <c r="I341" i="12"/>
  <c r="J341" i="12" s="1"/>
  <c r="B340" i="12"/>
  <c r="G340" i="12" s="1"/>
  <c r="I340" i="12"/>
  <c r="J340" i="12" s="1"/>
  <c r="B339" i="12"/>
  <c r="G339" i="12" s="1"/>
  <c r="I339" i="12"/>
  <c r="J339" i="12" s="1"/>
  <c r="B338" i="12"/>
  <c r="G338" i="12" s="1"/>
  <c r="I338" i="12"/>
  <c r="J338" i="12" s="1"/>
  <c r="B337" i="12"/>
  <c r="G337" i="12" s="1"/>
  <c r="I337" i="12"/>
  <c r="J337" i="12" s="1"/>
  <c r="M337" i="12" s="1"/>
  <c r="B336" i="12"/>
  <c r="G336" i="12" s="1"/>
  <c r="H336" i="12" s="1"/>
  <c r="I336" i="12"/>
  <c r="J336" i="12" s="1"/>
  <c r="B335" i="12"/>
  <c r="G335" i="12" s="1"/>
  <c r="H335" i="12" s="1"/>
  <c r="I335" i="12"/>
  <c r="J335" i="12" s="1"/>
  <c r="B334" i="12"/>
  <c r="G334" i="12" s="1"/>
  <c r="H334" i="12" s="1"/>
  <c r="I334" i="12"/>
  <c r="J334" i="12" s="1"/>
  <c r="B333" i="12"/>
  <c r="G333" i="12" s="1"/>
  <c r="H333" i="12" s="1"/>
  <c r="I333" i="12"/>
  <c r="J333" i="12" s="1"/>
  <c r="B332" i="12"/>
  <c r="G332" i="12" s="1"/>
  <c r="H332" i="12" s="1"/>
  <c r="I332" i="12"/>
  <c r="J332" i="12" s="1"/>
  <c r="B331" i="12"/>
  <c r="G331" i="12" s="1"/>
  <c r="H331" i="12" s="1"/>
  <c r="I331" i="12"/>
  <c r="J331" i="12" s="1"/>
  <c r="B330" i="12"/>
  <c r="G330" i="12" s="1"/>
  <c r="H330" i="12" s="1"/>
  <c r="I330" i="12"/>
  <c r="J330" i="12" s="1"/>
  <c r="B329" i="12"/>
  <c r="G329" i="12" s="1"/>
  <c r="H329" i="12" s="1"/>
  <c r="I329" i="12"/>
  <c r="J329" i="12" s="1"/>
  <c r="B328" i="12"/>
  <c r="G328" i="12" s="1"/>
  <c r="I328" i="12"/>
  <c r="J328" i="12" s="1"/>
  <c r="M328" i="12" s="1"/>
  <c r="B327" i="12"/>
  <c r="G327" i="12" s="1"/>
  <c r="I327" i="12"/>
  <c r="J327" i="12" s="1"/>
  <c r="B326" i="12"/>
  <c r="G326" i="12" s="1"/>
  <c r="I326" i="12"/>
  <c r="J326" i="12" s="1"/>
  <c r="B325" i="12"/>
  <c r="G325" i="12" s="1"/>
  <c r="I325" i="12"/>
  <c r="J325" i="12" s="1"/>
  <c r="B324" i="12"/>
  <c r="G324" i="12" s="1"/>
  <c r="I324" i="12"/>
  <c r="J324" i="12" s="1"/>
  <c r="B323" i="12"/>
  <c r="G323" i="12" s="1"/>
  <c r="I323" i="12"/>
  <c r="J323" i="12" s="1"/>
  <c r="B322" i="12"/>
  <c r="G322" i="12" s="1"/>
  <c r="I322" i="12"/>
  <c r="J322" i="12" s="1"/>
  <c r="B321" i="12"/>
  <c r="G321" i="12" s="1"/>
  <c r="I321" i="12"/>
  <c r="J321" i="12" s="1"/>
  <c r="B320" i="12"/>
  <c r="G320" i="12" s="1"/>
  <c r="I320" i="12"/>
  <c r="J320" i="12" s="1"/>
  <c r="B319" i="12"/>
  <c r="G319" i="12" s="1"/>
  <c r="I319" i="12"/>
  <c r="J319" i="12" s="1"/>
  <c r="B318" i="12"/>
  <c r="G318" i="12" s="1"/>
  <c r="I318" i="12"/>
  <c r="J318" i="12" s="1"/>
  <c r="B317" i="12"/>
  <c r="G317" i="12" s="1"/>
  <c r="I317" i="12"/>
  <c r="J317" i="12" s="1"/>
  <c r="B316" i="12"/>
  <c r="G316" i="12" s="1"/>
  <c r="I316" i="12"/>
  <c r="J316" i="12" s="1"/>
  <c r="B315" i="12"/>
  <c r="G315" i="12" s="1"/>
  <c r="I315" i="12"/>
  <c r="J315" i="12" s="1"/>
  <c r="B314" i="12"/>
  <c r="G314" i="12" s="1"/>
  <c r="I314" i="12"/>
  <c r="J314" i="12" s="1"/>
  <c r="B313" i="12"/>
  <c r="G313" i="12" s="1"/>
  <c r="I313" i="12"/>
  <c r="J313" i="12" s="1"/>
  <c r="B312" i="12"/>
  <c r="G312" i="12" s="1"/>
  <c r="I312" i="12"/>
  <c r="J312" i="12" s="1"/>
  <c r="B311" i="12"/>
  <c r="G311" i="12" s="1"/>
  <c r="I311" i="12"/>
  <c r="J311" i="12" s="1"/>
  <c r="B310" i="12"/>
  <c r="G310" i="12" s="1"/>
  <c r="I310" i="12"/>
  <c r="J310" i="12" s="1"/>
  <c r="B309" i="12"/>
  <c r="G309" i="12" s="1"/>
  <c r="I309" i="12"/>
  <c r="J309" i="12" s="1"/>
  <c r="B308" i="12"/>
  <c r="G308" i="12" s="1"/>
  <c r="I308" i="12"/>
  <c r="J308" i="12" s="1"/>
  <c r="B307" i="12"/>
  <c r="G307" i="12" s="1"/>
  <c r="I307" i="12"/>
  <c r="J307" i="12" s="1"/>
  <c r="B306" i="12"/>
  <c r="G306" i="12" s="1"/>
  <c r="I306" i="12"/>
  <c r="J306" i="12" s="1"/>
  <c r="B305" i="12"/>
  <c r="G305" i="12" s="1"/>
  <c r="I305" i="12"/>
  <c r="J305" i="12" s="1"/>
  <c r="B304" i="12"/>
  <c r="G304" i="12" s="1"/>
  <c r="I304" i="12"/>
  <c r="J304" i="12" s="1"/>
  <c r="B303" i="12"/>
  <c r="G303" i="12" s="1"/>
  <c r="I303" i="12"/>
  <c r="J303" i="12" s="1"/>
  <c r="B302" i="12"/>
  <c r="G302" i="12" s="1"/>
  <c r="I302" i="12"/>
  <c r="J302" i="12" s="1"/>
  <c r="B301" i="12"/>
  <c r="G301" i="12" s="1"/>
  <c r="I301" i="12"/>
  <c r="J301" i="12" s="1"/>
  <c r="B300" i="12"/>
  <c r="G300" i="12" s="1"/>
  <c r="I300" i="12"/>
  <c r="J300" i="12" s="1"/>
  <c r="B299" i="12"/>
  <c r="G299" i="12" s="1"/>
  <c r="I299" i="12"/>
  <c r="J299" i="12" s="1"/>
  <c r="B298" i="12"/>
  <c r="G298" i="12" s="1"/>
  <c r="I298" i="12"/>
  <c r="J298" i="12" s="1"/>
  <c r="B297" i="12"/>
  <c r="G297" i="12" s="1"/>
  <c r="I297" i="12"/>
  <c r="J297" i="12" s="1"/>
  <c r="B296" i="12"/>
  <c r="G296" i="12" s="1"/>
  <c r="I296" i="12"/>
  <c r="J296" i="12" s="1"/>
  <c r="B295" i="12"/>
  <c r="G295" i="12" s="1"/>
  <c r="H295" i="12" s="1"/>
  <c r="I295" i="12"/>
  <c r="J295" i="12" s="1"/>
  <c r="B294" i="12"/>
  <c r="G294" i="12" s="1"/>
  <c r="I294" i="12"/>
  <c r="J294" i="12" s="1"/>
  <c r="B293" i="12"/>
  <c r="G293" i="12" s="1"/>
  <c r="I293" i="12"/>
  <c r="J293" i="12" s="1"/>
  <c r="B292" i="12"/>
  <c r="G292" i="12" s="1"/>
  <c r="I292" i="12"/>
  <c r="J292" i="12" s="1"/>
  <c r="B291" i="12"/>
  <c r="G291" i="12" s="1"/>
  <c r="I291" i="12"/>
  <c r="J291" i="12" s="1"/>
  <c r="B290" i="12"/>
  <c r="G290" i="12" s="1"/>
  <c r="I290" i="12"/>
  <c r="J290" i="12" s="1"/>
  <c r="M290" i="12" s="1"/>
  <c r="B289" i="12"/>
  <c r="G289" i="12" s="1"/>
  <c r="I289" i="12"/>
  <c r="J289" i="12" s="1"/>
  <c r="M289" i="12" s="1"/>
  <c r="B288" i="12"/>
  <c r="G288" i="12" s="1"/>
  <c r="H288" i="12" s="1"/>
  <c r="I288" i="12"/>
  <c r="J288" i="12" s="1"/>
  <c r="B287" i="12"/>
  <c r="G287" i="12" s="1"/>
  <c r="I287" i="12"/>
  <c r="J287" i="12" s="1"/>
  <c r="B286" i="12"/>
  <c r="G286" i="12" s="1"/>
  <c r="I286" i="12"/>
  <c r="J286" i="12" s="1"/>
  <c r="B285" i="12"/>
  <c r="G285" i="12" s="1"/>
  <c r="H285" i="12" s="1"/>
  <c r="I285" i="12"/>
  <c r="J285" i="12" s="1"/>
  <c r="B284" i="12"/>
  <c r="G284" i="12" s="1"/>
  <c r="I284" i="12"/>
  <c r="J284" i="12" s="1"/>
  <c r="B283" i="12"/>
  <c r="G283" i="12" s="1"/>
  <c r="I283" i="12"/>
  <c r="J283" i="12" s="1"/>
  <c r="B282" i="12"/>
  <c r="G282" i="12" s="1"/>
  <c r="I282" i="12"/>
  <c r="J282" i="12" s="1"/>
  <c r="B281" i="12"/>
  <c r="G281" i="12" s="1"/>
  <c r="I281" i="12"/>
  <c r="J281" i="12" s="1"/>
  <c r="B280" i="12"/>
  <c r="G280" i="12" s="1"/>
  <c r="I280" i="12"/>
  <c r="J280" i="12" s="1"/>
  <c r="B279" i="12"/>
  <c r="G279" i="12" s="1"/>
  <c r="I279" i="12"/>
  <c r="J279" i="12" s="1"/>
  <c r="B278" i="12"/>
  <c r="G278" i="12" s="1"/>
  <c r="H278" i="12" s="1"/>
  <c r="I278" i="12"/>
  <c r="J278" i="12" s="1"/>
  <c r="B277" i="12"/>
  <c r="G277" i="12" s="1"/>
  <c r="I277" i="12"/>
  <c r="J277" i="12" s="1"/>
  <c r="B276" i="12"/>
  <c r="G276" i="12" s="1"/>
  <c r="I276" i="12"/>
  <c r="J276" i="12" s="1"/>
  <c r="B275" i="12"/>
  <c r="G275" i="12" s="1"/>
  <c r="H275" i="12" s="1"/>
  <c r="I275" i="12"/>
  <c r="J275" i="12" s="1"/>
  <c r="B274" i="12"/>
  <c r="G274" i="12" s="1"/>
  <c r="H274" i="12" s="1"/>
  <c r="I274" i="12"/>
  <c r="J274" i="12" s="1"/>
  <c r="B273" i="12"/>
  <c r="G273" i="12" s="1"/>
  <c r="H273" i="12" s="1"/>
  <c r="I273" i="12"/>
  <c r="J273" i="12" s="1"/>
  <c r="B272" i="12"/>
  <c r="G272" i="12" s="1"/>
  <c r="I272" i="12"/>
  <c r="J272" i="12" s="1"/>
  <c r="M272" i="12" s="1"/>
  <c r="B271" i="12"/>
  <c r="G271" i="12" s="1"/>
  <c r="I271" i="12"/>
  <c r="J271" i="12" s="1"/>
  <c r="M271" i="12" s="1"/>
  <c r="B270" i="12"/>
  <c r="G270" i="12" s="1"/>
  <c r="I270" i="12"/>
  <c r="J270" i="12" s="1"/>
  <c r="M270" i="12" s="1"/>
  <c r="B269" i="12"/>
  <c r="G269" i="12" s="1"/>
  <c r="I269" i="12"/>
  <c r="J269" i="12" s="1"/>
  <c r="M269" i="12" s="1"/>
  <c r="B268" i="12"/>
  <c r="G268" i="12" s="1"/>
  <c r="I268" i="12"/>
  <c r="J268" i="12" s="1"/>
  <c r="M268" i="12" s="1"/>
  <c r="B267" i="12"/>
  <c r="G267" i="12" s="1"/>
  <c r="H267" i="12" s="1"/>
  <c r="I267" i="12"/>
  <c r="J267" i="12" s="1"/>
  <c r="B266" i="12"/>
  <c r="G266" i="12" s="1"/>
  <c r="H266" i="12" s="1"/>
  <c r="I266" i="12"/>
  <c r="J266" i="12" s="1"/>
  <c r="B265" i="12"/>
  <c r="G265" i="12" s="1"/>
  <c r="H265" i="12" s="1"/>
  <c r="I265" i="12"/>
  <c r="J265" i="12" s="1"/>
  <c r="B264" i="12"/>
  <c r="G264" i="12" s="1"/>
  <c r="H264" i="12" s="1"/>
  <c r="I264" i="12"/>
  <c r="J264" i="12" s="1"/>
  <c r="B263" i="12"/>
  <c r="G263" i="12" s="1"/>
  <c r="H263" i="12" s="1"/>
  <c r="I263" i="12"/>
  <c r="J263" i="12" s="1"/>
  <c r="B262" i="12"/>
  <c r="G262" i="12" s="1"/>
  <c r="I262" i="12"/>
  <c r="J262" i="12" s="1"/>
  <c r="M262" i="12" s="1"/>
  <c r="B261" i="12"/>
  <c r="G261" i="12" s="1"/>
  <c r="H261" i="12" s="1"/>
  <c r="I261" i="12"/>
  <c r="J261" i="12" s="1"/>
  <c r="B260" i="12"/>
  <c r="G260" i="12" s="1"/>
  <c r="I260" i="12"/>
  <c r="J260" i="12" s="1"/>
  <c r="B259" i="12"/>
  <c r="G259" i="12" s="1"/>
  <c r="I259" i="12"/>
  <c r="J259" i="12" s="1"/>
  <c r="B258" i="12"/>
  <c r="G258" i="12" s="1"/>
  <c r="I258" i="12"/>
  <c r="J258" i="12" s="1"/>
  <c r="B257" i="12"/>
  <c r="G257" i="12" s="1"/>
  <c r="I257" i="12"/>
  <c r="J257" i="12" s="1"/>
  <c r="B256" i="12"/>
  <c r="G256" i="12" s="1"/>
  <c r="I256" i="12"/>
  <c r="J256" i="12" s="1"/>
  <c r="B255" i="12"/>
  <c r="G255" i="12" s="1"/>
  <c r="I255" i="12"/>
  <c r="J255" i="12" s="1"/>
  <c r="B254" i="12"/>
  <c r="G254" i="12" s="1"/>
  <c r="H254" i="12" s="1"/>
  <c r="I254" i="12"/>
  <c r="J254" i="12" s="1"/>
  <c r="B253" i="12"/>
  <c r="G253" i="12" s="1"/>
  <c r="I253" i="12"/>
  <c r="J253" i="12" s="1"/>
  <c r="M253" i="12" s="1"/>
  <c r="B252" i="12"/>
  <c r="G252" i="12" s="1"/>
  <c r="I252" i="12"/>
  <c r="J252" i="12" s="1"/>
  <c r="M252" i="12" s="1"/>
  <c r="B251" i="12"/>
  <c r="G251" i="12" s="1"/>
  <c r="H251" i="12" s="1"/>
  <c r="I251" i="12"/>
  <c r="J251" i="12" s="1"/>
  <c r="B250" i="12"/>
  <c r="G250" i="12" s="1"/>
  <c r="H250" i="12" s="1"/>
  <c r="I250" i="12"/>
  <c r="J250" i="12" s="1"/>
  <c r="B249" i="12"/>
  <c r="G249" i="12" s="1"/>
  <c r="H249" i="12" s="1"/>
  <c r="I249" i="12"/>
  <c r="J249" i="12" s="1"/>
  <c r="B248" i="12"/>
  <c r="G248" i="12" s="1"/>
  <c r="H248" i="12" s="1"/>
  <c r="I248" i="12"/>
  <c r="J248" i="12" s="1"/>
  <c r="B247" i="12"/>
  <c r="G247" i="12" s="1"/>
  <c r="H247" i="12" s="1"/>
  <c r="I247" i="12"/>
  <c r="J247" i="12" s="1"/>
  <c r="B246" i="12"/>
  <c r="G246" i="12" s="1"/>
  <c r="H246" i="12" s="1"/>
  <c r="I246" i="12"/>
  <c r="J246" i="12" s="1"/>
  <c r="B245" i="12"/>
  <c r="G245" i="12" s="1"/>
  <c r="H245" i="12" s="1"/>
  <c r="I245" i="12"/>
  <c r="J245" i="12" s="1"/>
  <c r="B244" i="12"/>
  <c r="G244" i="12" s="1"/>
  <c r="H244" i="12" s="1"/>
  <c r="I244" i="12"/>
  <c r="J244" i="12" s="1"/>
  <c r="B243" i="12"/>
  <c r="G243" i="12" s="1"/>
  <c r="H243" i="12" s="1"/>
  <c r="I243" i="12"/>
  <c r="J243" i="12" s="1"/>
  <c r="B242" i="12"/>
  <c r="G242" i="12" s="1"/>
  <c r="H242" i="12" s="1"/>
  <c r="I242" i="12"/>
  <c r="J242" i="12" s="1"/>
  <c r="B241" i="12"/>
  <c r="G241" i="12" s="1"/>
  <c r="H241" i="12" s="1"/>
  <c r="I241" i="12"/>
  <c r="J241" i="12" s="1"/>
  <c r="B240" i="12"/>
  <c r="G240" i="12" s="1"/>
  <c r="H240" i="12" s="1"/>
  <c r="I240" i="12"/>
  <c r="J240" i="12" s="1"/>
  <c r="B239" i="12"/>
  <c r="G239" i="12" s="1"/>
  <c r="H239" i="12" s="1"/>
  <c r="I239" i="12"/>
  <c r="J239" i="12" s="1"/>
  <c r="B238" i="12"/>
  <c r="G238" i="12" s="1"/>
  <c r="H238" i="12" s="1"/>
  <c r="I238" i="12"/>
  <c r="J238" i="12" s="1"/>
  <c r="B237" i="12"/>
  <c r="G237" i="12" s="1"/>
  <c r="I237" i="12"/>
  <c r="J237" i="12" s="1"/>
  <c r="M237" i="12" s="1"/>
  <c r="B236" i="12"/>
  <c r="G236" i="12" s="1"/>
  <c r="H236" i="12" s="1"/>
  <c r="I236" i="12"/>
  <c r="J236" i="12" s="1"/>
  <c r="B235" i="12"/>
  <c r="G235" i="12" s="1"/>
  <c r="H235" i="12" s="1"/>
  <c r="I235" i="12"/>
  <c r="J235" i="12" s="1"/>
  <c r="B234" i="12"/>
  <c r="G234" i="12" s="1"/>
  <c r="H234" i="12" s="1"/>
  <c r="I234" i="12"/>
  <c r="J234" i="12" s="1"/>
  <c r="B233" i="12"/>
  <c r="G233" i="12" s="1"/>
  <c r="H233" i="12" s="1"/>
  <c r="I233" i="12"/>
  <c r="J233" i="12" s="1"/>
  <c r="B232" i="12"/>
  <c r="G232" i="12" s="1"/>
  <c r="H232" i="12" s="1"/>
  <c r="I232" i="12"/>
  <c r="J232" i="12" s="1"/>
  <c r="B231" i="12"/>
  <c r="G231" i="12" s="1"/>
  <c r="H231" i="12" s="1"/>
  <c r="I231" i="12"/>
  <c r="J231" i="12" s="1"/>
  <c r="B230" i="12"/>
  <c r="G230" i="12" s="1"/>
  <c r="I230" i="12"/>
  <c r="J230" i="12" s="1"/>
  <c r="M230" i="12" s="1"/>
  <c r="B229" i="12"/>
  <c r="G229" i="12" s="1"/>
  <c r="I229" i="12"/>
  <c r="J229" i="12" s="1"/>
  <c r="M229" i="12" s="1"/>
  <c r="B228" i="12"/>
  <c r="G228" i="12" s="1"/>
  <c r="H228" i="12" s="1"/>
  <c r="I228" i="12"/>
  <c r="J228" i="12" s="1"/>
  <c r="B227" i="12"/>
  <c r="G227" i="12" s="1"/>
  <c r="H227" i="12" s="1"/>
  <c r="I227" i="12"/>
  <c r="J227" i="12" s="1"/>
  <c r="B226" i="12"/>
  <c r="G226" i="12" s="1"/>
  <c r="I226" i="12"/>
  <c r="J226" i="12" s="1"/>
  <c r="M226" i="12" s="1"/>
  <c r="B225" i="12"/>
  <c r="G225" i="12" s="1"/>
  <c r="I225" i="12"/>
  <c r="J225" i="12" s="1"/>
  <c r="M225" i="12" s="1"/>
  <c r="B224" i="12"/>
  <c r="G224" i="12" s="1"/>
  <c r="I224" i="12"/>
  <c r="J224" i="12" s="1"/>
  <c r="M224" i="12" s="1"/>
  <c r="B223" i="12"/>
  <c r="G223" i="12" s="1"/>
  <c r="I223" i="12"/>
  <c r="J223" i="12" s="1"/>
  <c r="M223" i="12" s="1"/>
  <c r="B222" i="12"/>
  <c r="G222" i="12" s="1"/>
  <c r="H222" i="12" s="1"/>
  <c r="I222" i="12"/>
  <c r="J222" i="12" s="1"/>
  <c r="B221" i="12"/>
  <c r="G221" i="12" s="1"/>
  <c r="H221" i="12" s="1"/>
  <c r="I221" i="12"/>
  <c r="J221" i="12" s="1"/>
  <c r="B220" i="12"/>
  <c r="G220" i="12" s="1"/>
  <c r="I220" i="12"/>
  <c r="J220" i="12" s="1"/>
  <c r="B219" i="12"/>
  <c r="G219" i="12" s="1"/>
  <c r="I219" i="12"/>
  <c r="J219" i="12" s="1"/>
  <c r="B218" i="12"/>
  <c r="G218" i="12" s="1"/>
  <c r="I218" i="12"/>
  <c r="J218" i="12" s="1"/>
  <c r="B217" i="12"/>
  <c r="G217" i="12" s="1"/>
  <c r="I217" i="12"/>
  <c r="J217" i="12" s="1"/>
  <c r="M217" i="12" s="1"/>
  <c r="B216" i="12"/>
  <c r="G216" i="12" s="1"/>
  <c r="H216" i="12" s="1"/>
  <c r="I216" i="12"/>
  <c r="J216" i="12" s="1"/>
  <c r="B215" i="12"/>
  <c r="G215" i="12" s="1"/>
  <c r="I215" i="12"/>
  <c r="J215" i="12" s="1"/>
  <c r="B214" i="12"/>
  <c r="G214" i="12" s="1"/>
  <c r="I214" i="12"/>
  <c r="J214" i="12" s="1"/>
  <c r="B213" i="12"/>
  <c r="G213" i="12" s="1"/>
  <c r="I213" i="12"/>
  <c r="J213" i="12" s="1"/>
  <c r="M213" i="12" s="1"/>
  <c r="B212" i="12"/>
  <c r="G212" i="12" s="1"/>
  <c r="I212" i="12"/>
  <c r="J212" i="12" s="1"/>
  <c r="M212" i="12" s="1"/>
  <c r="B211" i="12"/>
  <c r="G211" i="12" s="1"/>
  <c r="I211" i="12"/>
  <c r="J211" i="12" s="1"/>
  <c r="M211" i="12" s="1"/>
  <c r="B210" i="12"/>
  <c r="G210" i="12" s="1"/>
  <c r="H210" i="12" s="1"/>
  <c r="I210" i="12"/>
  <c r="J210" i="12" s="1"/>
  <c r="B209" i="12"/>
  <c r="G209" i="12" s="1"/>
  <c r="H209" i="12" s="1"/>
  <c r="I209" i="12"/>
  <c r="J209" i="12" s="1"/>
  <c r="B208" i="12"/>
  <c r="G208" i="12" s="1"/>
  <c r="H208" i="12" s="1"/>
  <c r="I208" i="12"/>
  <c r="J208" i="12" s="1"/>
  <c r="B207" i="12"/>
  <c r="G207" i="12" s="1"/>
  <c r="H207" i="12" s="1"/>
  <c r="I207" i="12"/>
  <c r="J207" i="12" s="1"/>
  <c r="B206" i="12"/>
  <c r="G206" i="12" s="1"/>
  <c r="H206" i="12" s="1"/>
  <c r="I206" i="12"/>
  <c r="J206" i="12" s="1"/>
  <c r="B205" i="12"/>
  <c r="G205" i="12" s="1"/>
  <c r="H205" i="12" s="1"/>
  <c r="I205" i="12"/>
  <c r="J205" i="12" s="1"/>
  <c r="B204" i="12"/>
  <c r="G204" i="12" s="1"/>
  <c r="H204" i="12" s="1"/>
  <c r="I204" i="12"/>
  <c r="J204" i="12" s="1"/>
  <c r="B203" i="12"/>
  <c r="G203" i="12" s="1"/>
  <c r="H203" i="12" s="1"/>
  <c r="I203" i="12"/>
  <c r="J203" i="12" s="1"/>
  <c r="B202" i="12"/>
  <c r="G202" i="12" s="1"/>
  <c r="I202" i="12"/>
  <c r="J202" i="12" s="1"/>
  <c r="B201" i="12"/>
  <c r="G201" i="12" s="1"/>
  <c r="I201" i="12"/>
  <c r="J201" i="12" s="1"/>
  <c r="B200" i="12"/>
  <c r="G200" i="12" s="1"/>
  <c r="I200" i="12"/>
  <c r="J200" i="12" s="1"/>
  <c r="B199" i="12"/>
  <c r="G199" i="12" s="1"/>
  <c r="I199" i="12"/>
  <c r="J199" i="12" s="1"/>
  <c r="B198" i="12"/>
  <c r="G198" i="12" s="1"/>
  <c r="I198" i="12"/>
  <c r="J198" i="12" s="1"/>
  <c r="B197" i="12"/>
  <c r="G197" i="12" s="1"/>
  <c r="H197" i="12" s="1"/>
  <c r="I197" i="12"/>
  <c r="J197" i="12" s="1"/>
  <c r="B196" i="12"/>
  <c r="G196" i="12" s="1"/>
  <c r="I196" i="12"/>
  <c r="J196" i="12" s="1"/>
  <c r="M196" i="12" s="1"/>
  <c r="B195" i="12"/>
  <c r="G195" i="12" s="1"/>
  <c r="I195" i="12"/>
  <c r="J195" i="12" s="1"/>
  <c r="B194" i="12"/>
  <c r="G194" i="12" s="1"/>
  <c r="I194" i="12"/>
  <c r="J194" i="12" s="1"/>
  <c r="B193" i="12"/>
  <c r="G193" i="12" s="1"/>
  <c r="I193" i="12"/>
  <c r="J193" i="12" s="1"/>
  <c r="B192" i="12"/>
  <c r="G192" i="12" s="1"/>
  <c r="I192" i="12"/>
  <c r="J192" i="12" s="1"/>
  <c r="B191" i="12"/>
  <c r="G191" i="12" s="1"/>
  <c r="H191" i="12" s="1"/>
  <c r="I191" i="12"/>
  <c r="J191" i="12" s="1"/>
  <c r="B190" i="12"/>
  <c r="G190" i="12" s="1"/>
  <c r="I190" i="12"/>
  <c r="J190" i="12" s="1"/>
  <c r="B189" i="12"/>
  <c r="G189" i="12" s="1"/>
  <c r="I189" i="12"/>
  <c r="J189" i="12" s="1"/>
  <c r="B188" i="12"/>
  <c r="G188" i="12" s="1"/>
  <c r="I188" i="12"/>
  <c r="J188" i="12" s="1"/>
  <c r="M188" i="12" s="1"/>
  <c r="B187" i="12"/>
  <c r="G187" i="12" s="1"/>
  <c r="I187" i="12"/>
  <c r="J187" i="12" s="1"/>
  <c r="B186" i="12"/>
  <c r="G186" i="12" s="1"/>
  <c r="I186" i="12"/>
  <c r="J186" i="12" s="1"/>
  <c r="B185" i="12"/>
  <c r="G185" i="12" s="1"/>
  <c r="I185" i="12"/>
  <c r="J185" i="12" s="1"/>
  <c r="B184" i="12"/>
  <c r="G184" i="12" s="1"/>
  <c r="I184" i="12"/>
  <c r="J184" i="12" s="1"/>
  <c r="B183" i="12"/>
  <c r="G183" i="12" s="1"/>
  <c r="H183" i="12" s="1"/>
  <c r="I183" i="12"/>
  <c r="J183" i="12" s="1"/>
  <c r="B182" i="12"/>
  <c r="G182" i="12" s="1"/>
  <c r="H182" i="12" s="1"/>
  <c r="I182" i="12"/>
  <c r="J182" i="12" s="1"/>
  <c r="B181" i="12"/>
  <c r="G181" i="12" s="1"/>
  <c r="H181" i="12" s="1"/>
  <c r="I181" i="12"/>
  <c r="J181" i="12" s="1"/>
  <c r="B180" i="12"/>
  <c r="G180" i="12" s="1"/>
  <c r="I180" i="12"/>
  <c r="J180" i="12" s="1"/>
  <c r="B179" i="12"/>
  <c r="G179" i="12" s="1"/>
  <c r="H179" i="12" s="1"/>
  <c r="I179" i="12"/>
  <c r="J179" i="12" s="1"/>
  <c r="B178" i="12"/>
  <c r="G178" i="12" s="1"/>
  <c r="H178" i="12" s="1"/>
  <c r="I178" i="12"/>
  <c r="J178" i="12" s="1"/>
  <c r="B177" i="12"/>
  <c r="G177" i="12" s="1"/>
  <c r="H177" i="12" s="1"/>
  <c r="I177" i="12"/>
  <c r="J177" i="12" s="1"/>
  <c r="B176" i="12"/>
  <c r="G176" i="12" s="1"/>
  <c r="H176" i="12" s="1"/>
  <c r="I176" i="12"/>
  <c r="J176" i="12" s="1"/>
  <c r="B175" i="12"/>
  <c r="G175" i="12" s="1"/>
  <c r="H175" i="12" s="1"/>
  <c r="I175" i="12"/>
  <c r="J175" i="12" s="1"/>
  <c r="B174" i="12"/>
  <c r="G174" i="12" s="1"/>
  <c r="I174" i="12"/>
  <c r="J174" i="12" s="1"/>
  <c r="B173" i="12"/>
  <c r="G173" i="12" s="1"/>
  <c r="H173" i="12" s="1"/>
  <c r="I173" i="12"/>
  <c r="J173" i="12" s="1"/>
  <c r="B172" i="12"/>
  <c r="G172" i="12" s="1"/>
  <c r="H172" i="12" s="1"/>
  <c r="I172" i="12"/>
  <c r="J172" i="12" s="1"/>
  <c r="B171" i="12"/>
  <c r="G171" i="12" s="1"/>
  <c r="I171" i="12"/>
  <c r="J171" i="12" s="1"/>
  <c r="M171" i="12" s="1"/>
  <c r="B170" i="12"/>
  <c r="G170" i="12" s="1"/>
  <c r="H170" i="12" s="1"/>
  <c r="I170" i="12"/>
  <c r="J170" i="12" s="1"/>
  <c r="B169" i="12"/>
  <c r="G169" i="12" s="1"/>
  <c r="I169" i="12"/>
  <c r="J169" i="12" s="1"/>
  <c r="M169" i="12" s="1"/>
  <c r="B168" i="12"/>
  <c r="G168" i="12" s="1"/>
  <c r="H168" i="12" s="1"/>
  <c r="I168" i="12"/>
  <c r="J168" i="12" s="1"/>
  <c r="B167" i="12"/>
  <c r="G167" i="12" s="1"/>
  <c r="H167" i="12" s="1"/>
  <c r="I167" i="12"/>
  <c r="J167" i="12" s="1"/>
  <c r="B166" i="12"/>
  <c r="G166" i="12" s="1"/>
  <c r="H166" i="12" s="1"/>
  <c r="I166" i="12"/>
  <c r="J166" i="12" s="1"/>
  <c r="B165" i="12"/>
  <c r="G165" i="12" s="1"/>
  <c r="H165" i="12" s="1"/>
  <c r="I165" i="12"/>
  <c r="J165" i="12" s="1"/>
  <c r="B164" i="12"/>
  <c r="G164" i="12" s="1"/>
  <c r="H164" i="12" s="1"/>
  <c r="I164" i="12"/>
  <c r="J164" i="12" s="1"/>
  <c r="B163" i="12"/>
  <c r="G163" i="12" s="1"/>
  <c r="H163" i="12" s="1"/>
  <c r="I163" i="12"/>
  <c r="J163" i="12" s="1"/>
  <c r="B162" i="12"/>
  <c r="G162" i="12" s="1"/>
  <c r="I162" i="12"/>
  <c r="J162" i="12" s="1"/>
  <c r="B161" i="12"/>
  <c r="G161" i="12" s="1"/>
  <c r="H161" i="12" s="1"/>
  <c r="I161" i="12"/>
  <c r="J161" i="12" s="1"/>
  <c r="B160" i="12"/>
  <c r="G160" i="12" s="1"/>
  <c r="I160" i="12"/>
  <c r="J160" i="12" s="1"/>
  <c r="B159" i="12"/>
  <c r="G159" i="12" s="1"/>
  <c r="I159" i="12"/>
  <c r="J159" i="12" s="1"/>
  <c r="B158" i="12"/>
  <c r="G158" i="12" s="1"/>
  <c r="I158" i="12"/>
  <c r="J158" i="12" s="1"/>
  <c r="B157" i="12"/>
  <c r="G157" i="12" s="1"/>
  <c r="I157" i="12"/>
  <c r="J157" i="12" s="1"/>
  <c r="B156" i="12"/>
  <c r="G156" i="12" s="1"/>
  <c r="I156" i="12"/>
  <c r="J156" i="12" s="1"/>
  <c r="B155" i="12"/>
  <c r="G155" i="12" s="1"/>
  <c r="H155" i="12" s="1"/>
  <c r="I155" i="12"/>
  <c r="J155" i="12" s="1"/>
  <c r="B154" i="12"/>
  <c r="G154" i="12" s="1"/>
  <c r="I154" i="12"/>
  <c r="J154" i="12" s="1"/>
  <c r="M154" i="12" s="1"/>
  <c r="B153" i="12"/>
  <c r="G153" i="12" s="1"/>
  <c r="H153" i="12" s="1"/>
  <c r="I153" i="12"/>
  <c r="J153" i="12" s="1"/>
  <c r="B152" i="12"/>
  <c r="G152" i="12" s="1"/>
  <c r="H152" i="12" s="1"/>
  <c r="I152" i="12"/>
  <c r="J152" i="12" s="1"/>
  <c r="B151" i="12"/>
  <c r="G151" i="12" s="1"/>
  <c r="I151" i="12"/>
  <c r="J151" i="12" s="1"/>
  <c r="B150" i="12"/>
  <c r="G150" i="12" s="1"/>
  <c r="H150" i="12" s="1"/>
  <c r="I150" i="12"/>
  <c r="J150" i="12" s="1"/>
  <c r="B149" i="12"/>
  <c r="G149" i="12" s="1"/>
  <c r="H149" i="12" s="1"/>
  <c r="I149" i="12"/>
  <c r="J149" i="12" s="1"/>
  <c r="B148" i="12"/>
  <c r="G148" i="12" s="1"/>
  <c r="H148" i="12" s="1"/>
  <c r="I148" i="12"/>
  <c r="J148" i="12" s="1"/>
  <c r="B147" i="12"/>
  <c r="G147" i="12" s="1"/>
  <c r="I147" i="12"/>
  <c r="J147" i="12" s="1"/>
  <c r="B146" i="12"/>
  <c r="G146" i="12" s="1"/>
  <c r="H146" i="12" s="1"/>
  <c r="I146" i="12"/>
  <c r="J146" i="12" s="1"/>
  <c r="B145" i="12"/>
  <c r="G145" i="12" s="1"/>
  <c r="I145" i="12"/>
  <c r="J145" i="12" s="1"/>
  <c r="B144" i="12"/>
  <c r="G144" i="12" s="1"/>
  <c r="I144" i="12"/>
  <c r="J144" i="12" s="1"/>
  <c r="M144" i="12" s="1"/>
  <c r="B143" i="12"/>
  <c r="G143" i="12" s="1"/>
  <c r="I143" i="12"/>
  <c r="J143" i="12" s="1"/>
  <c r="M143" i="12" s="1"/>
  <c r="B142" i="12"/>
  <c r="G142" i="12" s="1"/>
  <c r="I142" i="12"/>
  <c r="J142" i="12" s="1"/>
  <c r="M142" i="12" s="1"/>
  <c r="B141" i="12"/>
  <c r="G141" i="12" s="1"/>
  <c r="I141" i="12"/>
  <c r="J141" i="12" s="1"/>
  <c r="M141" i="12" s="1"/>
  <c r="B140" i="12"/>
  <c r="G140" i="12" s="1"/>
  <c r="H140" i="12" s="1"/>
  <c r="I140" i="12"/>
  <c r="J140" i="12" s="1"/>
  <c r="B139" i="12"/>
  <c r="G139" i="12" s="1"/>
  <c r="I139" i="12"/>
  <c r="J139" i="12" s="1"/>
  <c r="B138" i="12"/>
  <c r="G138" i="12" s="1"/>
  <c r="I138" i="12"/>
  <c r="J138" i="12" s="1"/>
  <c r="B137" i="12"/>
  <c r="G137" i="12" s="1"/>
  <c r="I137" i="12"/>
  <c r="J137" i="12" s="1"/>
  <c r="B136" i="12"/>
  <c r="G136" i="12" s="1"/>
  <c r="H136" i="12" s="1"/>
  <c r="I136" i="12"/>
  <c r="J136" i="12" s="1"/>
  <c r="B135" i="12"/>
  <c r="G135" i="12" s="1"/>
  <c r="H135" i="12" s="1"/>
  <c r="I135" i="12"/>
  <c r="J135" i="12" s="1"/>
  <c r="B134" i="12"/>
  <c r="G134" i="12" s="1"/>
  <c r="I134" i="12"/>
  <c r="J134" i="12" s="1"/>
  <c r="B133" i="12"/>
  <c r="G133" i="12" s="1"/>
  <c r="I133" i="12"/>
  <c r="J133" i="12" s="1"/>
  <c r="B132" i="12"/>
  <c r="G132" i="12" s="1"/>
  <c r="I132" i="12"/>
  <c r="J132" i="12" s="1"/>
  <c r="B131" i="12"/>
  <c r="G131" i="12" s="1"/>
  <c r="I131" i="12"/>
  <c r="J131" i="12" s="1"/>
  <c r="B130" i="12"/>
  <c r="G130" i="12" s="1"/>
  <c r="I130" i="12"/>
  <c r="J130" i="12" s="1"/>
  <c r="B129" i="12"/>
  <c r="G129" i="12" s="1"/>
  <c r="I129" i="12"/>
  <c r="J129" i="12" s="1"/>
  <c r="B128" i="12"/>
  <c r="G128" i="12" s="1"/>
  <c r="I128" i="12"/>
  <c r="J128" i="12" s="1"/>
  <c r="B127" i="12"/>
  <c r="G127" i="12" s="1"/>
  <c r="I127" i="12"/>
  <c r="J127" i="12" s="1"/>
  <c r="B126" i="12"/>
  <c r="G126" i="12" s="1"/>
  <c r="H126" i="12" s="1"/>
  <c r="I126" i="12"/>
  <c r="J126" i="12" s="1"/>
  <c r="B125" i="12"/>
  <c r="G125" i="12" s="1"/>
  <c r="I125" i="12"/>
  <c r="J125" i="12" s="1"/>
  <c r="B124" i="12"/>
  <c r="G124" i="12" s="1"/>
  <c r="I124" i="12"/>
  <c r="J124" i="12" s="1"/>
  <c r="B123" i="12"/>
  <c r="G123" i="12" s="1"/>
  <c r="I123" i="12"/>
  <c r="J123" i="12" s="1"/>
  <c r="B122" i="12"/>
  <c r="G122" i="12" s="1"/>
  <c r="I122" i="12"/>
  <c r="J122" i="12" s="1"/>
  <c r="B121" i="12"/>
  <c r="G121" i="12" s="1"/>
  <c r="I121" i="12"/>
  <c r="J121" i="12" s="1"/>
  <c r="B120" i="12"/>
  <c r="G120" i="12" s="1"/>
  <c r="I120" i="12"/>
  <c r="J120" i="12" s="1"/>
  <c r="B119" i="12"/>
  <c r="G119" i="12" s="1"/>
  <c r="I119" i="12"/>
  <c r="J119" i="12" s="1"/>
  <c r="B118" i="12"/>
  <c r="G118" i="12" s="1"/>
  <c r="H118" i="12" s="1"/>
  <c r="I118" i="12"/>
  <c r="J118" i="12" s="1"/>
  <c r="B117" i="12"/>
  <c r="G117" i="12" s="1"/>
  <c r="H117" i="12" s="1"/>
  <c r="I117" i="12"/>
  <c r="J117" i="12" s="1"/>
  <c r="B116" i="12"/>
  <c r="G116" i="12" s="1"/>
  <c r="H116" i="12" s="1"/>
  <c r="I116" i="12"/>
  <c r="J116" i="12" s="1"/>
  <c r="B115" i="12"/>
  <c r="G115" i="12" s="1"/>
  <c r="I115" i="12"/>
  <c r="J115" i="12" s="1"/>
  <c r="B114" i="12"/>
  <c r="G114" i="12" s="1"/>
  <c r="H114" i="12" s="1"/>
  <c r="I114" i="12"/>
  <c r="J114" i="12" s="1"/>
  <c r="B113" i="12"/>
  <c r="G113" i="12" s="1"/>
  <c r="I113" i="12"/>
  <c r="J113" i="12" s="1"/>
  <c r="B112" i="12"/>
  <c r="G112" i="12" s="1"/>
  <c r="I112" i="12"/>
  <c r="J112" i="12" s="1"/>
  <c r="B111" i="12"/>
  <c r="G111" i="12" s="1"/>
  <c r="I111" i="12"/>
  <c r="J111" i="12" s="1"/>
  <c r="B110" i="12"/>
  <c r="G110" i="12" s="1"/>
  <c r="I110" i="12"/>
  <c r="J110" i="12" s="1"/>
  <c r="B109" i="12"/>
  <c r="G109" i="12" s="1"/>
  <c r="I109" i="12"/>
  <c r="J109" i="12" s="1"/>
  <c r="B108" i="12"/>
  <c r="G108" i="12" s="1"/>
  <c r="I108" i="12"/>
  <c r="J108" i="12" s="1"/>
  <c r="B107" i="12"/>
  <c r="G107" i="12" s="1"/>
  <c r="I107" i="12"/>
  <c r="J107" i="12" s="1"/>
  <c r="B106" i="12"/>
  <c r="G106" i="12" s="1"/>
  <c r="I106" i="12"/>
  <c r="J106" i="12" s="1"/>
  <c r="M106" i="12" s="1"/>
  <c r="B105" i="12"/>
  <c r="G105" i="12" s="1"/>
  <c r="H105" i="12" s="1"/>
  <c r="I105" i="12"/>
  <c r="J105" i="12" s="1"/>
  <c r="B104" i="12"/>
  <c r="G104" i="12" s="1"/>
  <c r="I104" i="12"/>
  <c r="J104" i="12" s="1"/>
  <c r="B103" i="12"/>
  <c r="G103" i="12" s="1"/>
  <c r="I103" i="12"/>
  <c r="J103" i="12" s="1"/>
  <c r="B102" i="12"/>
  <c r="G102" i="12" s="1"/>
  <c r="I102" i="12"/>
  <c r="J102" i="12" s="1"/>
  <c r="B101" i="12"/>
  <c r="G101" i="12" s="1"/>
  <c r="I101" i="12"/>
  <c r="J101" i="12" s="1"/>
  <c r="B100" i="12"/>
  <c r="G100" i="12" s="1"/>
  <c r="I100" i="12"/>
  <c r="J100" i="12" s="1"/>
  <c r="B99" i="12"/>
  <c r="G99" i="12" s="1"/>
  <c r="I99" i="12"/>
  <c r="J99" i="12" s="1"/>
  <c r="B98" i="12"/>
  <c r="G98" i="12" s="1"/>
  <c r="I98" i="12"/>
  <c r="J98" i="12" s="1"/>
  <c r="B97" i="12"/>
  <c r="G97" i="12" s="1"/>
  <c r="H97" i="12" s="1"/>
  <c r="I97" i="12"/>
  <c r="J97" i="12" s="1"/>
  <c r="B96" i="12"/>
  <c r="G96" i="12" s="1"/>
  <c r="I96" i="12"/>
  <c r="J96" i="12" s="1"/>
  <c r="B95" i="12"/>
  <c r="G95" i="12" s="1"/>
  <c r="I95" i="12"/>
  <c r="J95" i="12" s="1"/>
  <c r="B94" i="12"/>
  <c r="G94" i="12" s="1"/>
  <c r="I94" i="12"/>
  <c r="J94" i="12" s="1"/>
  <c r="B93" i="12"/>
  <c r="G93" i="12" s="1"/>
  <c r="I93" i="12"/>
  <c r="J93" i="12" s="1"/>
  <c r="B92" i="12"/>
  <c r="G92" i="12" s="1"/>
  <c r="I92" i="12"/>
  <c r="J92" i="12" s="1"/>
  <c r="B91" i="12"/>
  <c r="G91" i="12" s="1"/>
  <c r="I91" i="12"/>
  <c r="J91" i="12" s="1"/>
  <c r="B90" i="12"/>
  <c r="G90" i="12" s="1"/>
  <c r="I90" i="12"/>
  <c r="J90" i="12" s="1"/>
  <c r="B89" i="12"/>
  <c r="G89" i="12" s="1"/>
  <c r="I89" i="12"/>
  <c r="J89" i="12" s="1"/>
  <c r="B88" i="12"/>
  <c r="G88" i="12" s="1"/>
  <c r="I88" i="12"/>
  <c r="J88" i="12" s="1"/>
  <c r="B87" i="12"/>
  <c r="G87" i="12" s="1"/>
  <c r="I87" i="12"/>
  <c r="J87" i="12" s="1"/>
  <c r="B86" i="12"/>
  <c r="G86" i="12" s="1"/>
  <c r="I86" i="12"/>
  <c r="J86" i="12" s="1"/>
  <c r="B85" i="12"/>
  <c r="G85" i="12" s="1"/>
  <c r="H85" i="12" s="1"/>
  <c r="I85" i="12"/>
  <c r="J85" i="12" s="1"/>
  <c r="B84" i="12"/>
  <c r="G84" i="12" s="1"/>
  <c r="I84" i="12"/>
  <c r="J84" i="12" s="1"/>
  <c r="B83" i="12"/>
  <c r="G83" i="12" s="1"/>
  <c r="I83" i="12"/>
  <c r="J83" i="12" s="1"/>
  <c r="B82" i="12"/>
  <c r="G82" i="12" s="1"/>
  <c r="I82" i="12"/>
  <c r="J82" i="12" s="1"/>
  <c r="B81" i="12"/>
  <c r="G81" i="12" s="1"/>
  <c r="I81" i="12"/>
  <c r="J81" i="12" s="1"/>
  <c r="B80" i="12"/>
  <c r="G80" i="12" s="1"/>
  <c r="I80" i="12"/>
  <c r="J80" i="12" s="1"/>
  <c r="B79" i="12"/>
  <c r="G79" i="12" s="1"/>
  <c r="I79" i="12"/>
  <c r="J79" i="12" s="1"/>
  <c r="B78" i="12"/>
  <c r="G78" i="12" s="1"/>
  <c r="I78" i="12"/>
  <c r="J78" i="12" s="1"/>
  <c r="B77" i="12"/>
  <c r="G77" i="12" s="1"/>
  <c r="I77" i="12"/>
  <c r="J77" i="12" s="1"/>
  <c r="B76" i="12"/>
  <c r="G76" i="12" s="1"/>
  <c r="I76" i="12"/>
  <c r="J76" i="12" s="1"/>
  <c r="B75" i="12"/>
  <c r="G75" i="12" s="1"/>
  <c r="I75" i="12"/>
  <c r="J75" i="12" s="1"/>
  <c r="B74" i="12"/>
  <c r="G74" i="12" s="1"/>
  <c r="I74" i="12"/>
  <c r="J74" i="12" s="1"/>
  <c r="B73" i="12"/>
  <c r="G73" i="12" s="1"/>
  <c r="H73" i="12" s="1"/>
  <c r="I73" i="12"/>
  <c r="J73" i="12" s="1"/>
  <c r="B72" i="12"/>
  <c r="G72" i="12" s="1"/>
  <c r="I72" i="12"/>
  <c r="J72" i="12" s="1"/>
  <c r="B71" i="12"/>
  <c r="G71" i="12" s="1"/>
  <c r="H71" i="12" s="1"/>
  <c r="I71" i="12"/>
  <c r="J71" i="12" s="1"/>
  <c r="B70" i="12"/>
  <c r="G70" i="12" s="1"/>
  <c r="I70" i="12"/>
  <c r="J70" i="12" s="1"/>
  <c r="B69" i="12"/>
  <c r="G69" i="12" s="1"/>
  <c r="I69" i="12"/>
  <c r="J69" i="12" s="1"/>
  <c r="B68" i="12"/>
  <c r="G68" i="12" s="1"/>
  <c r="I68" i="12"/>
  <c r="J68" i="12" s="1"/>
  <c r="B67" i="12"/>
  <c r="G67" i="12" s="1"/>
  <c r="I67" i="12"/>
  <c r="J67" i="12" s="1"/>
  <c r="B66" i="12"/>
  <c r="G66" i="12" s="1"/>
  <c r="I66" i="12"/>
  <c r="J66" i="12" s="1"/>
  <c r="B65" i="12"/>
  <c r="G65" i="12" s="1"/>
  <c r="I65" i="12"/>
  <c r="J65" i="12" s="1"/>
  <c r="B64" i="12"/>
  <c r="G64" i="12" s="1"/>
  <c r="I64" i="12"/>
  <c r="J64" i="12" s="1"/>
  <c r="B63" i="12"/>
  <c r="G63" i="12" s="1"/>
  <c r="I63" i="12"/>
  <c r="J63" i="12" s="1"/>
  <c r="B62" i="12"/>
  <c r="G62" i="12" s="1"/>
  <c r="I62" i="12"/>
  <c r="J62" i="12" s="1"/>
  <c r="B61" i="12"/>
  <c r="G61" i="12" s="1"/>
  <c r="I61" i="12"/>
  <c r="J61" i="12" s="1"/>
  <c r="B60" i="12"/>
  <c r="G60" i="12" s="1"/>
  <c r="I60" i="12"/>
  <c r="J60" i="12" s="1"/>
  <c r="B59" i="12"/>
  <c r="G59" i="12" s="1"/>
  <c r="I59" i="12"/>
  <c r="J59" i="12" s="1"/>
  <c r="B58" i="12"/>
  <c r="G58" i="12" s="1"/>
  <c r="I58" i="12"/>
  <c r="J58" i="12" s="1"/>
  <c r="B57" i="12"/>
  <c r="G57" i="12" s="1"/>
  <c r="I57" i="12"/>
  <c r="J57" i="12" s="1"/>
  <c r="B56" i="12"/>
  <c r="G56" i="12" s="1"/>
  <c r="I56" i="12"/>
  <c r="J56" i="12" s="1"/>
  <c r="B55" i="12"/>
  <c r="G55" i="12" s="1"/>
  <c r="I55" i="12"/>
  <c r="J55" i="12" s="1"/>
  <c r="B54" i="12"/>
  <c r="G54" i="12" s="1"/>
  <c r="H54" i="12" s="1"/>
  <c r="I54" i="12"/>
  <c r="J54" i="12" s="1"/>
  <c r="B53" i="12"/>
  <c r="G53" i="12" s="1"/>
  <c r="H53" i="12" s="1"/>
  <c r="I53" i="12"/>
  <c r="J53" i="12" s="1"/>
  <c r="B52" i="12"/>
  <c r="G52" i="12" s="1"/>
  <c r="H52" i="12" s="1"/>
  <c r="I52" i="12"/>
  <c r="J52" i="12" s="1"/>
  <c r="B51" i="12"/>
  <c r="G51" i="12" s="1"/>
  <c r="H51" i="12" s="1"/>
  <c r="I51" i="12"/>
  <c r="J51" i="12" s="1"/>
  <c r="B50" i="12"/>
  <c r="G50" i="12" s="1"/>
  <c r="H50" i="12" s="1"/>
  <c r="I50" i="12"/>
  <c r="J50" i="12" s="1"/>
  <c r="B49" i="12"/>
  <c r="G49" i="12" s="1"/>
  <c r="H49" i="12" s="1"/>
  <c r="I49" i="12"/>
  <c r="J49" i="12" s="1"/>
  <c r="B48" i="12"/>
  <c r="G48" i="12" s="1"/>
  <c r="H48" i="12" s="1"/>
  <c r="I48" i="12"/>
  <c r="J48" i="12" s="1"/>
  <c r="B47" i="12"/>
  <c r="G47" i="12" s="1"/>
  <c r="I47" i="12"/>
  <c r="J47" i="12" s="1"/>
  <c r="B46" i="12"/>
  <c r="G46" i="12" s="1"/>
  <c r="I46" i="12"/>
  <c r="J46" i="12" s="1"/>
  <c r="B45" i="12"/>
  <c r="G45" i="12" s="1"/>
  <c r="H45" i="12" s="1"/>
  <c r="I45" i="12"/>
  <c r="J45" i="12" s="1"/>
  <c r="B44" i="12"/>
  <c r="G44" i="12" s="1"/>
  <c r="H44" i="12" s="1"/>
  <c r="I44" i="12"/>
  <c r="J44" i="12" s="1"/>
  <c r="B43" i="12"/>
  <c r="G43" i="12" s="1"/>
  <c r="H43" i="12" s="1"/>
  <c r="I43" i="12"/>
  <c r="J43" i="12" s="1"/>
  <c r="B42" i="12"/>
  <c r="G42" i="12" s="1"/>
  <c r="I42" i="12"/>
  <c r="J42" i="12" s="1"/>
  <c r="B41" i="12"/>
  <c r="G41" i="12" s="1"/>
  <c r="H41" i="12" s="1"/>
  <c r="I41" i="12"/>
  <c r="J41" i="12" s="1"/>
  <c r="B40" i="12"/>
  <c r="G40" i="12" s="1"/>
  <c r="H40" i="12" s="1"/>
  <c r="I40" i="12"/>
  <c r="J40" i="12" s="1"/>
  <c r="B39" i="12"/>
  <c r="G39" i="12" s="1"/>
  <c r="H39" i="12" s="1"/>
  <c r="I39" i="12"/>
  <c r="J39" i="12" s="1"/>
  <c r="B38" i="12"/>
  <c r="G38" i="12" s="1"/>
  <c r="H38" i="12" s="1"/>
  <c r="I38" i="12"/>
  <c r="J38" i="12" s="1"/>
  <c r="B37" i="12"/>
  <c r="G37" i="12" s="1"/>
  <c r="I37" i="12"/>
  <c r="J37" i="12" s="1"/>
  <c r="B36" i="12"/>
  <c r="G36" i="12" s="1"/>
  <c r="I36" i="12"/>
  <c r="J36" i="12" s="1"/>
  <c r="B35" i="12"/>
  <c r="G35" i="12" s="1"/>
  <c r="I35" i="12"/>
  <c r="J35" i="12" s="1"/>
  <c r="B34" i="12"/>
  <c r="G34" i="12" s="1"/>
  <c r="I34" i="12"/>
  <c r="J34" i="12" s="1"/>
  <c r="B33" i="12"/>
  <c r="G33" i="12" s="1"/>
  <c r="I33" i="12"/>
  <c r="J33" i="12" s="1"/>
  <c r="B32" i="12"/>
  <c r="G32" i="12" s="1"/>
  <c r="H32" i="12" s="1"/>
  <c r="I32" i="12"/>
  <c r="J32" i="12" s="1"/>
  <c r="B31" i="12"/>
  <c r="G31" i="12" s="1"/>
  <c r="I31" i="12"/>
  <c r="J31" i="12" s="1"/>
  <c r="B30" i="12"/>
  <c r="G30" i="12" s="1"/>
  <c r="I30" i="12"/>
  <c r="J30" i="12" s="1"/>
  <c r="B29" i="12"/>
  <c r="G29" i="12" s="1"/>
  <c r="I29" i="12"/>
  <c r="J29" i="12" s="1"/>
  <c r="B28" i="12"/>
  <c r="G28" i="12" s="1"/>
  <c r="I28" i="12"/>
  <c r="J28" i="12" s="1"/>
  <c r="B27" i="12"/>
  <c r="G27" i="12" s="1"/>
  <c r="I27" i="12"/>
  <c r="J27" i="12" s="1"/>
  <c r="B26" i="12"/>
  <c r="G26" i="12" s="1"/>
  <c r="I26" i="12"/>
  <c r="J26" i="12" s="1"/>
  <c r="B25" i="12"/>
  <c r="G25" i="12" s="1"/>
  <c r="I25" i="12"/>
  <c r="J25" i="12" s="1"/>
  <c r="B24" i="12"/>
  <c r="G24" i="12" s="1"/>
  <c r="I24" i="12"/>
  <c r="J24" i="12" s="1"/>
  <c r="B23" i="12"/>
  <c r="G23" i="12" s="1"/>
  <c r="I23" i="12"/>
  <c r="J23" i="12" s="1"/>
  <c r="B22" i="12"/>
  <c r="G22" i="12" s="1"/>
  <c r="I22" i="12"/>
  <c r="J22" i="12" s="1"/>
  <c r="B21" i="12"/>
  <c r="G21" i="12" s="1"/>
  <c r="I21" i="12"/>
  <c r="J21" i="12" s="1"/>
  <c r="B20" i="12"/>
  <c r="G20" i="12" s="1"/>
  <c r="H20" i="12" s="1"/>
  <c r="I20" i="12"/>
  <c r="J20" i="12" s="1"/>
  <c r="B19" i="12"/>
  <c r="G19" i="12" s="1"/>
  <c r="H19" i="12" s="1"/>
  <c r="I19" i="12"/>
  <c r="J19" i="12" s="1"/>
  <c r="B18" i="12"/>
  <c r="G18" i="12" s="1"/>
  <c r="H18" i="12" s="1"/>
  <c r="I18" i="12"/>
  <c r="J18" i="12" s="1"/>
  <c r="B17" i="12"/>
  <c r="G17" i="12" s="1"/>
  <c r="I17" i="12"/>
  <c r="J17" i="12" s="1"/>
  <c r="O20" i="11"/>
  <c r="M21" i="11"/>
  <c r="D9" i="10" s="1"/>
  <c r="B22" i="9" s="1"/>
  <c r="G28" i="13"/>
  <c r="F28" i="13"/>
  <c r="H27" i="13"/>
  <c r="E28" i="13"/>
  <c r="F37" i="3" l="1"/>
  <c r="D28" i="3" s="1"/>
  <c r="M18" i="12"/>
  <c r="M19" i="12"/>
  <c r="M20" i="12"/>
  <c r="M32" i="12"/>
  <c r="M38" i="12"/>
  <c r="M39" i="12"/>
  <c r="N39" i="12" s="1"/>
  <c r="M40" i="12"/>
  <c r="N40" i="12" s="1"/>
  <c r="M41" i="12"/>
  <c r="N41" i="12" s="1"/>
  <c r="M43" i="12"/>
  <c r="N43" i="12" s="1"/>
  <c r="M44" i="12"/>
  <c r="N44" i="12" s="1"/>
  <c r="M45" i="12"/>
  <c r="N45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71" i="12"/>
  <c r="N71" i="12" s="1"/>
  <c r="M73" i="12"/>
  <c r="N73" i="12" s="1"/>
  <c r="M85" i="12"/>
  <c r="N85" i="12" s="1"/>
  <c r="M97" i="12"/>
  <c r="N97" i="12" s="1"/>
  <c r="M105" i="12"/>
  <c r="N105" i="12" s="1"/>
  <c r="M114" i="12"/>
  <c r="N114" i="12" s="1"/>
  <c r="M116" i="12"/>
  <c r="N116" i="12" s="1"/>
  <c r="M117" i="12"/>
  <c r="N117" i="12" s="1"/>
  <c r="M118" i="12"/>
  <c r="N118" i="12" s="1"/>
  <c r="M126" i="12"/>
  <c r="N126" i="12" s="1"/>
  <c r="M135" i="12"/>
  <c r="N135" i="12" s="1"/>
  <c r="M136" i="12"/>
  <c r="N136" i="12" s="1"/>
  <c r="M140" i="12"/>
  <c r="N140" i="12" s="1"/>
  <c r="M146" i="12"/>
  <c r="N146" i="12" s="1"/>
  <c r="M148" i="12"/>
  <c r="M149" i="12"/>
  <c r="M150" i="12"/>
  <c r="M152" i="12"/>
  <c r="M153" i="12"/>
  <c r="N153" i="12" s="1"/>
  <c r="M155" i="12"/>
  <c r="N155" i="12" s="1"/>
  <c r="M161" i="12"/>
  <c r="N161" i="12" s="1"/>
  <c r="M163" i="12"/>
  <c r="N163" i="12" s="1"/>
  <c r="M164" i="12"/>
  <c r="N164" i="12" s="1"/>
  <c r="M165" i="12"/>
  <c r="N165" i="12" s="1"/>
  <c r="M166" i="12"/>
  <c r="N166" i="12" s="1"/>
  <c r="M167" i="12"/>
  <c r="N167" i="12" s="1"/>
  <c r="M168" i="12"/>
  <c r="N168" i="12" s="1"/>
  <c r="M170" i="12"/>
  <c r="N170" i="12" s="1"/>
  <c r="M172" i="12"/>
  <c r="N172" i="12" s="1"/>
  <c r="M173" i="12"/>
  <c r="M175" i="12"/>
  <c r="M176" i="12"/>
  <c r="M177" i="12"/>
  <c r="M178" i="12"/>
  <c r="N178" i="12" s="1"/>
  <c r="M179" i="12"/>
  <c r="N179" i="12" s="1"/>
  <c r="M181" i="12"/>
  <c r="N181" i="12" s="1"/>
  <c r="M182" i="12"/>
  <c r="N182" i="12" s="1"/>
  <c r="M183" i="12"/>
  <c r="N183" i="12" s="1"/>
  <c r="M191" i="12"/>
  <c r="N191" i="12" s="1"/>
  <c r="M197" i="12"/>
  <c r="N197" i="12" s="1"/>
  <c r="M203" i="12"/>
  <c r="N203" i="12" s="1"/>
  <c r="M204" i="12"/>
  <c r="N204" i="12" s="1"/>
  <c r="M205" i="12"/>
  <c r="N205" i="12" s="1"/>
  <c r="M206" i="12"/>
  <c r="N206" i="12" s="1"/>
  <c r="M207" i="12"/>
  <c r="N207" i="12" s="1"/>
  <c r="M208" i="12"/>
  <c r="N208" i="12" s="1"/>
  <c r="M209" i="12"/>
  <c r="N209" i="12" s="1"/>
  <c r="M210" i="12"/>
  <c r="M216" i="12"/>
  <c r="M221" i="12"/>
  <c r="N221" i="12" s="1"/>
  <c r="M222" i="12"/>
  <c r="N222" i="12" s="1"/>
  <c r="M227" i="12"/>
  <c r="N227" i="12" s="1"/>
  <c r="M228" i="12"/>
  <c r="N228" i="12" s="1"/>
  <c r="M231" i="12"/>
  <c r="N231" i="12" s="1"/>
  <c r="M232" i="12"/>
  <c r="N232" i="12" s="1"/>
  <c r="M233" i="12"/>
  <c r="N233" i="12" s="1"/>
  <c r="M234" i="12"/>
  <c r="N234" i="12" s="1"/>
  <c r="M235" i="12"/>
  <c r="N235" i="12" s="1"/>
  <c r="M236" i="12"/>
  <c r="N236" i="12" s="1"/>
  <c r="M238" i="12"/>
  <c r="N238" i="12" s="1"/>
  <c r="M239" i="12"/>
  <c r="N239" i="12" s="1"/>
  <c r="M240" i="12"/>
  <c r="N240" i="12" s="1"/>
  <c r="M241" i="12"/>
  <c r="M242" i="12"/>
  <c r="N242" i="12" s="1"/>
  <c r="M243" i="12"/>
  <c r="N243" i="12" s="1"/>
  <c r="M244" i="12"/>
  <c r="N244" i="12" s="1"/>
  <c r="M245" i="12"/>
  <c r="N245" i="12" s="1"/>
  <c r="M246" i="12"/>
  <c r="N246" i="12" s="1"/>
  <c r="M247" i="12"/>
  <c r="N247" i="12" s="1"/>
  <c r="M248" i="12"/>
  <c r="N248" i="12" s="1"/>
  <c r="M249" i="12"/>
  <c r="N249" i="12" s="1"/>
  <c r="M250" i="12"/>
  <c r="N250" i="12" s="1"/>
  <c r="M251" i="12"/>
  <c r="N251" i="12" s="1"/>
  <c r="M254" i="12"/>
  <c r="N254" i="12" s="1"/>
  <c r="M261" i="12"/>
  <c r="N261" i="12" s="1"/>
  <c r="M263" i="12"/>
  <c r="N263" i="12" s="1"/>
  <c r="M264" i="12"/>
  <c r="N264" i="12" s="1"/>
  <c r="M265" i="12"/>
  <c r="M266" i="12"/>
  <c r="N266" i="12" s="1"/>
  <c r="M267" i="12"/>
  <c r="M273" i="12"/>
  <c r="M274" i="12"/>
  <c r="N274" i="12" s="1"/>
  <c r="M275" i="12"/>
  <c r="N275" i="12" s="1"/>
  <c r="M278" i="12"/>
  <c r="N278" i="12" s="1"/>
  <c r="M285" i="12"/>
  <c r="N285" i="12" s="1"/>
  <c r="M288" i="12"/>
  <c r="N288" i="12" s="1"/>
  <c r="M295" i="12"/>
  <c r="N295" i="12" s="1"/>
  <c r="M329" i="12"/>
  <c r="N329" i="12" s="1"/>
  <c r="M330" i="12"/>
  <c r="N330" i="12" s="1"/>
  <c r="M331" i="12"/>
  <c r="N331" i="12" s="1"/>
  <c r="M332" i="12"/>
  <c r="N332" i="12" s="1"/>
  <c r="M333" i="12"/>
  <c r="N333" i="12" s="1"/>
  <c r="M334" i="12"/>
  <c r="N334" i="12" s="1"/>
  <c r="M335" i="12"/>
  <c r="N335" i="12" s="1"/>
  <c r="M336" i="12"/>
  <c r="M347" i="12"/>
  <c r="N347" i="12" s="1"/>
  <c r="M348" i="12"/>
  <c r="N348" i="12" s="1"/>
  <c r="M349" i="12"/>
  <c r="N349" i="12" s="1"/>
  <c r="M350" i="12"/>
  <c r="N350" i="12" s="1"/>
  <c r="M351" i="12"/>
  <c r="N351" i="12" s="1"/>
  <c r="M352" i="12"/>
  <c r="N352" i="12" s="1"/>
  <c r="M363" i="12"/>
  <c r="N363" i="12" s="1"/>
  <c r="M368" i="12"/>
  <c r="N368" i="12" s="1"/>
  <c r="M369" i="12"/>
  <c r="N369" i="12" s="1"/>
  <c r="M377" i="12"/>
  <c r="N377" i="12" s="1"/>
  <c r="M378" i="12"/>
  <c r="N378" i="12" s="1"/>
  <c r="M379" i="12"/>
  <c r="N379" i="12" s="1"/>
  <c r="M380" i="12"/>
  <c r="N380" i="12" s="1"/>
  <c r="F17" i="16"/>
  <c r="J17" i="16"/>
  <c r="K17" i="16" s="1"/>
  <c r="B17" i="16"/>
  <c r="B10" i="19" s="1"/>
  <c r="C10" i="19" s="1"/>
  <c r="D10" i="19" s="1"/>
  <c r="F18" i="16"/>
  <c r="J18" i="16"/>
  <c r="K18" i="16" s="1"/>
  <c r="B18" i="16"/>
  <c r="B11" i="19" s="1"/>
  <c r="C11" i="19" s="1"/>
  <c r="D11" i="19" s="1"/>
  <c r="F19" i="16"/>
  <c r="J19" i="16"/>
  <c r="K19" i="16" s="1"/>
  <c r="B19" i="16"/>
  <c r="B12" i="19" s="1"/>
  <c r="C12" i="19" s="1"/>
  <c r="D12" i="19" s="1"/>
  <c r="F20" i="16"/>
  <c r="J20" i="16"/>
  <c r="K20" i="16" s="1"/>
  <c r="B20" i="16"/>
  <c r="B13" i="19" s="1"/>
  <c r="C13" i="19" s="1"/>
  <c r="D13" i="19" s="1"/>
  <c r="F21" i="16"/>
  <c r="J21" i="16"/>
  <c r="K21" i="16" s="1"/>
  <c r="B21" i="16"/>
  <c r="B14" i="19" s="1"/>
  <c r="C14" i="19" s="1"/>
  <c r="D14" i="19" s="1"/>
  <c r="F22" i="16"/>
  <c r="J22" i="16"/>
  <c r="K22" i="16" s="1"/>
  <c r="B22" i="16"/>
  <c r="B15" i="19" s="1"/>
  <c r="C15" i="19" s="1"/>
  <c r="D15" i="19" s="1"/>
  <c r="F23" i="16"/>
  <c r="J23" i="16"/>
  <c r="K23" i="16" s="1"/>
  <c r="B23" i="16"/>
  <c r="B16" i="19" s="1"/>
  <c r="C16" i="19" s="1"/>
  <c r="D16" i="19" s="1"/>
  <c r="F24" i="16"/>
  <c r="J24" i="16"/>
  <c r="K24" i="16" s="1"/>
  <c r="B24" i="16"/>
  <c r="B17" i="19" s="1"/>
  <c r="C17" i="19" s="1"/>
  <c r="D17" i="19" s="1"/>
  <c r="F25" i="16"/>
  <c r="J25" i="16"/>
  <c r="K25" i="16" s="1"/>
  <c r="B25" i="16"/>
  <c r="B18" i="19" s="1"/>
  <c r="C18" i="19" s="1"/>
  <c r="D18" i="19" s="1"/>
  <c r="F26" i="16"/>
  <c r="J26" i="16"/>
  <c r="K26" i="16" s="1"/>
  <c r="B26" i="16"/>
  <c r="B19" i="19" s="1"/>
  <c r="C19" i="19" s="1"/>
  <c r="D19" i="19" s="1"/>
  <c r="F27" i="16"/>
  <c r="J27" i="16"/>
  <c r="K27" i="16" s="1"/>
  <c r="B27" i="16"/>
  <c r="B20" i="19" s="1"/>
  <c r="C20" i="19" s="1"/>
  <c r="D20" i="19" s="1"/>
  <c r="F28" i="16"/>
  <c r="J28" i="16"/>
  <c r="K28" i="16" s="1"/>
  <c r="B28" i="16"/>
  <c r="B21" i="19" s="1"/>
  <c r="C21" i="19" s="1"/>
  <c r="D21" i="19" s="1"/>
  <c r="F29" i="16"/>
  <c r="J29" i="16"/>
  <c r="K29" i="16" s="1"/>
  <c r="B29" i="16"/>
  <c r="B22" i="19" s="1"/>
  <c r="C22" i="19" s="1"/>
  <c r="D22" i="19" s="1"/>
  <c r="F30" i="16"/>
  <c r="J30" i="16"/>
  <c r="K30" i="16" s="1"/>
  <c r="B30" i="16"/>
  <c r="B23" i="19" s="1"/>
  <c r="C23" i="19" s="1"/>
  <c r="D23" i="19" s="1"/>
  <c r="F31" i="16"/>
  <c r="J31" i="16"/>
  <c r="K31" i="16" s="1"/>
  <c r="B31" i="16"/>
  <c r="B24" i="19" s="1"/>
  <c r="C24" i="19" s="1"/>
  <c r="D24" i="19" s="1"/>
  <c r="F32" i="16"/>
  <c r="J32" i="16"/>
  <c r="K32" i="16" s="1"/>
  <c r="B32" i="16"/>
  <c r="B25" i="19" s="1"/>
  <c r="C25" i="19" s="1"/>
  <c r="D25" i="19" s="1"/>
  <c r="F33" i="16"/>
  <c r="J33" i="16"/>
  <c r="K33" i="16" s="1"/>
  <c r="B33" i="16"/>
  <c r="B26" i="19" s="1"/>
  <c r="C26" i="19" s="1"/>
  <c r="D26" i="19" s="1"/>
  <c r="F34" i="16"/>
  <c r="J34" i="16"/>
  <c r="K34" i="16" s="1"/>
  <c r="B34" i="16"/>
  <c r="B27" i="19" s="1"/>
  <c r="C27" i="19" s="1"/>
  <c r="D27" i="19" s="1"/>
  <c r="F35" i="16"/>
  <c r="J35" i="16"/>
  <c r="K35" i="16" s="1"/>
  <c r="B35" i="16"/>
  <c r="B28" i="19" s="1"/>
  <c r="C28" i="19" s="1"/>
  <c r="D28" i="19" s="1"/>
  <c r="F36" i="16"/>
  <c r="J36" i="16"/>
  <c r="K36" i="16" s="1"/>
  <c r="B36" i="16"/>
  <c r="B29" i="19" s="1"/>
  <c r="C29" i="19" s="1"/>
  <c r="D29" i="19" s="1"/>
  <c r="F37" i="16"/>
  <c r="J37" i="16"/>
  <c r="K37" i="16" s="1"/>
  <c r="B37" i="16"/>
  <c r="B30" i="19" s="1"/>
  <c r="C30" i="19" s="1"/>
  <c r="D30" i="19" s="1"/>
  <c r="F38" i="16"/>
  <c r="J38" i="16"/>
  <c r="K38" i="16" s="1"/>
  <c r="B38" i="16"/>
  <c r="B31" i="19" s="1"/>
  <c r="C31" i="19" s="1"/>
  <c r="D31" i="19" s="1"/>
  <c r="F39" i="16"/>
  <c r="J39" i="16"/>
  <c r="K39" i="16" s="1"/>
  <c r="B39" i="16"/>
  <c r="B32" i="19" s="1"/>
  <c r="C32" i="19" s="1"/>
  <c r="D32" i="19" s="1"/>
  <c r="F40" i="16"/>
  <c r="J40" i="16"/>
  <c r="K40" i="16" s="1"/>
  <c r="B40" i="16"/>
  <c r="B33" i="19" s="1"/>
  <c r="C33" i="19" s="1"/>
  <c r="D33" i="19" s="1"/>
  <c r="F41" i="16"/>
  <c r="J41" i="16"/>
  <c r="K41" i="16" s="1"/>
  <c r="B41" i="16"/>
  <c r="B34" i="19" s="1"/>
  <c r="C34" i="19" s="1"/>
  <c r="D34" i="19" s="1"/>
  <c r="F42" i="16"/>
  <c r="J42" i="16"/>
  <c r="K42" i="16" s="1"/>
  <c r="B42" i="16"/>
  <c r="B35" i="19" s="1"/>
  <c r="C35" i="19" s="1"/>
  <c r="D35" i="19" s="1"/>
  <c r="F43" i="16"/>
  <c r="J43" i="16"/>
  <c r="K43" i="16" s="1"/>
  <c r="B43" i="16"/>
  <c r="B36" i="19" s="1"/>
  <c r="C36" i="19" s="1"/>
  <c r="D36" i="19" s="1"/>
  <c r="F44" i="16"/>
  <c r="J44" i="16"/>
  <c r="K44" i="16" s="1"/>
  <c r="B44" i="16"/>
  <c r="B37" i="19" s="1"/>
  <c r="C37" i="19" s="1"/>
  <c r="D37" i="19" s="1"/>
  <c r="F45" i="16"/>
  <c r="J45" i="16"/>
  <c r="K45" i="16" s="1"/>
  <c r="B45" i="16"/>
  <c r="B38" i="19" s="1"/>
  <c r="C38" i="19" s="1"/>
  <c r="D38" i="19" s="1"/>
  <c r="F46" i="16"/>
  <c r="J46" i="16"/>
  <c r="K46" i="16" s="1"/>
  <c r="B46" i="16"/>
  <c r="B39" i="19" s="1"/>
  <c r="C39" i="19" s="1"/>
  <c r="D39" i="19" s="1"/>
  <c r="F47" i="16"/>
  <c r="J47" i="16"/>
  <c r="K47" i="16" s="1"/>
  <c r="B47" i="16"/>
  <c r="B40" i="19" s="1"/>
  <c r="C40" i="19" s="1"/>
  <c r="D40" i="19" s="1"/>
  <c r="F48" i="16"/>
  <c r="J48" i="16"/>
  <c r="K48" i="16" s="1"/>
  <c r="B48" i="16"/>
  <c r="B41" i="19" s="1"/>
  <c r="C41" i="19" s="1"/>
  <c r="D41" i="19" s="1"/>
  <c r="F49" i="16"/>
  <c r="J49" i="16"/>
  <c r="K49" i="16" s="1"/>
  <c r="B49" i="16"/>
  <c r="B42" i="19" s="1"/>
  <c r="C42" i="19" s="1"/>
  <c r="D42" i="19" s="1"/>
  <c r="F50" i="16"/>
  <c r="J50" i="16"/>
  <c r="K50" i="16" s="1"/>
  <c r="B50" i="16"/>
  <c r="B43" i="19" s="1"/>
  <c r="C43" i="19" s="1"/>
  <c r="D43" i="19" s="1"/>
  <c r="F51" i="16"/>
  <c r="J51" i="16"/>
  <c r="K51" i="16" s="1"/>
  <c r="B51" i="16"/>
  <c r="B44" i="19" s="1"/>
  <c r="C44" i="19" s="1"/>
  <c r="D44" i="19" s="1"/>
  <c r="F52" i="16"/>
  <c r="J52" i="16"/>
  <c r="K52" i="16" s="1"/>
  <c r="B52" i="16"/>
  <c r="B45" i="19" s="1"/>
  <c r="C45" i="19" s="1"/>
  <c r="D45" i="19" s="1"/>
  <c r="F53" i="16"/>
  <c r="J53" i="16"/>
  <c r="K53" i="16" s="1"/>
  <c r="B53" i="16"/>
  <c r="B46" i="19" s="1"/>
  <c r="C46" i="19" s="1"/>
  <c r="D46" i="19" s="1"/>
  <c r="F54" i="16"/>
  <c r="J54" i="16"/>
  <c r="K54" i="16" s="1"/>
  <c r="B54" i="16"/>
  <c r="B47" i="19" s="1"/>
  <c r="C47" i="19" s="1"/>
  <c r="D47" i="19" s="1"/>
  <c r="F55" i="16"/>
  <c r="J55" i="16"/>
  <c r="K55" i="16" s="1"/>
  <c r="B55" i="16"/>
  <c r="B48" i="19" s="1"/>
  <c r="C48" i="19" s="1"/>
  <c r="D48" i="19" s="1"/>
  <c r="F56" i="16"/>
  <c r="J56" i="16"/>
  <c r="K56" i="16" s="1"/>
  <c r="B56" i="16"/>
  <c r="B49" i="19" s="1"/>
  <c r="C49" i="19" s="1"/>
  <c r="D49" i="19" s="1"/>
  <c r="F57" i="16"/>
  <c r="J57" i="16"/>
  <c r="K57" i="16" s="1"/>
  <c r="B57" i="16"/>
  <c r="B50" i="19" s="1"/>
  <c r="C50" i="19" s="1"/>
  <c r="D50" i="19" s="1"/>
  <c r="F58" i="16"/>
  <c r="J58" i="16"/>
  <c r="K58" i="16" s="1"/>
  <c r="B58" i="16"/>
  <c r="B51" i="19" s="1"/>
  <c r="C51" i="19" s="1"/>
  <c r="D51" i="19" s="1"/>
  <c r="F59" i="16"/>
  <c r="J59" i="16"/>
  <c r="K59" i="16" s="1"/>
  <c r="B59" i="16"/>
  <c r="B52" i="19" s="1"/>
  <c r="C52" i="19" s="1"/>
  <c r="D52" i="19" s="1"/>
  <c r="F60" i="16"/>
  <c r="J60" i="16"/>
  <c r="K60" i="16" s="1"/>
  <c r="B60" i="16"/>
  <c r="B53" i="19" s="1"/>
  <c r="C53" i="19" s="1"/>
  <c r="D53" i="19" s="1"/>
  <c r="F61" i="16"/>
  <c r="J61" i="16"/>
  <c r="K61" i="16" s="1"/>
  <c r="B61" i="16"/>
  <c r="B54" i="19" s="1"/>
  <c r="C54" i="19" s="1"/>
  <c r="D54" i="19" s="1"/>
  <c r="F62" i="16"/>
  <c r="J62" i="16"/>
  <c r="K62" i="16" s="1"/>
  <c r="B62" i="16"/>
  <c r="B55" i="19" s="1"/>
  <c r="C55" i="19" s="1"/>
  <c r="D55" i="19" s="1"/>
  <c r="F63" i="16"/>
  <c r="J63" i="16"/>
  <c r="K63" i="16" s="1"/>
  <c r="B63" i="16"/>
  <c r="B56" i="19" s="1"/>
  <c r="C56" i="19" s="1"/>
  <c r="D56" i="19" s="1"/>
  <c r="F64" i="16"/>
  <c r="J64" i="16"/>
  <c r="K64" i="16" s="1"/>
  <c r="B64" i="16"/>
  <c r="B57" i="19" s="1"/>
  <c r="C57" i="19" s="1"/>
  <c r="D57" i="19" s="1"/>
  <c r="F65" i="16"/>
  <c r="J65" i="16"/>
  <c r="K65" i="16" s="1"/>
  <c r="B65" i="16"/>
  <c r="B58" i="19" s="1"/>
  <c r="C58" i="19" s="1"/>
  <c r="D58" i="19" s="1"/>
  <c r="F66" i="16"/>
  <c r="J66" i="16"/>
  <c r="K66" i="16" s="1"/>
  <c r="B66" i="16"/>
  <c r="B59" i="19" s="1"/>
  <c r="C59" i="19" s="1"/>
  <c r="D59" i="19" s="1"/>
  <c r="F67" i="16"/>
  <c r="J67" i="16"/>
  <c r="K67" i="16" s="1"/>
  <c r="B67" i="16"/>
  <c r="B60" i="19" s="1"/>
  <c r="C60" i="19" s="1"/>
  <c r="D60" i="19" s="1"/>
  <c r="F68" i="16"/>
  <c r="J68" i="16"/>
  <c r="K68" i="16" s="1"/>
  <c r="B68" i="16"/>
  <c r="B61" i="19" s="1"/>
  <c r="C61" i="19" s="1"/>
  <c r="D61" i="19" s="1"/>
  <c r="F69" i="16"/>
  <c r="J69" i="16"/>
  <c r="K69" i="16" s="1"/>
  <c r="B69" i="16"/>
  <c r="B62" i="19" s="1"/>
  <c r="C62" i="19" s="1"/>
  <c r="D62" i="19" s="1"/>
  <c r="F70" i="16"/>
  <c r="J70" i="16"/>
  <c r="K70" i="16" s="1"/>
  <c r="B70" i="16"/>
  <c r="B63" i="19" s="1"/>
  <c r="C63" i="19" s="1"/>
  <c r="D63" i="19" s="1"/>
  <c r="F71" i="16"/>
  <c r="J71" i="16"/>
  <c r="K71" i="16" s="1"/>
  <c r="B71" i="16"/>
  <c r="B64" i="19" s="1"/>
  <c r="C64" i="19" s="1"/>
  <c r="D64" i="19" s="1"/>
  <c r="F72" i="16"/>
  <c r="J72" i="16"/>
  <c r="K72" i="16" s="1"/>
  <c r="B72" i="16"/>
  <c r="B65" i="19" s="1"/>
  <c r="C65" i="19" s="1"/>
  <c r="D65" i="19" s="1"/>
  <c r="F73" i="16"/>
  <c r="J73" i="16"/>
  <c r="K73" i="16" s="1"/>
  <c r="B73" i="16"/>
  <c r="B66" i="19" s="1"/>
  <c r="C66" i="19" s="1"/>
  <c r="D66" i="19" s="1"/>
  <c r="F74" i="16"/>
  <c r="J74" i="16"/>
  <c r="K74" i="16" s="1"/>
  <c r="B74" i="16"/>
  <c r="B67" i="19" s="1"/>
  <c r="C67" i="19" s="1"/>
  <c r="D67" i="19" s="1"/>
  <c r="F75" i="16"/>
  <c r="J75" i="16"/>
  <c r="K75" i="16" s="1"/>
  <c r="B75" i="16"/>
  <c r="B68" i="19" s="1"/>
  <c r="C68" i="19" s="1"/>
  <c r="D68" i="19" s="1"/>
  <c r="F76" i="16"/>
  <c r="J76" i="16"/>
  <c r="K76" i="16" s="1"/>
  <c r="B76" i="16"/>
  <c r="B69" i="19" s="1"/>
  <c r="C69" i="19" s="1"/>
  <c r="D69" i="19" s="1"/>
  <c r="F77" i="16"/>
  <c r="J77" i="16"/>
  <c r="K77" i="16" s="1"/>
  <c r="B77" i="16"/>
  <c r="B70" i="19" s="1"/>
  <c r="C70" i="19" s="1"/>
  <c r="D70" i="19" s="1"/>
  <c r="F78" i="16"/>
  <c r="J78" i="16"/>
  <c r="K78" i="16" s="1"/>
  <c r="B78" i="16"/>
  <c r="B71" i="19" s="1"/>
  <c r="C71" i="19" s="1"/>
  <c r="D71" i="19" s="1"/>
  <c r="F79" i="16"/>
  <c r="J79" i="16"/>
  <c r="K79" i="16" s="1"/>
  <c r="B79" i="16"/>
  <c r="B72" i="19" s="1"/>
  <c r="C72" i="19" s="1"/>
  <c r="D72" i="19" s="1"/>
  <c r="F80" i="16"/>
  <c r="J80" i="16"/>
  <c r="K80" i="16" s="1"/>
  <c r="B80" i="16"/>
  <c r="B73" i="19" s="1"/>
  <c r="C73" i="19" s="1"/>
  <c r="D73" i="19" s="1"/>
  <c r="F81" i="16"/>
  <c r="J81" i="16"/>
  <c r="K81" i="16" s="1"/>
  <c r="B81" i="16"/>
  <c r="B74" i="19" s="1"/>
  <c r="C74" i="19" s="1"/>
  <c r="D74" i="19" s="1"/>
  <c r="F82" i="16"/>
  <c r="J82" i="16"/>
  <c r="K82" i="16" s="1"/>
  <c r="B82" i="16"/>
  <c r="B75" i="19" s="1"/>
  <c r="C75" i="19" s="1"/>
  <c r="D75" i="19" s="1"/>
  <c r="F83" i="16"/>
  <c r="J83" i="16"/>
  <c r="K83" i="16" s="1"/>
  <c r="B83" i="16"/>
  <c r="B76" i="19" s="1"/>
  <c r="C76" i="19" s="1"/>
  <c r="D76" i="19" s="1"/>
  <c r="F84" i="16"/>
  <c r="J84" i="16"/>
  <c r="K84" i="16" s="1"/>
  <c r="B84" i="16"/>
  <c r="B77" i="19" s="1"/>
  <c r="C77" i="19" s="1"/>
  <c r="D77" i="19" s="1"/>
  <c r="F85" i="16"/>
  <c r="J85" i="16"/>
  <c r="K85" i="16" s="1"/>
  <c r="B85" i="16"/>
  <c r="B78" i="19" s="1"/>
  <c r="C78" i="19" s="1"/>
  <c r="D78" i="19" s="1"/>
  <c r="F86" i="16"/>
  <c r="J86" i="16"/>
  <c r="K86" i="16" s="1"/>
  <c r="B86" i="16"/>
  <c r="B79" i="19" s="1"/>
  <c r="C79" i="19" s="1"/>
  <c r="D79" i="19" s="1"/>
  <c r="F87" i="16"/>
  <c r="J87" i="16"/>
  <c r="K87" i="16" s="1"/>
  <c r="B87" i="16"/>
  <c r="B80" i="19" s="1"/>
  <c r="C80" i="19" s="1"/>
  <c r="D80" i="19" s="1"/>
  <c r="F88" i="16"/>
  <c r="J88" i="16"/>
  <c r="K88" i="16" s="1"/>
  <c r="B88" i="16"/>
  <c r="B81" i="19" s="1"/>
  <c r="C81" i="19" s="1"/>
  <c r="D81" i="19" s="1"/>
  <c r="F89" i="16"/>
  <c r="J89" i="16"/>
  <c r="K89" i="16" s="1"/>
  <c r="B89" i="16"/>
  <c r="B82" i="19" s="1"/>
  <c r="C82" i="19" s="1"/>
  <c r="D82" i="19" s="1"/>
  <c r="F90" i="16"/>
  <c r="J90" i="16"/>
  <c r="K90" i="16" s="1"/>
  <c r="B90" i="16"/>
  <c r="B83" i="19" s="1"/>
  <c r="C83" i="19" s="1"/>
  <c r="D83" i="19" s="1"/>
  <c r="F91" i="16"/>
  <c r="J91" i="16"/>
  <c r="K91" i="16" s="1"/>
  <c r="B91" i="16"/>
  <c r="B84" i="19" s="1"/>
  <c r="C84" i="19" s="1"/>
  <c r="D84" i="19" s="1"/>
  <c r="F92" i="16"/>
  <c r="J92" i="16"/>
  <c r="K92" i="16" s="1"/>
  <c r="B92" i="16"/>
  <c r="B85" i="19" s="1"/>
  <c r="C85" i="19" s="1"/>
  <c r="D85" i="19" s="1"/>
  <c r="F93" i="16"/>
  <c r="J93" i="16"/>
  <c r="K93" i="16" s="1"/>
  <c r="B93" i="16"/>
  <c r="B86" i="19" s="1"/>
  <c r="C86" i="19" s="1"/>
  <c r="D86" i="19" s="1"/>
  <c r="F94" i="16"/>
  <c r="J94" i="16"/>
  <c r="K94" i="16" s="1"/>
  <c r="B94" i="16"/>
  <c r="B87" i="19" s="1"/>
  <c r="C87" i="19" s="1"/>
  <c r="D87" i="19" s="1"/>
  <c r="F95" i="16"/>
  <c r="J95" i="16"/>
  <c r="K95" i="16" s="1"/>
  <c r="B95" i="16"/>
  <c r="B88" i="19" s="1"/>
  <c r="C88" i="19" s="1"/>
  <c r="D88" i="19" s="1"/>
  <c r="F96" i="16"/>
  <c r="J96" i="16"/>
  <c r="K96" i="16" s="1"/>
  <c r="B96" i="16"/>
  <c r="B89" i="19" s="1"/>
  <c r="C89" i="19" s="1"/>
  <c r="D89" i="19" s="1"/>
  <c r="F97" i="16"/>
  <c r="J97" i="16"/>
  <c r="K97" i="16" s="1"/>
  <c r="B97" i="16"/>
  <c r="B90" i="19" s="1"/>
  <c r="C90" i="19" s="1"/>
  <c r="D90" i="19" s="1"/>
  <c r="F98" i="16"/>
  <c r="J98" i="16"/>
  <c r="K98" i="16" s="1"/>
  <c r="B98" i="16"/>
  <c r="B91" i="19" s="1"/>
  <c r="C91" i="19" s="1"/>
  <c r="D91" i="19" s="1"/>
  <c r="F99" i="16"/>
  <c r="J99" i="16"/>
  <c r="K99" i="16" s="1"/>
  <c r="B99" i="16"/>
  <c r="B92" i="19" s="1"/>
  <c r="C92" i="19" s="1"/>
  <c r="D92" i="19" s="1"/>
  <c r="F100" i="16"/>
  <c r="J100" i="16"/>
  <c r="K100" i="16" s="1"/>
  <c r="B100" i="16"/>
  <c r="B93" i="19" s="1"/>
  <c r="C93" i="19" s="1"/>
  <c r="D93" i="19" s="1"/>
  <c r="F101" i="16"/>
  <c r="J101" i="16"/>
  <c r="K101" i="16" s="1"/>
  <c r="B101" i="16"/>
  <c r="B94" i="19" s="1"/>
  <c r="C94" i="19" s="1"/>
  <c r="D94" i="19" s="1"/>
  <c r="F102" i="16"/>
  <c r="J102" i="16"/>
  <c r="K102" i="16" s="1"/>
  <c r="B102" i="16"/>
  <c r="B95" i="19" s="1"/>
  <c r="C95" i="19" s="1"/>
  <c r="D95" i="19" s="1"/>
  <c r="F103" i="16"/>
  <c r="J103" i="16"/>
  <c r="K103" i="16" s="1"/>
  <c r="B103" i="16"/>
  <c r="B96" i="19" s="1"/>
  <c r="C96" i="19" s="1"/>
  <c r="D96" i="19" s="1"/>
  <c r="F104" i="16"/>
  <c r="J104" i="16"/>
  <c r="K104" i="16" s="1"/>
  <c r="B104" i="16"/>
  <c r="B97" i="19" s="1"/>
  <c r="C97" i="19" s="1"/>
  <c r="D97" i="19" s="1"/>
  <c r="F105" i="16"/>
  <c r="J105" i="16"/>
  <c r="K105" i="16" s="1"/>
  <c r="B105" i="16"/>
  <c r="B98" i="19" s="1"/>
  <c r="C98" i="19" s="1"/>
  <c r="D98" i="19" s="1"/>
  <c r="H106" i="16"/>
  <c r="I106" i="16" s="1"/>
  <c r="M106" i="16" s="1"/>
  <c r="F106" i="16"/>
  <c r="J106" i="16"/>
  <c r="K106" i="16" s="1"/>
  <c r="B106" i="16"/>
  <c r="B99" i="19" s="1"/>
  <c r="C99" i="19" s="1"/>
  <c r="D99" i="19" s="1"/>
  <c r="F107" i="16"/>
  <c r="J107" i="16"/>
  <c r="K107" i="16" s="1"/>
  <c r="B107" i="16"/>
  <c r="B100" i="19" s="1"/>
  <c r="C100" i="19" s="1"/>
  <c r="D100" i="19" s="1"/>
  <c r="F108" i="16"/>
  <c r="J108" i="16"/>
  <c r="K108" i="16" s="1"/>
  <c r="B108" i="16"/>
  <c r="B101" i="19" s="1"/>
  <c r="C101" i="19" s="1"/>
  <c r="D101" i="19" s="1"/>
  <c r="F109" i="16"/>
  <c r="J109" i="16"/>
  <c r="K109" i="16" s="1"/>
  <c r="B109" i="16"/>
  <c r="B102" i="19" s="1"/>
  <c r="C102" i="19" s="1"/>
  <c r="D102" i="19" s="1"/>
  <c r="F110" i="16"/>
  <c r="J110" i="16"/>
  <c r="K110" i="16" s="1"/>
  <c r="B110" i="16"/>
  <c r="B103" i="19" s="1"/>
  <c r="C103" i="19" s="1"/>
  <c r="D103" i="19" s="1"/>
  <c r="F111" i="16"/>
  <c r="J111" i="16"/>
  <c r="K111" i="16" s="1"/>
  <c r="B111" i="16"/>
  <c r="B104" i="19" s="1"/>
  <c r="C104" i="19" s="1"/>
  <c r="D104" i="19" s="1"/>
  <c r="F112" i="16"/>
  <c r="J112" i="16"/>
  <c r="K112" i="16" s="1"/>
  <c r="B112" i="16"/>
  <c r="B105" i="19" s="1"/>
  <c r="C105" i="19" s="1"/>
  <c r="D105" i="19" s="1"/>
  <c r="F113" i="16"/>
  <c r="J113" i="16"/>
  <c r="K113" i="16" s="1"/>
  <c r="B113" i="16"/>
  <c r="B106" i="19" s="1"/>
  <c r="C106" i="19" s="1"/>
  <c r="D106" i="19" s="1"/>
  <c r="F114" i="16"/>
  <c r="J114" i="16"/>
  <c r="K114" i="16" s="1"/>
  <c r="B114" i="16"/>
  <c r="B107" i="19" s="1"/>
  <c r="C107" i="19" s="1"/>
  <c r="D107" i="19" s="1"/>
  <c r="F115" i="16"/>
  <c r="J115" i="16"/>
  <c r="K115" i="16" s="1"/>
  <c r="B115" i="16"/>
  <c r="B108" i="19" s="1"/>
  <c r="C108" i="19" s="1"/>
  <c r="D108" i="19" s="1"/>
  <c r="F116" i="16"/>
  <c r="J116" i="16"/>
  <c r="K116" i="16" s="1"/>
  <c r="B116" i="16"/>
  <c r="B109" i="19" s="1"/>
  <c r="C109" i="19" s="1"/>
  <c r="D109" i="19" s="1"/>
  <c r="F117" i="16"/>
  <c r="J117" i="16"/>
  <c r="K117" i="16" s="1"/>
  <c r="B117" i="16"/>
  <c r="B110" i="19" s="1"/>
  <c r="C110" i="19" s="1"/>
  <c r="D110" i="19" s="1"/>
  <c r="F118" i="16"/>
  <c r="J118" i="16"/>
  <c r="K118" i="16" s="1"/>
  <c r="B118" i="16"/>
  <c r="B111" i="19" s="1"/>
  <c r="C111" i="19" s="1"/>
  <c r="D111" i="19" s="1"/>
  <c r="F119" i="16"/>
  <c r="J119" i="16"/>
  <c r="K119" i="16" s="1"/>
  <c r="B119" i="16"/>
  <c r="B112" i="19" s="1"/>
  <c r="C112" i="19" s="1"/>
  <c r="D112" i="19" s="1"/>
  <c r="F120" i="16"/>
  <c r="J120" i="16"/>
  <c r="K120" i="16" s="1"/>
  <c r="B120" i="16"/>
  <c r="B113" i="19" s="1"/>
  <c r="C113" i="19" s="1"/>
  <c r="D113" i="19" s="1"/>
  <c r="F121" i="16"/>
  <c r="J121" i="16"/>
  <c r="K121" i="16" s="1"/>
  <c r="B121" i="16"/>
  <c r="B114" i="19" s="1"/>
  <c r="C114" i="19" s="1"/>
  <c r="D114" i="19" s="1"/>
  <c r="F122" i="16"/>
  <c r="J122" i="16"/>
  <c r="K122" i="16" s="1"/>
  <c r="B122" i="16"/>
  <c r="B115" i="19" s="1"/>
  <c r="C115" i="19" s="1"/>
  <c r="D115" i="19" s="1"/>
  <c r="F123" i="16"/>
  <c r="J123" i="16"/>
  <c r="K123" i="16" s="1"/>
  <c r="B123" i="16"/>
  <c r="B116" i="19" s="1"/>
  <c r="C116" i="19" s="1"/>
  <c r="D116" i="19" s="1"/>
  <c r="F124" i="16"/>
  <c r="J124" i="16"/>
  <c r="K124" i="16" s="1"/>
  <c r="B124" i="16"/>
  <c r="B117" i="19" s="1"/>
  <c r="C117" i="19" s="1"/>
  <c r="D117" i="19" s="1"/>
  <c r="F125" i="16"/>
  <c r="J125" i="16"/>
  <c r="K125" i="16" s="1"/>
  <c r="B125" i="16"/>
  <c r="B118" i="19" s="1"/>
  <c r="C118" i="19" s="1"/>
  <c r="D118" i="19" s="1"/>
  <c r="F126" i="16"/>
  <c r="J126" i="16"/>
  <c r="K126" i="16" s="1"/>
  <c r="B126" i="16"/>
  <c r="B119" i="19" s="1"/>
  <c r="C119" i="19" s="1"/>
  <c r="D119" i="19" s="1"/>
  <c r="F127" i="16"/>
  <c r="J127" i="16"/>
  <c r="K127" i="16" s="1"/>
  <c r="B127" i="16"/>
  <c r="B120" i="19" s="1"/>
  <c r="C120" i="19" s="1"/>
  <c r="D120" i="19" s="1"/>
  <c r="F128" i="16"/>
  <c r="J128" i="16"/>
  <c r="K128" i="16" s="1"/>
  <c r="B128" i="16"/>
  <c r="B121" i="19" s="1"/>
  <c r="C121" i="19" s="1"/>
  <c r="D121" i="19" s="1"/>
  <c r="F129" i="16"/>
  <c r="J129" i="16"/>
  <c r="K129" i="16" s="1"/>
  <c r="B129" i="16"/>
  <c r="B122" i="19" s="1"/>
  <c r="C122" i="19" s="1"/>
  <c r="D122" i="19" s="1"/>
  <c r="F130" i="16"/>
  <c r="J130" i="16"/>
  <c r="K130" i="16" s="1"/>
  <c r="B130" i="16"/>
  <c r="B123" i="19" s="1"/>
  <c r="C123" i="19" s="1"/>
  <c r="D123" i="19" s="1"/>
  <c r="F131" i="16"/>
  <c r="J131" i="16"/>
  <c r="K131" i="16" s="1"/>
  <c r="B131" i="16"/>
  <c r="B124" i="19" s="1"/>
  <c r="C124" i="19" s="1"/>
  <c r="D124" i="19" s="1"/>
  <c r="F132" i="16"/>
  <c r="J132" i="16"/>
  <c r="K132" i="16" s="1"/>
  <c r="B132" i="16"/>
  <c r="B125" i="19" s="1"/>
  <c r="C125" i="19" s="1"/>
  <c r="D125" i="19" s="1"/>
  <c r="F133" i="16"/>
  <c r="J133" i="16"/>
  <c r="K133" i="16" s="1"/>
  <c r="B133" i="16"/>
  <c r="B126" i="19" s="1"/>
  <c r="C126" i="19" s="1"/>
  <c r="D126" i="19" s="1"/>
  <c r="F134" i="16"/>
  <c r="J134" i="16"/>
  <c r="K134" i="16" s="1"/>
  <c r="B134" i="16"/>
  <c r="B127" i="19" s="1"/>
  <c r="C127" i="19" s="1"/>
  <c r="D127" i="19" s="1"/>
  <c r="F135" i="16"/>
  <c r="J135" i="16"/>
  <c r="K135" i="16" s="1"/>
  <c r="B135" i="16"/>
  <c r="B128" i="19" s="1"/>
  <c r="C128" i="19" s="1"/>
  <c r="D128" i="19" s="1"/>
  <c r="F136" i="16"/>
  <c r="J136" i="16"/>
  <c r="K136" i="16" s="1"/>
  <c r="B136" i="16"/>
  <c r="B129" i="19" s="1"/>
  <c r="C129" i="19" s="1"/>
  <c r="D129" i="19" s="1"/>
  <c r="F137" i="16"/>
  <c r="J137" i="16"/>
  <c r="K137" i="16" s="1"/>
  <c r="B137" i="16"/>
  <c r="B130" i="19" s="1"/>
  <c r="C130" i="19" s="1"/>
  <c r="D130" i="19" s="1"/>
  <c r="F138" i="16"/>
  <c r="J138" i="16"/>
  <c r="K138" i="16" s="1"/>
  <c r="B138" i="16"/>
  <c r="B131" i="19" s="1"/>
  <c r="C131" i="19" s="1"/>
  <c r="D131" i="19" s="1"/>
  <c r="F139" i="16"/>
  <c r="J139" i="16"/>
  <c r="K139" i="16" s="1"/>
  <c r="B139" i="16"/>
  <c r="B132" i="19" s="1"/>
  <c r="C132" i="19" s="1"/>
  <c r="D132" i="19" s="1"/>
  <c r="F140" i="16"/>
  <c r="J140" i="16"/>
  <c r="K140" i="16" s="1"/>
  <c r="B140" i="16"/>
  <c r="B133" i="19" s="1"/>
  <c r="C133" i="19" s="1"/>
  <c r="D133" i="19" s="1"/>
  <c r="H141" i="16"/>
  <c r="I141" i="16" s="1"/>
  <c r="M141" i="16" s="1"/>
  <c r="F141" i="16"/>
  <c r="J141" i="16"/>
  <c r="K141" i="16" s="1"/>
  <c r="B141" i="16"/>
  <c r="B134" i="19" s="1"/>
  <c r="C134" i="19" s="1"/>
  <c r="D134" i="19" s="1"/>
  <c r="H142" i="16"/>
  <c r="I142" i="16" s="1"/>
  <c r="M142" i="16" s="1"/>
  <c r="F142" i="16"/>
  <c r="J142" i="16"/>
  <c r="K142" i="16" s="1"/>
  <c r="B142" i="16"/>
  <c r="B135" i="19" s="1"/>
  <c r="C135" i="19" s="1"/>
  <c r="D135" i="19" s="1"/>
  <c r="H143" i="16"/>
  <c r="I143" i="16" s="1"/>
  <c r="M143" i="16" s="1"/>
  <c r="F143" i="16"/>
  <c r="J143" i="16"/>
  <c r="K143" i="16" s="1"/>
  <c r="B143" i="16"/>
  <c r="B136" i="19" s="1"/>
  <c r="C136" i="19" s="1"/>
  <c r="D136" i="19" s="1"/>
  <c r="H144" i="16"/>
  <c r="I144" i="16" s="1"/>
  <c r="M144" i="16" s="1"/>
  <c r="F144" i="16"/>
  <c r="J144" i="16"/>
  <c r="K144" i="16" s="1"/>
  <c r="B144" i="16"/>
  <c r="B137" i="19" s="1"/>
  <c r="C137" i="19" s="1"/>
  <c r="D137" i="19" s="1"/>
  <c r="F145" i="16"/>
  <c r="J145" i="16"/>
  <c r="K145" i="16" s="1"/>
  <c r="B145" i="16"/>
  <c r="B138" i="19" s="1"/>
  <c r="C138" i="19" s="1"/>
  <c r="D138" i="19" s="1"/>
  <c r="F146" i="16"/>
  <c r="J146" i="16"/>
  <c r="K146" i="16" s="1"/>
  <c r="B146" i="16"/>
  <c r="B139" i="19" s="1"/>
  <c r="C139" i="19" s="1"/>
  <c r="D139" i="19" s="1"/>
  <c r="F147" i="16"/>
  <c r="J147" i="16"/>
  <c r="K147" i="16" s="1"/>
  <c r="B147" i="16"/>
  <c r="B140" i="19" s="1"/>
  <c r="C140" i="19" s="1"/>
  <c r="D140" i="19" s="1"/>
  <c r="F148" i="16"/>
  <c r="J148" i="16"/>
  <c r="K148" i="16" s="1"/>
  <c r="B148" i="16"/>
  <c r="B141" i="19" s="1"/>
  <c r="C141" i="19" s="1"/>
  <c r="D141" i="19" s="1"/>
  <c r="F149" i="16"/>
  <c r="J149" i="16"/>
  <c r="K149" i="16" s="1"/>
  <c r="B149" i="16"/>
  <c r="B142" i="19" s="1"/>
  <c r="C142" i="19" s="1"/>
  <c r="D142" i="19" s="1"/>
  <c r="F150" i="16"/>
  <c r="J150" i="16"/>
  <c r="K150" i="16" s="1"/>
  <c r="B150" i="16"/>
  <c r="B143" i="19" s="1"/>
  <c r="C143" i="19" s="1"/>
  <c r="D143" i="19" s="1"/>
  <c r="F151" i="16"/>
  <c r="J151" i="16"/>
  <c r="K151" i="16" s="1"/>
  <c r="B151" i="16"/>
  <c r="B144" i="19" s="1"/>
  <c r="C144" i="19" s="1"/>
  <c r="D144" i="19" s="1"/>
  <c r="F152" i="16"/>
  <c r="J152" i="16"/>
  <c r="K152" i="16" s="1"/>
  <c r="B152" i="16"/>
  <c r="B145" i="19" s="1"/>
  <c r="C145" i="19" s="1"/>
  <c r="D145" i="19" s="1"/>
  <c r="F153" i="16"/>
  <c r="J153" i="16"/>
  <c r="K153" i="16" s="1"/>
  <c r="B153" i="16"/>
  <c r="B146" i="19" s="1"/>
  <c r="C146" i="19" s="1"/>
  <c r="D146" i="19" s="1"/>
  <c r="H154" i="16"/>
  <c r="I154" i="16" s="1"/>
  <c r="M154" i="16" s="1"/>
  <c r="F154" i="16"/>
  <c r="J154" i="16"/>
  <c r="K154" i="16" s="1"/>
  <c r="B154" i="16"/>
  <c r="B147" i="19" s="1"/>
  <c r="C147" i="19" s="1"/>
  <c r="D147" i="19" s="1"/>
  <c r="F155" i="16"/>
  <c r="J155" i="16"/>
  <c r="K155" i="16" s="1"/>
  <c r="B155" i="16"/>
  <c r="B148" i="19" s="1"/>
  <c r="C148" i="19" s="1"/>
  <c r="D148" i="19" s="1"/>
  <c r="F156" i="16"/>
  <c r="J156" i="16"/>
  <c r="K156" i="16" s="1"/>
  <c r="B156" i="16"/>
  <c r="B149" i="19" s="1"/>
  <c r="C149" i="19" s="1"/>
  <c r="D149" i="19" s="1"/>
  <c r="F157" i="16"/>
  <c r="J157" i="16"/>
  <c r="K157" i="16" s="1"/>
  <c r="B157" i="16"/>
  <c r="B150" i="19" s="1"/>
  <c r="C150" i="19" s="1"/>
  <c r="D150" i="19" s="1"/>
  <c r="F158" i="16"/>
  <c r="J158" i="16"/>
  <c r="K158" i="16" s="1"/>
  <c r="B158" i="16"/>
  <c r="B151" i="19" s="1"/>
  <c r="C151" i="19" s="1"/>
  <c r="D151" i="19" s="1"/>
  <c r="F159" i="16"/>
  <c r="J159" i="16"/>
  <c r="K159" i="16" s="1"/>
  <c r="B159" i="16"/>
  <c r="B152" i="19" s="1"/>
  <c r="C152" i="19" s="1"/>
  <c r="D152" i="19" s="1"/>
  <c r="F160" i="16"/>
  <c r="J160" i="16"/>
  <c r="K160" i="16" s="1"/>
  <c r="B160" i="16"/>
  <c r="B153" i="19" s="1"/>
  <c r="C153" i="19" s="1"/>
  <c r="D153" i="19" s="1"/>
  <c r="F161" i="16"/>
  <c r="J161" i="16"/>
  <c r="K161" i="16" s="1"/>
  <c r="B161" i="16"/>
  <c r="B154" i="19" s="1"/>
  <c r="C154" i="19" s="1"/>
  <c r="D154" i="19" s="1"/>
  <c r="F162" i="16"/>
  <c r="J162" i="16"/>
  <c r="K162" i="16" s="1"/>
  <c r="B162" i="16"/>
  <c r="B155" i="19" s="1"/>
  <c r="C155" i="19" s="1"/>
  <c r="D155" i="19" s="1"/>
  <c r="F163" i="16"/>
  <c r="J163" i="16"/>
  <c r="K163" i="16" s="1"/>
  <c r="B163" i="16"/>
  <c r="B156" i="19" s="1"/>
  <c r="C156" i="19" s="1"/>
  <c r="D156" i="19" s="1"/>
  <c r="F164" i="16"/>
  <c r="J164" i="16"/>
  <c r="K164" i="16" s="1"/>
  <c r="B164" i="16"/>
  <c r="B157" i="19" s="1"/>
  <c r="C157" i="19" s="1"/>
  <c r="D157" i="19" s="1"/>
  <c r="F165" i="16"/>
  <c r="J165" i="16"/>
  <c r="K165" i="16" s="1"/>
  <c r="B165" i="16"/>
  <c r="B158" i="19" s="1"/>
  <c r="C158" i="19" s="1"/>
  <c r="D158" i="19" s="1"/>
  <c r="F166" i="16"/>
  <c r="J166" i="16"/>
  <c r="K166" i="16" s="1"/>
  <c r="B166" i="16"/>
  <c r="B159" i="19" s="1"/>
  <c r="C159" i="19" s="1"/>
  <c r="D159" i="19" s="1"/>
  <c r="F167" i="16"/>
  <c r="J167" i="16"/>
  <c r="K167" i="16" s="1"/>
  <c r="B167" i="16"/>
  <c r="B160" i="19" s="1"/>
  <c r="C160" i="19" s="1"/>
  <c r="D160" i="19" s="1"/>
  <c r="F168" i="16"/>
  <c r="J168" i="16"/>
  <c r="K168" i="16" s="1"/>
  <c r="B168" i="16"/>
  <c r="B161" i="19" s="1"/>
  <c r="C161" i="19" s="1"/>
  <c r="D161" i="19" s="1"/>
  <c r="H169" i="16"/>
  <c r="I169" i="16" s="1"/>
  <c r="M169" i="16" s="1"/>
  <c r="F169" i="16"/>
  <c r="J169" i="16"/>
  <c r="K169" i="16" s="1"/>
  <c r="B169" i="16"/>
  <c r="B162" i="19" s="1"/>
  <c r="C162" i="19" s="1"/>
  <c r="D162" i="19" s="1"/>
  <c r="F170" i="16"/>
  <c r="J170" i="16"/>
  <c r="K170" i="16" s="1"/>
  <c r="B170" i="16"/>
  <c r="B163" i="19" s="1"/>
  <c r="C163" i="19" s="1"/>
  <c r="D163" i="19" s="1"/>
  <c r="H171" i="16"/>
  <c r="I171" i="16" s="1"/>
  <c r="M171" i="16" s="1"/>
  <c r="F171" i="16"/>
  <c r="J171" i="16"/>
  <c r="K171" i="16" s="1"/>
  <c r="B171" i="16"/>
  <c r="B164" i="19" s="1"/>
  <c r="C164" i="19" s="1"/>
  <c r="D164" i="19" s="1"/>
  <c r="F172" i="16"/>
  <c r="J172" i="16"/>
  <c r="K172" i="16" s="1"/>
  <c r="B172" i="16"/>
  <c r="B165" i="19" s="1"/>
  <c r="C165" i="19" s="1"/>
  <c r="D165" i="19" s="1"/>
  <c r="F173" i="16"/>
  <c r="J173" i="16"/>
  <c r="K173" i="16" s="1"/>
  <c r="B173" i="16"/>
  <c r="B166" i="19" s="1"/>
  <c r="C166" i="19" s="1"/>
  <c r="D166" i="19" s="1"/>
  <c r="F174" i="16"/>
  <c r="J174" i="16"/>
  <c r="K174" i="16" s="1"/>
  <c r="B174" i="16"/>
  <c r="B167" i="19" s="1"/>
  <c r="C167" i="19" s="1"/>
  <c r="D167" i="19" s="1"/>
  <c r="F175" i="16"/>
  <c r="J175" i="16"/>
  <c r="K175" i="16" s="1"/>
  <c r="B175" i="16"/>
  <c r="B168" i="19" s="1"/>
  <c r="C168" i="19" s="1"/>
  <c r="D168" i="19" s="1"/>
  <c r="F176" i="16"/>
  <c r="J176" i="16"/>
  <c r="K176" i="16" s="1"/>
  <c r="B176" i="16"/>
  <c r="B169" i="19" s="1"/>
  <c r="C169" i="19" s="1"/>
  <c r="D169" i="19" s="1"/>
  <c r="F177" i="16"/>
  <c r="J177" i="16"/>
  <c r="K177" i="16" s="1"/>
  <c r="B177" i="16"/>
  <c r="B170" i="19" s="1"/>
  <c r="C170" i="19" s="1"/>
  <c r="D170" i="19" s="1"/>
  <c r="F178" i="16"/>
  <c r="J178" i="16"/>
  <c r="K178" i="16" s="1"/>
  <c r="B178" i="16"/>
  <c r="B171" i="19" s="1"/>
  <c r="C171" i="19" s="1"/>
  <c r="D171" i="19" s="1"/>
  <c r="F179" i="16"/>
  <c r="J179" i="16"/>
  <c r="K179" i="16" s="1"/>
  <c r="B179" i="16"/>
  <c r="B172" i="19" s="1"/>
  <c r="C172" i="19" s="1"/>
  <c r="D172" i="19" s="1"/>
  <c r="F180" i="16"/>
  <c r="J180" i="16"/>
  <c r="K180" i="16" s="1"/>
  <c r="B180" i="16"/>
  <c r="B173" i="19" s="1"/>
  <c r="C173" i="19" s="1"/>
  <c r="D173" i="19" s="1"/>
  <c r="F181" i="16"/>
  <c r="J181" i="16"/>
  <c r="K181" i="16" s="1"/>
  <c r="B181" i="16"/>
  <c r="B174" i="19" s="1"/>
  <c r="C174" i="19" s="1"/>
  <c r="D174" i="19" s="1"/>
  <c r="F182" i="16"/>
  <c r="J182" i="16"/>
  <c r="K182" i="16" s="1"/>
  <c r="B182" i="16"/>
  <c r="B175" i="19" s="1"/>
  <c r="C175" i="19" s="1"/>
  <c r="D175" i="19" s="1"/>
  <c r="F183" i="16"/>
  <c r="J183" i="16"/>
  <c r="K183" i="16" s="1"/>
  <c r="B183" i="16"/>
  <c r="B176" i="19" s="1"/>
  <c r="C176" i="19" s="1"/>
  <c r="D176" i="19" s="1"/>
  <c r="F184" i="16"/>
  <c r="J184" i="16"/>
  <c r="K184" i="16" s="1"/>
  <c r="B184" i="16"/>
  <c r="B177" i="19" s="1"/>
  <c r="C177" i="19" s="1"/>
  <c r="D177" i="19" s="1"/>
  <c r="F185" i="16"/>
  <c r="J185" i="16"/>
  <c r="K185" i="16" s="1"/>
  <c r="B185" i="16"/>
  <c r="B178" i="19" s="1"/>
  <c r="C178" i="19" s="1"/>
  <c r="D178" i="19" s="1"/>
  <c r="F186" i="16"/>
  <c r="J186" i="16"/>
  <c r="K186" i="16" s="1"/>
  <c r="B186" i="16"/>
  <c r="B179" i="19" s="1"/>
  <c r="C179" i="19" s="1"/>
  <c r="D179" i="19" s="1"/>
  <c r="F187" i="16"/>
  <c r="J187" i="16"/>
  <c r="K187" i="16" s="1"/>
  <c r="B187" i="16"/>
  <c r="B180" i="19" s="1"/>
  <c r="C180" i="19" s="1"/>
  <c r="D180" i="19" s="1"/>
  <c r="H188" i="16"/>
  <c r="I188" i="16" s="1"/>
  <c r="M188" i="16" s="1"/>
  <c r="F188" i="16"/>
  <c r="J188" i="16"/>
  <c r="K188" i="16" s="1"/>
  <c r="B188" i="16"/>
  <c r="B181" i="19" s="1"/>
  <c r="C181" i="19" s="1"/>
  <c r="D181" i="19" s="1"/>
  <c r="F189" i="16"/>
  <c r="J189" i="16"/>
  <c r="K189" i="16" s="1"/>
  <c r="B189" i="16"/>
  <c r="B182" i="19" s="1"/>
  <c r="C182" i="19" s="1"/>
  <c r="D182" i="19" s="1"/>
  <c r="F190" i="16"/>
  <c r="J190" i="16"/>
  <c r="K190" i="16" s="1"/>
  <c r="B190" i="16"/>
  <c r="B183" i="19" s="1"/>
  <c r="C183" i="19" s="1"/>
  <c r="D183" i="19" s="1"/>
  <c r="F191" i="16"/>
  <c r="J191" i="16"/>
  <c r="K191" i="16" s="1"/>
  <c r="B191" i="16"/>
  <c r="B184" i="19" s="1"/>
  <c r="C184" i="19" s="1"/>
  <c r="D184" i="19" s="1"/>
  <c r="F192" i="16"/>
  <c r="J192" i="16"/>
  <c r="K192" i="16" s="1"/>
  <c r="B192" i="16"/>
  <c r="B185" i="19" s="1"/>
  <c r="C185" i="19" s="1"/>
  <c r="D185" i="19" s="1"/>
  <c r="F193" i="16"/>
  <c r="J193" i="16"/>
  <c r="K193" i="16" s="1"/>
  <c r="B193" i="16"/>
  <c r="B186" i="19" s="1"/>
  <c r="C186" i="19" s="1"/>
  <c r="D186" i="19" s="1"/>
  <c r="F194" i="16"/>
  <c r="J194" i="16"/>
  <c r="K194" i="16" s="1"/>
  <c r="B194" i="16"/>
  <c r="B187" i="19" s="1"/>
  <c r="C187" i="19" s="1"/>
  <c r="D187" i="19" s="1"/>
  <c r="F195" i="16"/>
  <c r="J195" i="16"/>
  <c r="K195" i="16" s="1"/>
  <c r="B195" i="16"/>
  <c r="B188" i="19" s="1"/>
  <c r="C188" i="19" s="1"/>
  <c r="D188" i="19" s="1"/>
  <c r="H196" i="16"/>
  <c r="I196" i="16" s="1"/>
  <c r="M196" i="16" s="1"/>
  <c r="F196" i="16"/>
  <c r="J196" i="16"/>
  <c r="K196" i="16" s="1"/>
  <c r="B196" i="16"/>
  <c r="B189" i="19" s="1"/>
  <c r="C189" i="19" s="1"/>
  <c r="D189" i="19" s="1"/>
  <c r="F197" i="16"/>
  <c r="J197" i="16"/>
  <c r="K197" i="16" s="1"/>
  <c r="B197" i="16"/>
  <c r="B190" i="19" s="1"/>
  <c r="C190" i="19" s="1"/>
  <c r="D190" i="19" s="1"/>
  <c r="F198" i="16"/>
  <c r="J198" i="16"/>
  <c r="K198" i="16" s="1"/>
  <c r="B198" i="16"/>
  <c r="B191" i="19" s="1"/>
  <c r="C191" i="19" s="1"/>
  <c r="D191" i="19" s="1"/>
  <c r="F199" i="16"/>
  <c r="J199" i="16"/>
  <c r="K199" i="16" s="1"/>
  <c r="B199" i="16"/>
  <c r="B192" i="19" s="1"/>
  <c r="C192" i="19" s="1"/>
  <c r="D192" i="19" s="1"/>
  <c r="F200" i="16"/>
  <c r="J200" i="16"/>
  <c r="K200" i="16" s="1"/>
  <c r="B200" i="16"/>
  <c r="B193" i="19" s="1"/>
  <c r="C193" i="19" s="1"/>
  <c r="D193" i="19" s="1"/>
  <c r="F201" i="16"/>
  <c r="J201" i="16"/>
  <c r="K201" i="16" s="1"/>
  <c r="B201" i="16"/>
  <c r="B194" i="19" s="1"/>
  <c r="C194" i="19" s="1"/>
  <c r="D194" i="19" s="1"/>
  <c r="F202" i="16"/>
  <c r="J202" i="16"/>
  <c r="K202" i="16" s="1"/>
  <c r="B202" i="16"/>
  <c r="B195" i="19" s="1"/>
  <c r="C195" i="19" s="1"/>
  <c r="D195" i="19" s="1"/>
  <c r="F203" i="16"/>
  <c r="J203" i="16"/>
  <c r="K203" i="16" s="1"/>
  <c r="B203" i="16"/>
  <c r="B196" i="19" s="1"/>
  <c r="C196" i="19" s="1"/>
  <c r="D196" i="19" s="1"/>
  <c r="F204" i="16"/>
  <c r="J204" i="16"/>
  <c r="K204" i="16" s="1"/>
  <c r="B204" i="16"/>
  <c r="B197" i="19" s="1"/>
  <c r="C197" i="19" s="1"/>
  <c r="D197" i="19" s="1"/>
  <c r="F205" i="16"/>
  <c r="J205" i="16"/>
  <c r="K205" i="16" s="1"/>
  <c r="B205" i="16"/>
  <c r="B198" i="19" s="1"/>
  <c r="C198" i="19" s="1"/>
  <c r="D198" i="19" s="1"/>
  <c r="F206" i="16"/>
  <c r="J206" i="16"/>
  <c r="K206" i="16" s="1"/>
  <c r="B206" i="16"/>
  <c r="B199" i="19" s="1"/>
  <c r="C199" i="19" s="1"/>
  <c r="D199" i="19" s="1"/>
  <c r="F207" i="16"/>
  <c r="J207" i="16"/>
  <c r="K207" i="16" s="1"/>
  <c r="B207" i="16"/>
  <c r="B200" i="19" s="1"/>
  <c r="C200" i="19" s="1"/>
  <c r="D200" i="19" s="1"/>
  <c r="F208" i="16"/>
  <c r="J208" i="16"/>
  <c r="K208" i="16" s="1"/>
  <c r="B208" i="16"/>
  <c r="B201" i="19" s="1"/>
  <c r="C201" i="19" s="1"/>
  <c r="D201" i="19" s="1"/>
  <c r="F209" i="16"/>
  <c r="J209" i="16"/>
  <c r="K209" i="16" s="1"/>
  <c r="B209" i="16"/>
  <c r="B202" i="19" s="1"/>
  <c r="C202" i="19" s="1"/>
  <c r="D202" i="19" s="1"/>
  <c r="F210" i="16"/>
  <c r="J210" i="16"/>
  <c r="K210" i="16" s="1"/>
  <c r="B210" i="16"/>
  <c r="B203" i="19" s="1"/>
  <c r="C203" i="19" s="1"/>
  <c r="D203" i="19" s="1"/>
  <c r="H211" i="16"/>
  <c r="I211" i="16" s="1"/>
  <c r="M211" i="16" s="1"/>
  <c r="F211" i="16"/>
  <c r="J211" i="16"/>
  <c r="K211" i="16" s="1"/>
  <c r="B211" i="16"/>
  <c r="B204" i="19" s="1"/>
  <c r="C204" i="19" s="1"/>
  <c r="D204" i="19" s="1"/>
  <c r="H212" i="16"/>
  <c r="I212" i="16" s="1"/>
  <c r="M212" i="16" s="1"/>
  <c r="F212" i="16"/>
  <c r="J212" i="16"/>
  <c r="K212" i="16" s="1"/>
  <c r="B212" i="16"/>
  <c r="B205" i="19" s="1"/>
  <c r="C205" i="19" s="1"/>
  <c r="D205" i="19" s="1"/>
  <c r="H213" i="16"/>
  <c r="I213" i="16" s="1"/>
  <c r="M213" i="16" s="1"/>
  <c r="F213" i="16"/>
  <c r="J213" i="16"/>
  <c r="K213" i="16" s="1"/>
  <c r="B213" i="16"/>
  <c r="B206" i="19" s="1"/>
  <c r="C206" i="19" s="1"/>
  <c r="D206" i="19" s="1"/>
  <c r="F214" i="16"/>
  <c r="J214" i="16"/>
  <c r="K214" i="16" s="1"/>
  <c r="B214" i="16"/>
  <c r="B207" i="19" s="1"/>
  <c r="C207" i="19" s="1"/>
  <c r="D207" i="19" s="1"/>
  <c r="F215" i="16"/>
  <c r="J215" i="16"/>
  <c r="K215" i="16" s="1"/>
  <c r="B215" i="16"/>
  <c r="B208" i="19" s="1"/>
  <c r="C208" i="19" s="1"/>
  <c r="D208" i="19" s="1"/>
  <c r="F216" i="16"/>
  <c r="J216" i="16"/>
  <c r="K216" i="16" s="1"/>
  <c r="B216" i="16"/>
  <c r="B209" i="19" s="1"/>
  <c r="C209" i="19" s="1"/>
  <c r="D209" i="19" s="1"/>
  <c r="H217" i="16"/>
  <c r="I217" i="16" s="1"/>
  <c r="M217" i="16" s="1"/>
  <c r="F217" i="16"/>
  <c r="J217" i="16"/>
  <c r="K217" i="16" s="1"/>
  <c r="B217" i="16"/>
  <c r="B210" i="19" s="1"/>
  <c r="C210" i="19" s="1"/>
  <c r="D210" i="19" s="1"/>
  <c r="F218" i="16"/>
  <c r="J218" i="16"/>
  <c r="K218" i="16" s="1"/>
  <c r="B218" i="16"/>
  <c r="B211" i="19" s="1"/>
  <c r="C211" i="19" s="1"/>
  <c r="D211" i="19" s="1"/>
  <c r="F219" i="16"/>
  <c r="J219" i="16"/>
  <c r="K219" i="16" s="1"/>
  <c r="B219" i="16"/>
  <c r="B212" i="19" s="1"/>
  <c r="C212" i="19" s="1"/>
  <c r="D212" i="19" s="1"/>
  <c r="F220" i="16"/>
  <c r="J220" i="16"/>
  <c r="K220" i="16" s="1"/>
  <c r="B220" i="16"/>
  <c r="B213" i="19" s="1"/>
  <c r="C213" i="19" s="1"/>
  <c r="D213" i="19" s="1"/>
  <c r="F221" i="16"/>
  <c r="J221" i="16"/>
  <c r="K221" i="16" s="1"/>
  <c r="B221" i="16"/>
  <c r="B214" i="19" s="1"/>
  <c r="C214" i="19" s="1"/>
  <c r="D214" i="19" s="1"/>
  <c r="F222" i="16"/>
  <c r="J222" i="16"/>
  <c r="K222" i="16" s="1"/>
  <c r="B222" i="16"/>
  <c r="B215" i="19" s="1"/>
  <c r="C215" i="19" s="1"/>
  <c r="D215" i="19" s="1"/>
  <c r="H223" i="16"/>
  <c r="I223" i="16" s="1"/>
  <c r="M223" i="16" s="1"/>
  <c r="F223" i="16"/>
  <c r="J223" i="16"/>
  <c r="K223" i="16" s="1"/>
  <c r="B223" i="16"/>
  <c r="B216" i="19" s="1"/>
  <c r="C216" i="19" s="1"/>
  <c r="D216" i="19" s="1"/>
  <c r="H224" i="16"/>
  <c r="I224" i="16" s="1"/>
  <c r="M224" i="16" s="1"/>
  <c r="F224" i="16"/>
  <c r="J224" i="16"/>
  <c r="K224" i="16" s="1"/>
  <c r="B224" i="16"/>
  <c r="B217" i="19" s="1"/>
  <c r="C217" i="19" s="1"/>
  <c r="D217" i="19" s="1"/>
  <c r="H225" i="16"/>
  <c r="I225" i="16" s="1"/>
  <c r="M225" i="16" s="1"/>
  <c r="F225" i="16"/>
  <c r="J225" i="16"/>
  <c r="K225" i="16" s="1"/>
  <c r="B225" i="16"/>
  <c r="B218" i="19" s="1"/>
  <c r="C218" i="19" s="1"/>
  <c r="D218" i="19" s="1"/>
  <c r="H226" i="16"/>
  <c r="I226" i="16" s="1"/>
  <c r="M226" i="16" s="1"/>
  <c r="F226" i="16"/>
  <c r="J226" i="16"/>
  <c r="K226" i="16" s="1"/>
  <c r="B226" i="16"/>
  <c r="B219" i="19" s="1"/>
  <c r="C219" i="19" s="1"/>
  <c r="D219" i="19" s="1"/>
  <c r="F227" i="16"/>
  <c r="J227" i="16"/>
  <c r="K227" i="16" s="1"/>
  <c r="B227" i="16"/>
  <c r="B220" i="19" s="1"/>
  <c r="C220" i="19" s="1"/>
  <c r="D220" i="19" s="1"/>
  <c r="F228" i="16"/>
  <c r="J228" i="16"/>
  <c r="K228" i="16" s="1"/>
  <c r="B228" i="16"/>
  <c r="B221" i="19" s="1"/>
  <c r="C221" i="19" s="1"/>
  <c r="D221" i="19" s="1"/>
  <c r="H229" i="16"/>
  <c r="I229" i="16" s="1"/>
  <c r="M229" i="16" s="1"/>
  <c r="F229" i="16"/>
  <c r="J229" i="16"/>
  <c r="K229" i="16" s="1"/>
  <c r="B229" i="16"/>
  <c r="B222" i="19" s="1"/>
  <c r="C222" i="19" s="1"/>
  <c r="D222" i="19" s="1"/>
  <c r="H230" i="16"/>
  <c r="I230" i="16" s="1"/>
  <c r="M230" i="16" s="1"/>
  <c r="F230" i="16"/>
  <c r="J230" i="16"/>
  <c r="K230" i="16" s="1"/>
  <c r="B230" i="16"/>
  <c r="B223" i="19" s="1"/>
  <c r="C223" i="19" s="1"/>
  <c r="D223" i="19" s="1"/>
  <c r="F231" i="16"/>
  <c r="J231" i="16"/>
  <c r="K231" i="16" s="1"/>
  <c r="B231" i="16"/>
  <c r="B224" i="19" s="1"/>
  <c r="C224" i="19" s="1"/>
  <c r="D224" i="19" s="1"/>
  <c r="F232" i="16"/>
  <c r="J232" i="16"/>
  <c r="K232" i="16" s="1"/>
  <c r="B232" i="16"/>
  <c r="B225" i="19" s="1"/>
  <c r="C225" i="19" s="1"/>
  <c r="D225" i="19" s="1"/>
  <c r="F233" i="16"/>
  <c r="J233" i="16"/>
  <c r="K233" i="16" s="1"/>
  <c r="B233" i="16"/>
  <c r="B226" i="19" s="1"/>
  <c r="C226" i="19" s="1"/>
  <c r="D226" i="19" s="1"/>
  <c r="F234" i="16"/>
  <c r="J234" i="16"/>
  <c r="K234" i="16" s="1"/>
  <c r="B234" i="16"/>
  <c r="B227" i="19" s="1"/>
  <c r="C227" i="19" s="1"/>
  <c r="D227" i="19" s="1"/>
  <c r="F235" i="16"/>
  <c r="J235" i="16"/>
  <c r="K235" i="16" s="1"/>
  <c r="B235" i="16"/>
  <c r="B228" i="19" s="1"/>
  <c r="C228" i="19" s="1"/>
  <c r="D228" i="19" s="1"/>
  <c r="F236" i="16"/>
  <c r="J236" i="16"/>
  <c r="K236" i="16" s="1"/>
  <c r="B236" i="16"/>
  <c r="B229" i="19" s="1"/>
  <c r="C229" i="19" s="1"/>
  <c r="D229" i="19" s="1"/>
  <c r="H237" i="16"/>
  <c r="I237" i="16" s="1"/>
  <c r="M237" i="16" s="1"/>
  <c r="F237" i="16"/>
  <c r="J237" i="16"/>
  <c r="K237" i="16" s="1"/>
  <c r="B237" i="16"/>
  <c r="B230" i="19" s="1"/>
  <c r="C230" i="19" s="1"/>
  <c r="D230" i="19" s="1"/>
  <c r="F238" i="16"/>
  <c r="J238" i="16"/>
  <c r="K238" i="16" s="1"/>
  <c r="B238" i="16"/>
  <c r="B231" i="19" s="1"/>
  <c r="C231" i="19" s="1"/>
  <c r="D231" i="19" s="1"/>
  <c r="F239" i="16"/>
  <c r="J239" i="16"/>
  <c r="K239" i="16" s="1"/>
  <c r="B239" i="16"/>
  <c r="B232" i="19" s="1"/>
  <c r="C232" i="19" s="1"/>
  <c r="D232" i="19" s="1"/>
  <c r="F240" i="16"/>
  <c r="J240" i="16"/>
  <c r="K240" i="16" s="1"/>
  <c r="B240" i="16"/>
  <c r="B233" i="19" s="1"/>
  <c r="C233" i="19" s="1"/>
  <c r="D233" i="19" s="1"/>
  <c r="F241" i="16"/>
  <c r="J241" i="16"/>
  <c r="K241" i="16" s="1"/>
  <c r="B241" i="16"/>
  <c r="B234" i="19" s="1"/>
  <c r="C234" i="19" s="1"/>
  <c r="D234" i="19" s="1"/>
  <c r="F242" i="16"/>
  <c r="J242" i="16"/>
  <c r="K242" i="16" s="1"/>
  <c r="B242" i="16"/>
  <c r="B235" i="19" s="1"/>
  <c r="C235" i="19" s="1"/>
  <c r="D235" i="19" s="1"/>
  <c r="F243" i="16"/>
  <c r="J243" i="16"/>
  <c r="K243" i="16" s="1"/>
  <c r="B243" i="16"/>
  <c r="B236" i="19" s="1"/>
  <c r="C236" i="19" s="1"/>
  <c r="D236" i="19" s="1"/>
  <c r="F244" i="16"/>
  <c r="J244" i="16"/>
  <c r="K244" i="16" s="1"/>
  <c r="B244" i="16"/>
  <c r="B237" i="19" s="1"/>
  <c r="C237" i="19" s="1"/>
  <c r="D237" i="19" s="1"/>
  <c r="F245" i="16"/>
  <c r="J245" i="16"/>
  <c r="K245" i="16" s="1"/>
  <c r="B245" i="16"/>
  <c r="B238" i="19" s="1"/>
  <c r="C238" i="19" s="1"/>
  <c r="D238" i="19" s="1"/>
  <c r="F246" i="16"/>
  <c r="J246" i="16"/>
  <c r="K246" i="16" s="1"/>
  <c r="B246" i="16"/>
  <c r="B239" i="19" s="1"/>
  <c r="C239" i="19" s="1"/>
  <c r="D239" i="19" s="1"/>
  <c r="F247" i="16"/>
  <c r="J247" i="16"/>
  <c r="K247" i="16" s="1"/>
  <c r="B247" i="16"/>
  <c r="B240" i="19" s="1"/>
  <c r="C240" i="19" s="1"/>
  <c r="D240" i="19" s="1"/>
  <c r="F248" i="16"/>
  <c r="J248" i="16"/>
  <c r="K248" i="16" s="1"/>
  <c r="B248" i="16"/>
  <c r="B241" i="19" s="1"/>
  <c r="C241" i="19" s="1"/>
  <c r="D241" i="19" s="1"/>
  <c r="F249" i="16"/>
  <c r="J249" i="16"/>
  <c r="K249" i="16" s="1"/>
  <c r="B249" i="16"/>
  <c r="B242" i="19" s="1"/>
  <c r="C242" i="19" s="1"/>
  <c r="D242" i="19" s="1"/>
  <c r="F250" i="16"/>
  <c r="J250" i="16"/>
  <c r="K250" i="16" s="1"/>
  <c r="B250" i="16"/>
  <c r="B243" i="19" s="1"/>
  <c r="C243" i="19" s="1"/>
  <c r="D243" i="19" s="1"/>
  <c r="F251" i="16"/>
  <c r="J251" i="16"/>
  <c r="K251" i="16" s="1"/>
  <c r="B251" i="16"/>
  <c r="B244" i="19" s="1"/>
  <c r="C244" i="19" s="1"/>
  <c r="D244" i="19" s="1"/>
  <c r="H252" i="16"/>
  <c r="I252" i="16" s="1"/>
  <c r="M252" i="16" s="1"/>
  <c r="F252" i="16"/>
  <c r="J252" i="16"/>
  <c r="K252" i="16" s="1"/>
  <c r="B252" i="16"/>
  <c r="B245" i="19" s="1"/>
  <c r="C245" i="19" s="1"/>
  <c r="D245" i="19" s="1"/>
  <c r="H253" i="16"/>
  <c r="I253" i="16" s="1"/>
  <c r="M253" i="16" s="1"/>
  <c r="F253" i="16"/>
  <c r="J253" i="16"/>
  <c r="K253" i="16" s="1"/>
  <c r="B253" i="16"/>
  <c r="B246" i="19" s="1"/>
  <c r="C246" i="19" s="1"/>
  <c r="D246" i="19" s="1"/>
  <c r="F254" i="16"/>
  <c r="J254" i="16"/>
  <c r="K254" i="16" s="1"/>
  <c r="B254" i="16"/>
  <c r="B247" i="19" s="1"/>
  <c r="C247" i="19" s="1"/>
  <c r="D247" i="19" s="1"/>
  <c r="F255" i="16"/>
  <c r="J255" i="16"/>
  <c r="K255" i="16" s="1"/>
  <c r="B255" i="16"/>
  <c r="B248" i="19" s="1"/>
  <c r="C248" i="19" s="1"/>
  <c r="D248" i="19" s="1"/>
  <c r="F256" i="16"/>
  <c r="J256" i="16"/>
  <c r="K256" i="16" s="1"/>
  <c r="B256" i="16"/>
  <c r="B249" i="19" s="1"/>
  <c r="C249" i="19" s="1"/>
  <c r="D249" i="19" s="1"/>
  <c r="F257" i="16"/>
  <c r="J257" i="16"/>
  <c r="K257" i="16" s="1"/>
  <c r="B257" i="16"/>
  <c r="B250" i="19" s="1"/>
  <c r="C250" i="19" s="1"/>
  <c r="D250" i="19" s="1"/>
  <c r="F258" i="16"/>
  <c r="J258" i="16"/>
  <c r="K258" i="16" s="1"/>
  <c r="B258" i="16"/>
  <c r="B251" i="19" s="1"/>
  <c r="C251" i="19" s="1"/>
  <c r="D251" i="19" s="1"/>
  <c r="F259" i="16"/>
  <c r="J259" i="16"/>
  <c r="K259" i="16" s="1"/>
  <c r="B259" i="16"/>
  <c r="B252" i="19" s="1"/>
  <c r="C252" i="19" s="1"/>
  <c r="D252" i="19" s="1"/>
  <c r="F260" i="16"/>
  <c r="J260" i="16"/>
  <c r="K260" i="16" s="1"/>
  <c r="B260" i="16"/>
  <c r="B253" i="19" s="1"/>
  <c r="C253" i="19" s="1"/>
  <c r="D253" i="19" s="1"/>
  <c r="F261" i="16"/>
  <c r="J261" i="16"/>
  <c r="K261" i="16" s="1"/>
  <c r="B261" i="16"/>
  <c r="B254" i="19" s="1"/>
  <c r="C254" i="19" s="1"/>
  <c r="D254" i="19" s="1"/>
  <c r="H262" i="16"/>
  <c r="I262" i="16" s="1"/>
  <c r="M262" i="16" s="1"/>
  <c r="F262" i="16"/>
  <c r="J262" i="16"/>
  <c r="K262" i="16" s="1"/>
  <c r="B262" i="16"/>
  <c r="B255" i="19" s="1"/>
  <c r="C255" i="19" s="1"/>
  <c r="D255" i="19" s="1"/>
  <c r="F263" i="16"/>
  <c r="J263" i="16"/>
  <c r="K263" i="16" s="1"/>
  <c r="B263" i="16"/>
  <c r="B256" i="19" s="1"/>
  <c r="C256" i="19" s="1"/>
  <c r="D256" i="19" s="1"/>
  <c r="F264" i="16"/>
  <c r="J264" i="16"/>
  <c r="K264" i="16" s="1"/>
  <c r="B264" i="16"/>
  <c r="B257" i="19" s="1"/>
  <c r="C257" i="19" s="1"/>
  <c r="D257" i="19" s="1"/>
  <c r="F265" i="16"/>
  <c r="J265" i="16"/>
  <c r="K265" i="16" s="1"/>
  <c r="B265" i="16"/>
  <c r="B258" i="19" s="1"/>
  <c r="C258" i="19" s="1"/>
  <c r="D258" i="19" s="1"/>
  <c r="F266" i="16"/>
  <c r="J266" i="16"/>
  <c r="K266" i="16" s="1"/>
  <c r="B266" i="16"/>
  <c r="B259" i="19" s="1"/>
  <c r="C259" i="19" s="1"/>
  <c r="D259" i="19" s="1"/>
  <c r="F267" i="16"/>
  <c r="J267" i="16"/>
  <c r="K267" i="16" s="1"/>
  <c r="B267" i="16"/>
  <c r="B260" i="19" s="1"/>
  <c r="C260" i="19" s="1"/>
  <c r="D260" i="19" s="1"/>
  <c r="H268" i="16"/>
  <c r="I268" i="16" s="1"/>
  <c r="M268" i="16" s="1"/>
  <c r="F268" i="16"/>
  <c r="J268" i="16"/>
  <c r="K268" i="16" s="1"/>
  <c r="B268" i="16"/>
  <c r="B261" i="19" s="1"/>
  <c r="C261" i="19" s="1"/>
  <c r="D261" i="19" s="1"/>
  <c r="H269" i="16"/>
  <c r="I269" i="16" s="1"/>
  <c r="M269" i="16" s="1"/>
  <c r="F269" i="16"/>
  <c r="J269" i="16"/>
  <c r="K269" i="16" s="1"/>
  <c r="B269" i="16"/>
  <c r="B262" i="19" s="1"/>
  <c r="C262" i="19" s="1"/>
  <c r="D262" i="19" s="1"/>
  <c r="H270" i="16"/>
  <c r="I270" i="16" s="1"/>
  <c r="M270" i="16" s="1"/>
  <c r="F270" i="16"/>
  <c r="J270" i="16"/>
  <c r="K270" i="16" s="1"/>
  <c r="B270" i="16"/>
  <c r="B263" i="19" s="1"/>
  <c r="C263" i="19" s="1"/>
  <c r="D263" i="19" s="1"/>
  <c r="H271" i="16"/>
  <c r="I271" i="16" s="1"/>
  <c r="M271" i="16" s="1"/>
  <c r="F271" i="16"/>
  <c r="J271" i="16"/>
  <c r="K271" i="16" s="1"/>
  <c r="B271" i="16"/>
  <c r="B264" i="19" s="1"/>
  <c r="C264" i="19" s="1"/>
  <c r="D264" i="19" s="1"/>
  <c r="H272" i="16"/>
  <c r="I272" i="16" s="1"/>
  <c r="M272" i="16" s="1"/>
  <c r="F272" i="16"/>
  <c r="J272" i="16"/>
  <c r="K272" i="16" s="1"/>
  <c r="B272" i="16"/>
  <c r="B265" i="19" s="1"/>
  <c r="C265" i="19" s="1"/>
  <c r="D265" i="19" s="1"/>
  <c r="F273" i="16"/>
  <c r="J273" i="16"/>
  <c r="K273" i="16" s="1"/>
  <c r="B273" i="16"/>
  <c r="B266" i="19" s="1"/>
  <c r="C266" i="19" s="1"/>
  <c r="D266" i="19" s="1"/>
  <c r="F274" i="16"/>
  <c r="J274" i="16"/>
  <c r="K274" i="16" s="1"/>
  <c r="B274" i="16"/>
  <c r="B267" i="19" s="1"/>
  <c r="C267" i="19" s="1"/>
  <c r="D267" i="19" s="1"/>
  <c r="F275" i="16"/>
  <c r="J275" i="16"/>
  <c r="K275" i="16" s="1"/>
  <c r="B275" i="16"/>
  <c r="B268" i="19" s="1"/>
  <c r="C268" i="19" s="1"/>
  <c r="D268" i="19" s="1"/>
  <c r="F276" i="16"/>
  <c r="J276" i="16"/>
  <c r="K276" i="16" s="1"/>
  <c r="B276" i="16"/>
  <c r="B269" i="19" s="1"/>
  <c r="C269" i="19" s="1"/>
  <c r="D269" i="19" s="1"/>
  <c r="F277" i="16"/>
  <c r="J277" i="16"/>
  <c r="K277" i="16" s="1"/>
  <c r="B277" i="16"/>
  <c r="B270" i="19" s="1"/>
  <c r="C270" i="19" s="1"/>
  <c r="D270" i="19" s="1"/>
  <c r="F278" i="16"/>
  <c r="J278" i="16"/>
  <c r="K278" i="16" s="1"/>
  <c r="B278" i="16"/>
  <c r="B271" i="19" s="1"/>
  <c r="C271" i="19" s="1"/>
  <c r="D271" i="19" s="1"/>
  <c r="F279" i="16"/>
  <c r="J279" i="16"/>
  <c r="K279" i="16" s="1"/>
  <c r="B279" i="16"/>
  <c r="B272" i="19" s="1"/>
  <c r="C272" i="19" s="1"/>
  <c r="D272" i="19" s="1"/>
  <c r="F280" i="16"/>
  <c r="J280" i="16"/>
  <c r="K280" i="16" s="1"/>
  <c r="B280" i="16"/>
  <c r="B273" i="19" s="1"/>
  <c r="C273" i="19" s="1"/>
  <c r="D273" i="19" s="1"/>
  <c r="F281" i="16"/>
  <c r="J281" i="16"/>
  <c r="K281" i="16" s="1"/>
  <c r="B281" i="16"/>
  <c r="B274" i="19" s="1"/>
  <c r="C274" i="19" s="1"/>
  <c r="D274" i="19" s="1"/>
  <c r="F282" i="16"/>
  <c r="J282" i="16"/>
  <c r="K282" i="16" s="1"/>
  <c r="B282" i="16"/>
  <c r="B275" i="19" s="1"/>
  <c r="C275" i="19" s="1"/>
  <c r="D275" i="19" s="1"/>
  <c r="F283" i="16"/>
  <c r="J283" i="16"/>
  <c r="K283" i="16" s="1"/>
  <c r="B283" i="16"/>
  <c r="B276" i="19" s="1"/>
  <c r="C276" i="19" s="1"/>
  <c r="D276" i="19" s="1"/>
  <c r="F284" i="16"/>
  <c r="J284" i="16"/>
  <c r="K284" i="16" s="1"/>
  <c r="B284" i="16"/>
  <c r="B277" i="19" s="1"/>
  <c r="C277" i="19" s="1"/>
  <c r="D277" i="19" s="1"/>
  <c r="F285" i="16"/>
  <c r="J285" i="16"/>
  <c r="K285" i="16" s="1"/>
  <c r="B285" i="16"/>
  <c r="B278" i="19" s="1"/>
  <c r="C278" i="19" s="1"/>
  <c r="D278" i="19" s="1"/>
  <c r="F286" i="16"/>
  <c r="J286" i="16"/>
  <c r="K286" i="16" s="1"/>
  <c r="B286" i="16"/>
  <c r="B279" i="19" s="1"/>
  <c r="C279" i="19" s="1"/>
  <c r="D279" i="19" s="1"/>
  <c r="F287" i="16"/>
  <c r="J287" i="16"/>
  <c r="K287" i="16" s="1"/>
  <c r="B287" i="16"/>
  <c r="B280" i="19" s="1"/>
  <c r="C280" i="19" s="1"/>
  <c r="D280" i="19" s="1"/>
  <c r="F288" i="16"/>
  <c r="J288" i="16"/>
  <c r="K288" i="16" s="1"/>
  <c r="B288" i="16"/>
  <c r="B281" i="19" s="1"/>
  <c r="C281" i="19" s="1"/>
  <c r="D281" i="19" s="1"/>
  <c r="H289" i="16"/>
  <c r="I289" i="16" s="1"/>
  <c r="M289" i="16" s="1"/>
  <c r="F289" i="16"/>
  <c r="J289" i="16"/>
  <c r="K289" i="16" s="1"/>
  <c r="B289" i="16"/>
  <c r="B282" i="19" s="1"/>
  <c r="C282" i="19" s="1"/>
  <c r="D282" i="19" s="1"/>
  <c r="H290" i="16"/>
  <c r="I290" i="16" s="1"/>
  <c r="M290" i="16" s="1"/>
  <c r="F290" i="16"/>
  <c r="J290" i="16"/>
  <c r="K290" i="16" s="1"/>
  <c r="B290" i="16"/>
  <c r="B283" i="19" s="1"/>
  <c r="C283" i="19" s="1"/>
  <c r="D283" i="19" s="1"/>
  <c r="F291" i="16"/>
  <c r="J291" i="16"/>
  <c r="K291" i="16" s="1"/>
  <c r="B291" i="16"/>
  <c r="B284" i="19" s="1"/>
  <c r="C284" i="19" s="1"/>
  <c r="D284" i="19" s="1"/>
  <c r="F292" i="16"/>
  <c r="J292" i="16"/>
  <c r="K292" i="16" s="1"/>
  <c r="B292" i="16"/>
  <c r="B285" i="19" s="1"/>
  <c r="C285" i="19" s="1"/>
  <c r="D285" i="19" s="1"/>
  <c r="F293" i="16"/>
  <c r="J293" i="16"/>
  <c r="K293" i="16" s="1"/>
  <c r="B293" i="16"/>
  <c r="B286" i="19" s="1"/>
  <c r="C286" i="19" s="1"/>
  <c r="D286" i="19" s="1"/>
  <c r="F294" i="16"/>
  <c r="J294" i="16"/>
  <c r="K294" i="16" s="1"/>
  <c r="B294" i="16"/>
  <c r="B287" i="19" s="1"/>
  <c r="C287" i="19" s="1"/>
  <c r="D287" i="19" s="1"/>
  <c r="F295" i="16"/>
  <c r="J295" i="16"/>
  <c r="K295" i="16" s="1"/>
  <c r="B295" i="16"/>
  <c r="B288" i="19" s="1"/>
  <c r="C288" i="19" s="1"/>
  <c r="D288" i="19" s="1"/>
  <c r="F296" i="16"/>
  <c r="J296" i="16"/>
  <c r="K296" i="16" s="1"/>
  <c r="B296" i="16"/>
  <c r="B289" i="19" s="1"/>
  <c r="C289" i="19" s="1"/>
  <c r="D289" i="19" s="1"/>
  <c r="F297" i="16"/>
  <c r="J297" i="16"/>
  <c r="K297" i="16" s="1"/>
  <c r="B297" i="16"/>
  <c r="B290" i="19" s="1"/>
  <c r="C290" i="19" s="1"/>
  <c r="D290" i="19" s="1"/>
  <c r="F298" i="16"/>
  <c r="J298" i="16"/>
  <c r="K298" i="16" s="1"/>
  <c r="B298" i="16"/>
  <c r="B291" i="19" s="1"/>
  <c r="C291" i="19" s="1"/>
  <c r="D291" i="19" s="1"/>
  <c r="F299" i="16"/>
  <c r="J299" i="16"/>
  <c r="K299" i="16" s="1"/>
  <c r="B299" i="16"/>
  <c r="B292" i="19" s="1"/>
  <c r="C292" i="19" s="1"/>
  <c r="D292" i="19" s="1"/>
  <c r="F300" i="16"/>
  <c r="J300" i="16"/>
  <c r="K300" i="16" s="1"/>
  <c r="B300" i="16"/>
  <c r="B293" i="19" s="1"/>
  <c r="C293" i="19" s="1"/>
  <c r="D293" i="19" s="1"/>
  <c r="F301" i="16"/>
  <c r="J301" i="16"/>
  <c r="K301" i="16" s="1"/>
  <c r="B301" i="16"/>
  <c r="B294" i="19" s="1"/>
  <c r="C294" i="19" s="1"/>
  <c r="D294" i="19" s="1"/>
  <c r="F302" i="16"/>
  <c r="J302" i="16"/>
  <c r="K302" i="16" s="1"/>
  <c r="B302" i="16"/>
  <c r="B295" i="19" s="1"/>
  <c r="C295" i="19" s="1"/>
  <c r="D295" i="19" s="1"/>
  <c r="F303" i="16"/>
  <c r="J303" i="16"/>
  <c r="K303" i="16" s="1"/>
  <c r="B303" i="16"/>
  <c r="B296" i="19" s="1"/>
  <c r="C296" i="19" s="1"/>
  <c r="D296" i="19" s="1"/>
  <c r="F304" i="16"/>
  <c r="J304" i="16"/>
  <c r="K304" i="16" s="1"/>
  <c r="B304" i="16"/>
  <c r="B297" i="19" s="1"/>
  <c r="C297" i="19" s="1"/>
  <c r="D297" i="19" s="1"/>
  <c r="F305" i="16"/>
  <c r="J305" i="16"/>
  <c r="K305" i="16" s="1"/>
  <c r="B305" i="16"/>
  <c r="B298" i="19" s="1"/>
  <c r="C298" i="19" s="1"/>
  <c r="D298" i="19" s="1"/>
  <c r="F306" i="16"/>
  <c r="J306" i="16"/>
  <c r="K306" i="16" s="1"/>
  <c r="B306" i="16"/>
  <c r="B299" i="19" s="1"/>
  <c r="C299" i="19" s="1"/>
  <c r="D299" i="19" s="1"/>
  <c r="F307" i="16"/>
  <c r="J307" i="16"/>
  <c r="K307" i="16" s="1"/>
  <c r="B307" i="16"/>
  <c r="B300" i="19" s="1"/>
  <c r="C300" i="19" s="1"/>
  <c r="D300" i="19" s="1"/>
  <c r="F308" i="16"/>
  <c r="J308" i="16"/>
  <c r="K308" i="16" s="1"/>
  <c r="B308" i="16"/>
  <c r="B301" i="19" s="1"/>
  <c r="C301" i="19" s="1"/>
  <c r="D301" i="19" s="1"/>
  <c r="F309" i="16"/>
  <c r="J309" i="16"/>
  <c r="K309" i="16" s="1"/>
  <c r="B309" i="16"/>
  <c r="B302" i="19" s="1"/>
  <c r="C302" i="19" s="1"/>
  <c r="D302" i="19" s="1"/>
  <c r="F310" i="16"/>
  <c r="J310" i="16"/>
  <c r="K310" i="16" s="1"/>
  <c r="B310" i="16"/>
  <c r="B303" i="19" s="1"/>
  <c r="C303" i="19" s="1"/>
  <c r="D303" i="19" s="1"/>
  <c r="F311" i="16"/>
  <c r="J311" i="16"/>
  <c r="K311" i="16" s="1"/>
  <c r="B311" i="16"/>
  <c r="B304" i="19" s="1"/>
  <c r="C304" i="19" s="1"/>
  <c r="D304" i="19" s="1"/>
  <c r="F312" i="16"/>
  <c r="J312" i="16"/>
  <c r="K312" i="16" s="1"/>
  <c r="B312" i="16"/>
  <c r="B305" i="19" s="1"/>
  <c r="C305" i="19" s="1"/>
  <c r="D305" i="19" s="1"/>
  <c r="F313" i="16"/>
  <c r="J313" i="16"/>
  <c r="K313" i="16" s="1"/>
  <c r="B313" i="16"/>
  <c r="B306" i="19" s="1"/>
  <c r="C306" i="19" s="1"/>
  <c r="D306" i="19" s="1"/>
  <c r="F314" i="16"/>
  <c r="J314" i="16"/>
  <c r="K314" i="16" s="1"/>
  <c r="B314" i="16"/>
  <c r="B307" i="19" s="1"/>
  <c r="C307" i="19" s="1"/>
  <c r="D307" i="19" s="1"/>
  <c r="F315" i="16"/>
  <c r="J315" i="16"/>
  <c r="K315" i="16" s="1"/>
  <c r="B315" i="16"/>
  <c r="B308" i="19" s="1"/>
  <c r="C308" i="19" s="1"/>
  <c r="D308" i="19" s="1"/>
  <c r="F316" i="16"/>
  <c r="J316" i="16"/>
  <c r="K316" i="16" s="1"/>
  <c r="B316" i="16"/>
  <c r="B309" i="19" s="1"/>
  <c r="C309" i="19" s="1"/>
  <c r="D309" i="19" s="1"/>
  <c r="F317" i="16"/>
  <c r="J317" i="16"/>
  <c r="K317" i="16" s="1"/>
  <c r="B317" i="16"/>
  <c r="B310" i="19" s="1"/>
  <c r="C310" i="19" s="1"/>
  <c r="D310" i="19" s="1"/>
  <c r="F318" i="16"/>
  <c r="J318" i="16"/>
  <c r="K318" i="16" s="1"/>
  <c r="B318" i="16"/>
  <c r="B311" i="19" s="1"/>
  <c r="C311" i="19" s="1"/>
  <c r="D311" i="19" s="1"/>
  <c r="F319" i="16"/>
  <c r="J319" i="16"/>
  <c r="K319" i="16" s="1"/>
  <c r="B319" i="16"/>
  <c r="B312" i="19" s="1"/>
  <c r="C312" i="19" s="1"/>
  <c r="D312" i="19" s="1"/>
  <c r="F320" i="16"/>
  <c r="J320" i="16"/>
  <c r="K320" i="16" s="1"/>
  <c r="B320" i="16"/>
  <c r="B313" i="19" s="1"/>
  <c r="C313" i="19" s="1"/>
  <c r="D313" i="19" s="1"/>
  <c r="F321" i="16"/>
  <c r="J321" i="16"/>
  <c r="K321" i="16" s="1"/>
  <c r="B321" i="16"/>
  <c r="B314" i="19" s="1"/>
  <c r="C314" i="19" s="1"/>
  <c r="D314" i="19" s="1"/>
  <c r="F322" i="16"/>
  <c r="J322" i="16"/>
  <c r="K322" i="16" s="1"/>
  <c r="B322" i="16"/>
  <c r="B315" i="19" s="1"/>
  <c r="C315" i="19" s="1"/>
  <c r="D315" i="19" s="1"/>
  <c r="F323" i="16"/>
  <c r="J323" i="16"/>
  <c r="K323" i="16" s="1"/>
  <c r="B323" i="16"/>
  <c r="B316" i="19" s="1"/>
  <c r="C316" i="19" s="1"/>
  <c r="D316" i="19" s="1"/>
  <c r="F324" i="16"/>
  <c r="J324" i="16"/>
  <c r="K324" i="16" s="1"/>
  <c r="B324" i="16"/>
  <c r="B317" i="19" s="1"/>
  <c r="C317" i="19" s="1"/>
  <c r="D317" i="19" s="1"/>
  <c r="F325" i="16"/>
  <c r="J325" i="16"/>
  <c r="K325" i="16" s="1"/>
  <c r="B325" i="16"/>
  <c r="B318" i="19" s="1"/>
  <c r="C318" i="19" s="1"/>
  <c r="D318" i="19" s="1"/>
  <c r="F326" i="16"/>
  <c r="J326" i="16"/>
  <c r="K326" i="16" s="1"/>
  <c r="B326" i="16"/>
  <c r="B319" i="19" s="1"/>
  <c r="C319" i="19" s="1"/>
  <c r="D319" i="19" s="1"/>
  <c r="F327" i="16"/>
  <c r="J327" i="16"/>
  <c r="K327" i="16" s="1"/>
  <c r="B327" i="16"/>
  <c r="B320" i="19" s="1"/>
  <c r="C320" i="19" s="1"/>
  <c r="D320" i="19" s="1"/>
  <c r="H328" i="16"/>
  <c r="I328" i="16" s="1"/>
  <c r="M328" i="16" s="1"/>
  <c r="F328" i="16"/>
  <c r="J328" i="16"/>
  <c r="K328" i="16" s="1"/>
  <c r="B328" i="16"/>
  <c r="B321" i="19" s="1"/>
  <c r="C321" i="19" s="1"/>
  <c r="D321" i="19" s="1"/>
  <c r="F329" i="16"/>
  <c r="J329" i="16"/>
  <c r="K329" i="16" s="1"/>
  <c r="B329" i="16"/>
  <c r="B322" i="19" s="1"/>
  <c r="C322" i="19" s="1"/>
  <c r="D322" i="19" s="1"/>
  <c r="F330" i="16"/>
  <c r="J330" i="16"/>
  <c r="K330" i="16" s="1"/>
  <c r="B330" i="16"/>
  <c r="B323" i="19" s="1"/>
  <c r="C323" i="19" s="1"/>
  <c r="D323" i="19" s="1"/>
  <c r="F331" i="16"/>
  <c r="J331" i="16"/>
  <c r="K331" i="16" s="1"/>
  <c r="B331" i="16"/>
  <c r="B324" i="19" s="1"/>
  <c r="C324" i="19" s="1"/>
  <c r="D324" i="19" s="1"/>
  <c r="F332" i="16"/>
  <c r="J332" i="16"/>
  <c r="K332" i="16" s="1"/>
  <c r="B332" i="16"/>
  <c r="B325" i="19" s="1"/>
  <c r="C325" i="19" s="1"/>
  <c r="D325" i="19" s="1"/>
  <c r="F333" i="16"/>
  <c r="J333" i="16"/>
  <c r="K333" i="16" s="1"/>
  <c r="B333" i="16"/>
  <c r="B326" i="19" s="1"/>
  <c r="C326" i="19" s="1"/>
  <c r="D326" i="19" s="1"/>
  <c r="F334" i="16"/>
  <c r="J334" i="16"/>
  <c r="K334" i="16" s="1"/>
  <c r="B334" i="16"/>
  <c r="B327" i="19" s="1"/>
  <c r="C327" i="19" s="1"/>
  <c r="D327" i="19" s="1"/>
  <c r="F335" i="16"/>
  <c r="J335" i="16"/>
  <c r="K335" i="16" s="1"/>
  <c r="B335" i="16"/>
  <c r="B328" i="19" s="1"/>
  <c r="C328" i="19" s="1"/>
  <c r="D328" i="19" s="1"/>
  <c r="F336" i="16"/>
  <c r="J336" i="16"/>
  <c r="K336" i="16" s="1"/>
  <c r="B336" i="16"/>
  <c r="B329" i="19" s="1"/>
  <c r="C329" i="19" s="1"/>
  <c r="D329" i="19" s="1"/>
  <c r="H337" i="16"/>
  <c r="I337" i="16" s="1"/>
  <c r="M337" i="16" s="1"/>
  <c r="F337" i="16"/>
  <c r="J337" i="16"/>
  <c r="K337" i="16" s="1"/>
  <c r="B337" i="16"/>
  <c r="B330" i="19" s="1"/>
  <c r="C330" i="19" s="1"/>
  <c r="D330" i="19" s="1"/>
  <c r="F338" i="16"/>
  <c r="J338" i="16"/>
  <c r="K338" i="16" s="1"/>
  <c r="B338" i="16"/>
  <c r="B331" i="19" s="1"/>
  <c r="C331" i="19" s="1"/>
  <c r="D331" i="19" s="1"/>
  <c r="F339" i="16"/>
  <c r="J339" i="16"/>
  <c r="K339" i="16" s="1"/>
  <c r="B339" i="16"/>
  <c r="B332" i="19" s="1"/>
  <c r="C332" i="19" s="1"/>
  <c r="D332" i="19" s="1"/>
  <c r="F340" i="16"/>
  <c r="J340" i="16"/>
  <c r="K340" i="16" s="1"/>
  <c r="B340" i="16"/>
  <c r="B333" i="19" s="1"/>
  <c r="C333" i="19" s="1"/>
  <c r="D333" i="19" s="1"/>
  <c r="F341" i="16"/>
  <c r="J341" i="16"/>
  <c r="K341" i="16" s="1"/>
  <c r="B341" i="16"/>
  <c r="B334" i="19" s="1"/>
  <c r="C334" i="19" s="1"/>
  <c r="D334" i="19" s="1"/>
  <c r="F342" i="16"/>
  <c r="J342" i="16"/>
  <c r="K342" i="16" s="1"/>
  <c r="B342" i="16"/>
  <c r="B335" i="19" s="1"/>
  <c r="C335" i="19" s="1"/>
  <c r="D335" i="19" s="1"/>
  <c r="F343" i="16"/>
  <c r="J343" i="16"/>
  <c r="K343" i="16" s="1"/>
  <c r="B343" i="16"/>
  <c r="B336" i="19" s="1"/>
  <c r="C336" i="19" s="1"/>
  <c r="D336" i="19" s="1"/>
  <c r="F344" i="16"/>
  <c r="J344" i="16"/>
  <c r="K344" i="16" s="1"/>
  <c r="B344" i="16"/>
  <c r="B337" i="19" s="1"/>
  <c r="C337" i="19" s="1"/>
  <c r="D337" i="19" s="1"/>
  <c r="F345" i="16"/>
  <c r="J345" i="16"/>
  <c r="K345" i="16" s="1"/>
  <c r="B345" i="16"/>
  <c r="B338" i="19" s="1"/>
  <c r="C338" i="19" s="1"/>
  <c r="D338" i="19" s="1"/>
  <c r="F346" i="16"/>
  <c r="J346" i="16"/>
  <c r="K346" i="16" s="1"/>
  <c r="B346" i="16"/>
  <c r="B339" i="19" s="1"/>
  <c r="C339" i="19" s="1"/>
  <c r="D339" i="19" s="1"/>
  <c r="F347" i="16"/>
  <c r="J347" i="16"/>
  <c r="K347" i="16" s="1"/>
  <c r="B347" i="16"/>
  <c r="B340" i="19" s="1"/>
  <c r="C340" i="19" s="1"/>
  <c r="D340" i="19" s="1"/>
  <c r="F348" i="16"/>
  <c r="J348" i="16"/>
  <c r="K348" i="16" s="1"/>
  <c r="B348" i="16"/>
  <c r="B341" i="19" s="1"/>
  <c r="C341" i="19" s="1"/>
  <c r="D341" i="19" s="1"/>
  <c r="F349" i="16"/>
  <c r="J349" i="16"/>
  <c r="K349" i="16" s="1"/>
  <c r="B349" i="16"/>
  <c r="B342" i="19" s="1"/>
  <c r="C342" i="19" s="1"/>
  <c r="D342" i="19" s="1"/>
  <c r="F350" i="16"/>
  <c r="J350" i="16"/>
  <c r="K350" i="16" s="1"/>
  <c r="B350" i="16"/>
  <c r="B343" i="19" s="1"/>
  <c r="C343" i="19" s="1"/>
  <c r="D343" i="19" s="1"/>
  <c r="F351" i="16"/>
  <c r="J351" i="16"/>
  <c r="K351" i="16" s="1"/>
  <c r="B351" i="16"/>
  <c r="B344" i="19" s="1"/>
  <c r="C344" i="19" s="1"/>
  <c r="D344" i="19" s="1"/>
  <c r="F352" i="16"/>
  <c r="J352" i="16"/>
  <c r="K352" i="16" s="1"/>
  <c r="B352" i="16"/>
  <c r="B345" i="19" s="1"/>
  <c r="C345" i="19" s="1"/>
  <c r="D345" i="19" s="1"/>
  <c r="F353" i="16"/>
  <c r="J353" i="16"/>
  <c r="K353" i="16" s="1"/>
  <c r="B353" i="16"/>
  <c r="B346" i="19" s="1"/>
  <c r="C346" i="19" s="1"/>
  <c r="D346" i="19" s="1"/>
  <c r="F354" i="16"/>
  <c r="J354" i="16"/>
  <c r="K354" i="16" s="1"/>
  <c r="B354" i="16"/>
  <c r="B347" i="19" s="1"/>
  <c r="C347" i="19" s="1"/>
  <c r="D347" i="19" s="1"/>
  <c r="F355" i="16"/>
  <c r="J355" i="16"/>
  <c r="K355" i="16" s="1"/>
  <c r="B355" i="16"/>
  <c r="B348" i="19" s="1"/>
  <c r="C348" i="19" s="1"/>
  <c r="D348" i="19" s="1"/>
  <c r="F356" i="16"/>
  <c r="J356" i="16"/>
  <c r="K356" i="16" s="1"/>
  <c r="B356" i="16"/>
  <c r="B349" i="19" s="1"/>
  <c r="C349" i="19" s="1"/>
  <c r="D349" i="19" s="1"/>
  <c r="F357" i="16"/>
  <c r="J357" i="16"/>
  <c r="K357" i="16" s="1"/>
  <c r="B357" i="16"/>
  <c r="B350" i="19" s="1"/>
  <c r="C350" i="19" s="1"/>
  <c r="D350" i="19" s="1"/>
  <c r="F358" i="16"/>
  <c r="J358" i="16"/>
  <c r="K358" i="16" s="1"/>
  <c r="B358" i="16"/>
  <c r="B351" i="19" s="1"/>
  <c r="C351" i="19" s="1"/>
  <c r="D351" i="19" s="1"/>
  <c r="F359" i="16"/>
  <c r="J359" i="16"/>
  <c r="K359" i="16" s="1"/>
  <c r="B359" i="16"/>
  <c r="B352" i="19" s="1"/>
  <c r="C352" i="19" s="1"/>
  <c r="D352" i="19" s="1"/>
  <c r="F360" i="16"/>
  <c r="J360" i="16"/>
  <c r="K360" i="16" s="1"/>
  <c r="B360" i="16"/>
  <c r="B353" i="19" s="1"/>
  <c r="C353" i="19" s="1"/>
  <c r="D353" i="19" s="1"/>
  <c r="F361" i="16"/>
  <c r="J361" i="16"/>
  <c r="K361" i="16" s="1"/>
  <c r="B361" i="16"/>
  <c r="B354" i="19" s="1"/>
  <c r="C354" i="19" s="1"/>
  <c r="D354" i="19" s="1"/>
  <c r="F362" i="16"/>
  <c r="J362" i="16"/>
  <c r="K362" i="16" s="1"/>
  <c r="B362" i="16"/>
  <c r="B355" i="19" s="1"/>
  <c r="C355" i="19" s="1"/>
  <c r="D355" i="19" s="1"/>
  <c r="F363" i="16"/>
  <c r="J363" i="16"/>
  <c r="K363" i="16" s="1"/>
  <c r="B363" i="16"/>
  <c r="B356" i="19" s="1"/>
  <c r="C356" i="19" s="1"/>
  <c r="D356" i="19" s="1"/>
  <c r="F364" i="16"/>
  <c r="J364" i="16"/>
  <c r="K364" i="16" s="1"/>
  <c r="B364" i="16"/>
  <c r="B357" i="19" s="1"/>
  <c r="C357" i="19" s="1"/>
  <c r="D357" i="19" s="1"/>
  <c r="F365" i="16"/>
  <c r="J365" i="16"/>
  <c r="K365" i="16" s="1"/>
  <c r="B365" i="16"/>
  <c r="B358" i="19" s="1"/>
  <c r="C358" i="19" s="1"/>
  <c r="D358" i="19" s="1"/>
  <c r="F366" i="16"/>
  <c r="J366" i="16"/>
  <c r="K366" i="16" s="1"/>
  <c r="B366" i="16"/>
  <c r="B359" i="19" s="1"/>
  <c r="C359" i="19" s="1"/>
  <c r="D359" i="19" s="1"/>
  <c r="F367" i="16"/>
  <c r="J367" i="16"/>
  <c r="K367" i="16" s="1"/>
  <c r="B367" i="16"/>
  <c r="B360" i="19" s="1"/>
  <c r="C360" i="19" s="1"/>
  <c r="D360" i="19" s="1"/>
  <c r="F368" i="16"/>
  <c r="J368" i="16"/>
  <c r="K368" i="16" s="1"/>
  <c r="B368" i="16"/>
  <c r="B361" i="19" s="1"/>
  <c r="C361" i="19" s="1"/>
  <c r="D361" i="19" s="1"/>
  <c r="F369" i="16"/>
  <c r="J369" i="16"/>
  <c r="K369" i="16" s="1"/>
  <c r="B369" i="16"/>
  <c r="B362" i="19" s="1"/>
  <c r="C362" i="19" s="1"/>
  <c r="D362" i="19" s="1"/>
  <c r="F370" i="16"/>
  <c r="J370" i="16"/>
  <c r="K370" i="16" s="1"/>
  <c r="B370" i="16"/>
  <c r="B363" i="19" s="1"/>
  <c r="C363" i="19" s="1"/>
  <c r="D363" i="19" s="1"/>
  <c r="F371" i="16"/>
  <c r="J371" i="16"/>
  <c r="K371" i="16" s="1"/>
  <c r="B371" i="16"/>
  <c r="B364" i="19" s="1"/>
  <c r="C364" i="19" s="1"/>
  <c r="D364" i="19" s="1"/>
  <c r="F372" i="16"/>
  <c r="J372" i="16"/>
  <c r="K372" i="16" s="1"/>
  <c r="B372" i="16"/>
  <c r="B365" i="19" s="1"/>
  <c r="C365" i="19" s="1"/>
  <c r="D365" i="19" s="1"/>
  <c r="F373" i="16"/>
  <c r="J373" i="16"/>
  <c r="K373" i="16" s="1"/>
  <c r="B373" i="16"/>
  <c r="B366" i="19" s="1"/>
  <c r="C366" i="19" s="1"/>
  <c r="D366" i="19" s="1"/>
  <c r="F374" i="16"/>
  <c r="J374" i="16"/>
  <c r="K374" i="16" s="1"/>
  <c r="B374" i="16"/>
  <c r="B367" i="19" s="1"/>
  <c r="C367" i="19" s="1"/>
  <c r="D367" i="19" s="1"/>
  <c r="F375" i="16"/>
  <c r="J375" i="16"/>
  <c r="K375" i="16" s="1"/>
  <c r="B375" i="16"/>
  <c r="B368" i="19" s="1"/>
  <c r="C368" i="19" s="1"/>
  <c r="D368" i="19" s="1"/>
  <c r="F376" i="16"/>
  <c r="J376" i="16"/>
  <c r="K376" i="16" s="1"/>
  <c r="B376" i="16"/>
  <c r="B369" i="19" s="1"/>
  <c r="C369" i="19" s="1"/>
  <c r="D369" i="19" s="1"/>
  <c r="F377" i="16"/>
  <c r="J377" i="16"/>
  <c r="K377" i="16" s="1"/>
  <c r="B377" i="16"/>
  <c r="B370" i="19" s="1"/>
  <c r="C370" i="19" s="1"/>
  <c r="D370" i="19" s="1"/>
  <c r="F378" i="16"/>
  <c r="J378" i="16"/>
  <c r="K378" i="16" s="1"/>
  <c r="B378" i="16"/>
  <c r="B371" i="19" s="1"/>
  <c r="C371" i="19" s="1"/>
  <c r="D371" i="19" s="1"/>
  <c r="F379" i="16"/>
  <c r="J379" i="16"/>
  <c r="K379" i="16" s="1"/>
  <c r="B379" i="16"/>
  <c r="B372" i="19" s="1"/>
  <c r="C372" i="19" s="1"/>
  <c r="D372" i="19" s="1"/>
  <c r="F380" i="16"/>
  <c r="J380" i="16"/>
  <c r="K380" i="16" s="1"/>
  <c r="B380" i="16"/>
  <c r="B373" i="19" s="1"/>
  <c r="C373" i="19" s="1"/>
  <c r="D373" i="19" s="1"/>
  <c r="P13" i="16"/>
  <c r="F16" i="16"/>
  <c r="J16" i="16"/>
  <c r="K16" i="16" s="1"/>
  <c r="E16" i="16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E364" i="16" s="1"/>
  <c r="E365" i="16" s="1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B16" i="16"/>
  <c r="B9" i="19" s="1"/>
  <c r="C9" i="19" s="1"/>
  <c r="D9" i="19" s="1"/>
  <c r="E17" i="12"/>
  <c r="D29" i="3"/>
  <c r="Q8" i="16" s="1"/>
  <c r="Q9" i="16" s="1"/>
  <c r="Q15" i="16" s="1"/>
  <c r="P17" i="16" s="1"/>
  <c r="N18" i="12"/>
  <c r="N19" i="12"/>
  <c r="N20" i="12"/>
  <c r="N32" i="12"/>
  <c r="N38" i="12"/>
  <c r="N106" i="12"/>
  <c r="N141" i="12"/>
  <c r="N142" i="12"/>
  <c r="N143" i="12"/>
  <c r="N144" i="12"/>
  <c r="N148" i="12"/>
  <c r="N149" i="12"/>
  <c r="N150" i="12"/>
  <c r="N152" i="12"/>
  <c r="N154" i="12"/>
  <c r="N169" i="12"/>
  <c r="N171" i="12"/>
  <c r="N173" i="12"/>
  <c r="N175" i="12"/>
  <c r="N176" i="12"/>
  <c r="N177" i="12"/>
  <c r="N188" i="12"/>
  <c r="N196" i="12"/>
  <c r="N210" i="12"/>
  <c r="N211" i="12"/>
  <c r="N212" i="12"/>
  <c r="N213" i="12"/>
  <c r="N216" i="12"/>
  <c r="N217" i="12"/>
  <c r="N223" i="12"/>
  <c r="N224" i="12"/>
  <c r="N225" i="12"/>
  <c r="N226" i="12"/>
  <c r="N229" i="12"/>
  <c r="N230" i="12"/>
  <c r="N237" i="12"/>
  <c r="N241" i="12"/>
  <c r="N252" i="12"/>
  <c r="N253" i="12"/>
  <c r="N262" i="12"/>
  <c r="N265" i="12"/>
  <c r="N267" i="12"/>
  <c r="N268" i="12"/>
  <c r="N269" i="12"/>
  <c r="N270" i="12"/>
  <c r="N271" i="12"/>
  <c r="N272" i="12"/>
  <c r="N273" i="12"/>
  <c r="N289" i="12"/>
  <c r="N290" i="12"/>
  <c r="N328" i="12"/>
  <c r="N336" i="12"/>
  <c r="N337" i="12"/>
  <c r="O21" i="11"/>
  <c r="G29" i="13"/>
  <c r="E29" i="13"/>
  <c r="H28" i="13"/>
  <c r="F29" i="13"/>
  <c r="E9" i="19" l="1"/>
  <c r="E10" i="19" s="1"/>
  <c r="E2" i="19"/>
  <c r="E3" i="19" s="1"/>
  <c r="L19" i="14"/>
  <c r="N19" i="14" s="1"/>
  <c r="N337" i="16"/>
  <c r="H342" i="15" s="1"/>
  <c r="I342" i="15" s="1"/>
  <c r="J342" i="15" s="1"/>
  <c r="N328" i="16"/>
  <c r="H333" i="15" s="1"/>
  <c r="I333" i="15" s="1"/>
  <c r="J333" i="15" s="1"/>
  <c r="N290" i="16"/>
  <c r="H295" i="15" s="1"/>
  <c r="I295" i="15" s="1"/>
  <c r="J295" i="15" s="1"/>
  <c r="N289" i="16"/>
  <c r="H294" i="15" s="1"/>
  <c r="I294" i="15" s="1"/>
  <c r="J294" i="15" s="1"/>
  <c r="N272" i="16"/>
  <c r="H277" i="15" s="1"/>
  <c r="I277" i="15" s="1"/>
  <c r="J277" i="15" s="1"/>
  <c r="N271" i="16"/>
  <c r="H276" i="15" s="1"/>
  <c r="I276" i="15" s="1"/>
  <c r="J276" i="15" s="1"/>
  <c r="N270" i="16"/>
  <c r="H275" i="15" s="1"/>
  <c r="I275" i="15" s="1"/>
  <c r="J275" i="15" s="1"/>
  <c r="N269" i="16"/>
  <c r="H274" i="15" s="1"/>
  <c r="I274" i="15" s="1"/>
  <c r="J274" i="15" s="1"/>
  <c r="N268" i="16"/>
  <c r="H273" i="15" s="1"/>
  <c r="I273" i="15" s="1"/>
  <c r="J273" i="15" s="1"/>
  <c r="N262" i="16"/>
  <c r="H267" i="15" s="1"/>
  <c r="I267" i="15" s="1"/>
  <c r="J267" i="15" s="1"/>
  <c r="N253" i="16"/>
  <c r="H258" i="15" s="1"/>
  <c r="I258" i="15" s="1"/>
  <c r="J258" i="15" s="1"/>
  <c r="N252" i="16"/>
  <c r="H257" i="15" s="1"/>
  <c r="I257" i="15" s="1"/>
  <c r="J257" i="15" s="1"/>
  <c r="N237" i="16"/>
  <c r="H242" i="15" s="1"/>
  <c r="I242" i="15" s="1"/>
  <c r="J242" i="15" s="1"/>
  <c r="N230" i="16"/>
  <c r="H235" i="15" s="1"/>
  <c r="I235" i="15" s="1"/>
  <c r="J235" i="15" s="1"/>
  <c r="N229" i="16"/>
  <c r="H234" i="15" s="1"/>
  <c r="I234" i="15" s="1"/>
  <c r="J234" i="15" s="1"/>
  <c r="N226" i="16"/>
  <c r="H231" i="15" s="1"/>
  <c r="I231" i="15" s="1"/>
  <c r="J231" i="15" s="1"/>
  <c r="N225" i="16"/>
  <c r="H230" i="15" s="1"/>
  <c r="I230" i="15" s="1"/>
  <c r="J230" i="15" s="1"/>
  <c r="N224" i="16"/>
  <c r="H229" i="15" s="1"/>
  <c r="I229" i="15" s="1"/>
  <c r="J229" i="15" s="1"/>
  <c r="N223" i="16"/>
  <c r="H228" i="15" s="1"/>
  <c r="I228" i="15" s="1"/>
  <c r="J228" i="15" s="1"/>
  <c r="N217" i="16"/>
  <c r="H222" i="15" s="1"/>
  <c r="I222" i="15" s="1"/>
  <c r="J222" i="15" s="1"/>
  <c r="N213" i="16"/>
  <c r="H218" i="15" s="1"/>
  <c r="I218" i="15" s="1"/>
  <c r="J218" i="15" s="1"/>
  <c r="N212" i="16"/>
  <c r="H217" i="15" s="1"/>
  <c r="I217" i="15" s="1"/>
  <c r="J217" i="15" s="1"/>
  <c r="N211" i="16"/>
  <c r="H216" i="15" s="1"/>
  <c r="I216" i="15" s="1"/>
  <c r="J216" i="15" s="1"/>
  <c r="N196" i="16"/>
  <c r="H201" i="15" s="1"/>
  <c r="I201" i="15" s="1"/>
  <c r="J201" i="15" s="1"/>
  <c r="N188" i="16"/>
  <c r="H193" i="15" s="1"/>
  <c r="I193" i="15" s="1"/>
  <c r="J193" i="15" s="1"/>
  <c r="N171" i="16"/>
  <c r="H176" i="15" s="1"/>
  <c r="I176" i="15" s="1"/>
  <c r="J176" i="15" s="1"/>
  <c r="N169" i="16"/>
  <c r="H174" i="15" s="1"/>
  <c r="I174" i="15" s="1"/>
  <c r="J174" i="15" s="1"/>
  <c r="N154" i="16"/>
  <c r="H159" i="15" s="1"/>
  <c r="I159" i="15" s="1"/>
  <c r="J159" i="15" s="1"/>
  <c r="N144" i="16"/>
  <c r="H149" i="15" s="1"/>
  <c r="I149" i="15" s="1"/>
  <c r="J149" i="15" s="1"/>
  <c r="N143" i="16"/>
  <c r="H148" i="15" s="1"/>
  <c r="I148" i="15" s="1"/>
  <c r="J148" i="15" s="1"/>
  <c r="N142" i="16"/>
  <c r="H147" i="15" s="1"/>
  <c r="I147" i="15" s="1"/>
  <c r="J147" i="15" s="1"/>
  <c r="N141" i="16"/>
  <c r="H146" i="15" s="1"/>
  <c r="I146" i="15" s="1"/>
  <c r="J146" i="15" s="1"/>
  <c r="N106" i="16"/>
  <c r="H111" i="15" s="1"/>
  <c r="I111" i="15" s="1"/>
  <c r="J111" i="15" s="1"/>
  <c r="B9" i="17"/>
  <c r="C9" i="17" s="1"/>
  <c r="D9" i="17" s="1"/>
  <c r="G16" i="16"/>
  <c r="B373" i="17"/>
  <c r="C373" i="17" s="1"/>
  <c r="D373" i="17" s="1"/>
  <c r="G380" i="16"/>
  <c r="H380" i="16" s="1"/>
  <c r="I380" i="16" s="1"/>
  <c r="M380" i="16" s="1"/>
  <c r="N380" i="16" s="1"/>
  <c r="H385" i="15" s="1"/>
  <c r="I385" i="15" s="1"/>
  <c r="J385" i="15" s="1"/>
  <c r="B372" i="17"/>
  <c r="C372" i="17" s="1"/>
  <c r="D372" i="17" s="1"/>
  <c r="G379" i="16"/>
  <c r="H379" i="16" s="1"/>
  <c r="I379" i="16" s="1"/>
  <c r="M379" i="16" s="1"/>
  <c r="N379" i="16" s="1"/>
  <c r="H384" i="15" s="1"/>
  <c r="I384" i="15" s="1"/>
  <c r="J384" i="15" s="1"/>
  <c r="B371" i="17"/>
  <c r="C371" i="17" s="1"/>
  <c r="D371" i="17" s="1"/>
  <c r="G378" i="16"/>
  <c r="H378" i="16" s="1"/>
  <c r="I378" i="16" s="1"/>
  <c r="M378" i="16" s="1"/>
  <c r="N378" i="16" s="1"/>
  <c r="H383" i="15" s="1"/>
  <c r="I383" i="15" s="1"/>
  <c r="J383" i="15" s="1"/>
  <c r="B370" i="17"/>
  <c r="C370" i="17" s="1"/>
  <c r="D370" i="17" s="1"/>
  <c r="G377" i="16"/>
  <c r="H377" i="16" s="1"/>
  <c r="I377" i="16" s="1"/>
  <c r="M377" i="16" s="1"/>
  <c r="N377" i="16" s="1"/>
  <c r="H382" i="15" s="1"/>
  <c r="I382" i="15" s="1"/>
  <c r="J382" i="15" s="1"/>
  <c r="B369" i="17"/>
  <c r="C369" i="17" s="1"/>
  <c r="D369" i="17" s="1"/>
  <c r="G376" i="16"/>
  <c r="B368" i="17"/>
  <c r="C368" i="17" s="1"/>
  <c r="D368" i="17" s="1"/>
  <c r="G375" i="16"/>
  <c r="B367" i="17"/>
  <c r="C367" i="17" s="1"/>
  <c r="D367" i="17" s="1"/>
  <c r="G374" i="16"/>
  <c r="B366" i="17"/>
  <c r="C366" i="17" s="1"/>
  <c r="D366" i="17" s="1"/>
  <c r="G373" i="16"/>
  <c r="B365" i="17"/>
  <c r="C365" i="17" s="1"/>
  <c r="D365" i="17" s="1"/>
  <c r="G372" i="16"/>
  <c r="B364" i="17"/>
  <c r="C364" i="17" s="1"/>
  <c r="D364" i="17" s="1"/>
  <c r="G371" i="16"/>
  <c r="B363" i="17"/>
  <c r="C363" i="17" s="1"/>
  <c r="D363" i="17" s="1"/>
  <c r="G370" i="16"/>
  <c r="B362" i="17"/>
  <c r="C362" i="17" s="1"/>
  <c r="D362" i="17" s="1"/>
  <c r="G369" i="16"/>
  <c r="H369" i="16" s="1"/>
  <c r="I369" i="16" s="1"/>
  <c r="M369" i="16" s="1"/>
  <c r="N369" i="16" s="1"/>
  <c r="H374" i="15" s="1"/>
  <c r="I374" i="15" s="1"/>
  <c r="J374" i="15" s="1"/>
  <c r="B361" i="17"/>
  <c r="C361" i="17" s="1"/>
  <c r="D361" i="17" s="1"/>
  <c r="G368" i="16"/>
  <c r="H368" i="16" s="1"/>
  <c r="I368" i="16" s="1"/>
  <c r="M368" i="16" s="1"/>
  <c r="N368" i="16" s="1"/>
  <c r="H373" i="15" s="1"/>
  <c r="I373" i="15" s="1"/>
  <c r="J373" i="15" s="1"/>
  <c r="B360" i="17"/>
  <c r="C360" i="17" s="1"/>
  <c r="D360" i="17" s="1"/>
  <c r="G367" i="16"/>
  <c r="B359" i="17"/>
  <c r="C359" i="17" s="1"/>
  <c r="D359" i="17" s="1"/>
  <c r="G366" i="16"/>
  <c r="B358" i="17"/>
  <c r="C358" i="17" s="1"/>
  <c r="D358" i="17" s="1"/>
  <c r="G365" i="16"/>
  <c r="B357" i="17"/>
  <c r="C357" i="17" s="1"/>
  <c r="D357" i="17" s="1"/>
  <c r="G364" i="16"/>
  <c r="B356" i="17"/>
  <c r="C356" i="17" s="1"/>
  <c r="D356" i="17" s="1"/>
  <c r="G363" i="16"/>
  <c r="H363" i="16" s="1"/>
  <c r="I363" i="16" s="1"/>
  <c r="M363" i="16" s="1"/>
  <c r="N363" i="16" s="1"/>
  <c r="H368" i="15" s="1"/>
  <c r="I368" i="15" s="1"/>
  <c r="J368" i="15" s="1"/>
  <c r="B355" i="17"/>
  <c r="C355" i="17" s="1"/>
  <c r="D355" i="17" s="1"/>
  <c r="G362" i="16"/>
  <c r="B354" i="17"/>
  <c r="C354" i="17" s="1"/>
  <c r="D354" i="17" s="1"/>
  <c r="G361" i="16"/>
  <c r="B353" i="17"/>
  <c r="C353" i="17" s="1"/>
  <c r="D353" i="17" s="1"/>
  <c r="G360" i="16"/>
  <c r="B352" i="17"/>
  <c r="C352" i="17" s="1"/>
  <c r="D352" i="17" s="1"/>
  <c r="G359" i="16"/>
  <c r="B351" i="17"/>
  <c r="C351" i="17" s="1"/>
  <c r="D351" i="17" s="1"/>
  <c r="G358" i="16"/>
  <c r="B350" i="17"/>
  <c r="C350" i="17" s="1"/>
  <c r="D350" i="17" s="1"/>
  <c r="G357" i="16"/>
  <c r="B349" i="17"/>
  <c r="C349" i="17" s="1"/>
  <c r="D349" i="17" s="1"/>
  <c r="G356" i="16"/>
  <c r="B348" i="17"/>
  <c r="C348" i="17" s="1"/>
  <c r="D348" i="17" s="1"/>
  <c r="G355" i="16"/>
  <c r="B347" i="17"/>
  <c r="C347" i="17" s="1"/>
  <c r="D347" i="17" s="1"/>
  <c r="G354" i="16"/>
  <c r="B346" i="17"/>
  <c r="C346" i="17" s="1"/>
  <c r="D346" i="17" s="1"/>
  <c r="G353" i="16"/>
  <c r="B345" i="17"/>
  <c r="C345" i="17" s="1"/>
  <c r="D345" i="17" s="1"/>
  <c r="G352" i="16"/>
  <c r="H352" i="16" s="1"/>
  <c r="I352" i="16" s="1"/>
  <c r="M352" i="16" s="1"/>
  <c r="N352" i="16" s="1"/>
  <c r="H357" i="15" s="1"/>
  <c r="I357" i="15" s="1"/>
  <c r="J357" i="15" s="1"/>
  <c r="B344" i="17"/>
  <c r="C344" i="17" s="1"/>
  <c r="D344" i="17" s="1"/>
  <c r="G351" i="16"/>
  <c r="H351" i="16" s="1"/>
  <c r="I351" i="16" s="1"/>
  <c r="M351" i="16" s="1"/>
  <c r="N351" i="16" s="1"/>
  <c r="H356" i="15" s="1"/>
  <c r="I356" i="15" s="1"/>
  <c r="J356" i="15" s="1"/>
  <c r="B343" i="17"/>
  <c r="C343" i="17" s="1"/>
  <c r="D343" i="17" s="1"/>
  <c r="G350" i="16"/>
  <c r="H350" i="16" s="1"/>
  <c r="I350" i="16" s="1"/>
  <c r="M350" i="16" s="1"/>
  <c r="N350" i="16" s="1"/>
  <c r="H355" i="15" s="1"/>
  <c r="I355" i="15" s="1"/>
  <c r="J355" i="15" s="1"/>
  <c r="B342" i="17"/>
  <c r="C342" i="17" s="1"/>
  <c r="D342" i="17" s="1"/>
  <c r="G349" i="16"/>
  <c r="H349" i="16" s="1"/>
  <c r="I349" i="16" s="1"/>
  <c r="M349" i="16" s="1"/>
  <c r="N349" i="16" s="1"/>
  <c r="H354" i="15" s="1"/>
  <c r="I354" i="15" s="1"/>
  <c r="J354" i="15" s="1"/>
  <c r="B341" i="17"/>
  <c r="C341" i="17" s="1"/>
  <c r="D341" i="17" s="1"/>
  <c r="G348" i="16"/>
  <c r="H348" i="16" s="1"/>
  <c r="I348" i="16" s="1"/>
  <c r="M348" i="16" s="1"/>
  <c r="N348" i="16" s="1"/>
  <c r="H353" i="15" s="1"/>
  <c r="I353" i="15" s="1"/>
  <c r="J353" i="15" s="1"/>
  <c r="B340" i="17"/>
  <c r="C340" i="17" s="1"/>
  <c r="D340" i="17" s="1"/>
  <c r="G347" i="16"/>
  <c r="H347" i="16" s="1"/>
  <c r="I347" i="16" s="1"/>
  <c r="M347" i="16" s="1"/>
  <c r="N347" i="16" s="1"/>
  <c r="H352" i="15" s="1"/>
  <c r="I352" i="15" s="1"/>
  <c r="J352" i="15" s="1"/>
  <c r="B339" i="17"/>
  <c r="C339" i="17" s="1"/>
  <c r="D339" i="17" s="1"/>
  <c r="G346" i="16"/>
  <c r="B338" i="17"/>
  <c r="C338" i="17" s="1"/>
  <c r="D338" i="17" s="1"/>
  <c r="G345" i="16"/>
  <c r="B337" i="17"/>
  <c r="C337" i="17" s="1"/>
  <c r="D337" i="17" s="1"/>
  <c r="G344" i="16"/>
  <c r="B336" i="17"/>
  <c r="C336" i="17" s="1"/>
  <c r="D336" i="17" s="1"/>
  <c r="G343" i="16"/>
  <c r="B335" i="17"/>
  <c r="C335" i="17" s="1"/>
  <c r="D335" i="17" s="1"/>
  <c r="G342" i="16"/>
  <c r="B334" i="17"/>
  <c r="C334" i="17" s="1"/>
  <c r="D334" i="17" s="1"/>
  <c r="G341" i="16"/>
  <c r="B333" i="17"/>
  <c r="C333" i="17" s="1"/>
  <c r="D333" i="17" s="1"/>
  <c r="G340" i="16"/>
  <c r="B332" i="17"/>
  <c r="C332" i="17" s="1"/>
  <c r="D332" i="17" s="1"/>
  <c r="G339" i="16"/>
  <c r="B331" i="17"/>
  <c r="C331" i="17" s="1"/>
  <c r="D331" i="17" s="1"/>
  <c r="G338" i="16"/>
  <c r="B330" i="17"/>
  <c r="C330" i="17" s="1"/>
  <c r="D330" i="17" s="1"/>
  <c r="G337" i="16"/>
  <c r="B329" i="17"/>
  <c r="C329" i="17" s="1"/>
  <c r="D329" i="17" s="1"/>
  <c r="G336" i="16"/>
  <c r="H336" i="16" s="1"/>
  <c r="I336" i="16" s="1"/>
  <c r="M336" i="16" s="1"/>
  <c r="N336" i="16" s="1"/>
  <c r="H341" i="15" s="1"/>
  <c r="I341" i="15" s="1"/>
  <c r="J341" i="15" s="1"/>
  <c r="B328" i="17"/>
  <c r="C328" i="17" s="1"/>
  <c r="D328" i="17" s="1"/>
  <c r="G335" i="16"/>
  <c r="H335" i="16" s="1"/>
  <c r="I335" i="16" s="1"/>
  <c r="M335" i="16" s="1"/>
  <c r="N335" i="16" s="1"/>
  <c r="H340" i="15" s="1"/>
  <c r="I340" i="15" s="1"/>
  <c r="J340" i="15" s="1"/>
  <c r="B327" i="17"/>
  <c r="C327" i="17" s="1"/>
  <c r="D327" i="17" s="1"/>
  <c r="G334" i="16"/>
  <c r="H334" i="16" s="1"/>
  <c r="I334" i="16" s="1"/>
  <c r="M334" i="16" s="1"/>
  <c r="N334" i="16" s="1"/>
  <c r="H339" i="15" s="1"/>
  <c r="I339" i="15" s="1"/>
  <c r="J339" i="15" s="1"/>
  <c r="B326" i="17"/>
  <c r="C326" i="17" s="1"/>
  <c r="D326" i="17" s="1"/>
  <c r="G333" i="16"/>
  <c r="H333" i="16" s="1"/>
  <c r="I333" i="16" s="1"/>
  <c r="M333" i="16" s="1"/>
  <c r="N333" i="16" s="1"/>
  <c r="H338" i="15" s="1"/>
  <c r="I338" i="15" s="1"/>
  <c r="J338" i="15" s="1"/>
  <c r="B325" i="17"/>
  <c r="C325" i="17" s="1"/>
  <c r="D325" i="17" s="1"/>
  <c r="G332" i="16"/>
  <c r="H332" i="16" s="1"/>
  <c r="I332" i="16" s="1"/>
  <c r="M332" i="16" s="1"/>
  <c r="N332" i="16" s="1"/>
  <c r="H337" i="15" s="1"/>
  <c r="I337" i="15" s="1"/>
  <c r="J337" i="15" s="1"/>
  <c r="B324" i="17"/>
  <c r="C324" i="17" s="1"/>
  <c r="D324" i="17" s="1"/>
  <c r="G331" i="16"/>
  <c r="H331" i="16" s="1"/>
  <c r="I331" i="16" s="1"/>
  <c r="M331" i="16" s="1"/>
  <c r="N331" i="16" s="1"/>
  <c r="H336" i="15" s="1"/>
  <c r="I336" i="15" s="1"/>
  <c r="J336" i="15" s="1"/>
  <c r="B323" i="17"/>
  <c r="C323" i="17" s="1"/>
  <c r="D323" i="17" s="1"/>
  <c r="G330" i="16"/>
  <c r="H330" i="16" s="1"/>
  <c r="I330" i="16" s="1"/>
  <c r="M330" i="16" s="1"/>
  <c r="N330" i="16" s="1"/>
  <c r="H335" i="15" s="1"/>
  <c r="I335" i="15" s="1"/>
  <c r="J335" i="15" s="1"/>
  <c r="B322" i="17"/>
  <c r="C322" i="17" s="1"/>
  <c r="D322" i="17" s="1"/>
  <c r="G329" i="16"/>
  <c r="H329" i="16" s="1"/>
  <c r="I329" i="16" s="1"/>
  <c r="M329" i="16" s="1"/>
  <c r="N329" i="16" s="1"/>
  <c r="H334" i="15" s="1"/>
  <c r="I334" i="15" s="1"/>
  <c r="J334" i="15" s="1"/>
  <c r="B321" i="17"/>
  <c r="C321" i="17" s="1"/>
  <c r="D321" i="17" s="1"/>
  <c r="G328" i="16"/>
  <c r="B320" i="17"/>
  <c r="C320" i="17" s="1"/>
  <c r="D320" i="17" s="1"/>
  <c r="G327" i="16"/>
  <c r="B319" i="17"/>
  <c r="C319" i="17" s="1"/>
  <c r="D319" i="17" s="1"/>
  <c r="G326" i="16"/>
  <c r="B318" i="17"/>
  <c r="C318" i="17" s="1"/>
  <c r="D318" i="17" s="1"/>
  <c r="G325" i="16"/>
  <c r="B317" i="17"/>
  <c r="C317" i="17" s="1"/>
  <c r="D317" i="17" s="1"/>
  <c r="G324" i="16"/>
  <c r="B316" i="17"/>
  <c r="C316" i="17" s="1"/>
  <c r="D316" i="17" s="1"/>
  <c r="G323" i="16"/>
  <c r="B315" i="17"/>
  <c r="C315" i="17" s="1"/>
  <c r="D315" i="17" s="1"/>
  <c r="G322" i="16"/>
  <c r="B314" i="17"/>
  <c r="C314" i="17" s="1"/>
  <c r="D314" i="17" s="1"/>
  <c r="G321" i="16"/>
  <c r="B313" i="17"/>
  <c r="C313" i="17" s="1"/>
  <c r="D313" i="17" s="1"/>
  <c r="G320" i="16"/>
  <c r="B312" i="17"/>
  <c r="C312" i="17" s="1"/>
  <c r="D312" i="17" s="1"/>
  <c r="G319" i="16"/>
  <c r="B311" i="17"/>
  <c r="C311" i="17" s="1"/>
  <c r="D311" i="17" s="1"/>
  <c r="G318" i="16"/>
  <c r="B310" i="17"/>
  <c r="C310" i="17" s="1"/>
  <c r="D310" i="17" s="1"/>
  <c r="G317" i="16"/>
  <c r="B309" i="17"/>
  <c r="C309" i="17" s="1"/>
  <c r="D309" i="17" s="1"/>
  <c r="G316" i="16"/>
  <c r="B308" i="17"/>
  <c r="C308" i="17" s="1"/>
  <c r="D308" i="17" s="1"/>
  <c r="G315" i="16"/>
  <c r="B307" i="17"/>
  <c r="C307" i="17" s="1"/>
  <c r="D307" i="17" s="1"/>
  <c r="G314" i="16"/>
  <c r="B306" i="17"/>
  <c r="C306" i="17" s="1"/>
  <c r="D306" i="17" s="1"/>
  <c r="G313" i="16"/>
  <c r="B305" i="17"/>
  <c r="C305" i="17" s="1"/>
  <c r="D305" i="17" s="1"/>
  <c r="G312" i="16"/>
  <c r="B304" i="17"/>
  <c r="C304" i="17" s="1"/>
  <c r="D304" i="17" s="1"/>
  <c r="G311" i="16"/>
  <c r="B303" i="17"/>
  <c r="C303" i="17" s="1"/>
  <c r="D303" i="17" s="1"/>
  <c r="G310" i="16"/>
  <c r="B302" i="17"/>
  <c r="C302" i="17" s="1"/>
  <c r="D302" i="17" s="1"/>
  <c r="G309" i="16"/>
  <c r="B301" i="17"/>
  <c r="C301" i="17" s="1"/>
  <c r="D301" i="17" s="1"/>
  <c r="G308" i="16"/>
  <c r="B300" i="17"/>
  <c r="C300" i="17" s="1"/>
  <c r="D300" i="17" s="1"/>
  <c r="G307" i="16"/>
  <c r="B299" i="17"/>
  <c r="C299" i="17" s="1"/>
  <c r="D299" i="17" s="1"/>
  <c r="G306" i="16"/>
  <c r="B298" i="17"/>
  <c r="C298" i="17" s="1"/>
  <c r="D298" i="17" s="1"/>
  <c r="G305" i="16"/>
  <c r="B297" i="17"/>
  <c r="C297" i="17" s="1"/>
  <c r="D297" i="17" s="1"/>
  <c r="G304" i="16"/>
  <c r="B296" i="17"/>
  <c r="C296" i="17" s="1"/>
  <c r="D296" i="17" s="1"/>
  <c r="G303" i="16"/>
  <c r="B295" i="17"/>
  <c r="C295" i="17" s="1"/>
  <c r="D295" i="17" s="1"/>
  <c r="G302" i="16"/>
  <c r="B294" i="17"/>
  <c r="C294" i="17" s="1"/>
  <c r="D294" i="17" s="1"/>
  <c r="G301" i="16"/>
  <c r="B293" i="17"/>
  <c r="C293" i="17" s="1"/>
  <c r="D293" i="17" s="1"/>
  <c r="G300" i="16"/>
  <c r="B292" i="17"/>
  <c r="C292" i="17" s="1"/>
  <c r="D292" i="17" s="1"/>
  <c r="G299" i="16"/>
  <c r="B291" i="17"/>
  <c r="C291" i="17" s="1"/>
  <c r="D291" i="17" s="1"/>
  <c r="G298" i="16"/>
  <c r="B290" i="17"/>
  <c r="C290" i="17" s="1"/>
  <c r="D290" i="17" s="1"/>
  <c r="G297" i="16"/>
  <c r="B289" i="17"/>
  <c r="C289" i="17" s="1"/>
  <c r="D289" i="17" s="1"/>
  <c r="G296" i="16"/>
  <c r="B288" i="17"/>
  <c r="C288" i="17" s="1"/>
  <c r="D288" i="17" s="1"/>
  <c r="G295" i="16"/>
  <c r="H295" i="16" s="1"/>
  <c r="I295" i="16" s="1"/>
  <c r="M295" i="16" s="1"/>
  <c r="N295" i="16" s="1"/>
  <c r="H300" i="15" s="1"/>
  <c r="I300" i="15" s="1"/>
  <c r="J300" i="15" s="1"/>
  <c r="B287" i="17"/>
  <c r="C287" i="17" s="1"/>
  <c r="D287" i="17" s="1"/>
  <c r="G294" i="16"/>
  <c r="B286" i="17"/>
  <c r="C286" i="17" s="1"/>
  <c r="D286" i="17" s="1"/>
  <c r="G293" i="16"/>
  <c r="B285" i="17"/>
  <c r="C285" i="17" s="1"/>
  <c r="D285" i="17" s="1"/>
  <c r="G292" i="16"/>
  <c r="B284" i="17"/>
  <c r="C284" i="17" s="1"/>
  <c r="D284" i="17" s="1"/>
  <c r="G291" i="16"/>
  <c r="B283" i="17"/>
  <c r="C283" i="17" s="1"/>
  <c r="D283" i="17" s="1"/>
  <c r="G290" i="16"/>
  <c r="B282" i="17"/>
  <c r="C282" i="17" s="1"/>
  <c r="D282" i="17" s="1"/>
  <c r="G289" i="16"/>
  <c r="B281" i="17"/>
  <c r="C281" i="17" s="1"/>
  <c r="D281" i="17" s="1"/>
  <c r="G288" i="16"/>
  <c r="H288" i="16" s="1"/>
  <c r="I288" i="16" s="1"/>
  <c r="M288" i="16" s="1"/>
  <c r="N288" i="16" s="1"/>
  <c r="H293" i="15" s="1"/>
  <c r="I293" i="15" s="1"/>
  <c r="J293" i="15" s="1"/>
  <c r="B280" i="17"/>
  <c r="C280" i="17" s="1"/>
  <c r="D280" i="17" s="1"/>
  <c r="G287" i="16"/>
  <c r="B279" i="17"/>
  <c r="C279" i="17" s="1"/>
  <c r="D279" i="17" s="1"/>
  <c r="G286" i="16"/>
  <c r="B278" i="17"/>
  <c r="C278" i="17" s="1"/>
  <c r="D278" i="17" s="1"/>
  <c r="G285" i="16"/>
  <c r="H285" i="16" s="1"/>
  <c r="I285" i="16" s="1"/>
  <c r="M285" i="16" s="1"/>
  <c r="N285" i="16" s="1"/>
  <c r="H290" i="15" s="1"/>
  <c r="I290" i="15" s="1"/>
  <c r="J290" i="15" s="1"/>
  <c r="B277" i="17"/>
  <c r="C277" i="17" s="1"/>
  <c r="D277" i="17" s="1"/>
  <c r="G284" i="16"/>
  <c r="B276" i="17"/>
  <c r="C276" i="17" s="1"/>
  <c r="D276" i="17" s="1"/>
  <c r="G283" i="16"/>
  <c r="B275" i="17"/>
  <c r="C275" i="17" s="1"/>
  <c r="D275" i="17" s="1"/>
  <c r="G282" i="16"/>
  <c r="B274" i="17"/>
  <c r="C274" i="17" s="1"/>
  <c r="D274" i="17" s="1"/>
  <c r="G281" i="16"/>
  <c r="B273" i="17"/>
  <c r="C273" i="17" s="1"/>
  <c r="D273" i="17" s="1"/>
  <c r="G280" i="16"/>
  <c r="B272" i="17"/>
  <c r="C272" i="17" s="1"/>
  <c r="D272" i="17" s="1"/>
  <c r="G279" i="16"/>
  <c r="B271" i="17"/>
  <c r="C271" i="17" s="1"/>
  <c r="D271" i="17" s="1"/>
  <c r="G278" i="16"/>
  <c r="H278" i="16" s="1"/>
  <c r="I278" i="16" s="1"/>
  <c r="M278" i="16" s="1"/>
  <c r="N278" i="16" s="1"/>
  <c r="H283" i="15" s="1"/>
  <c r="I283" i="15" s="1"/>
  <c r="J283" i="15" s="1"/>
  <c r="B270" i="17"/>
  <c r="C270" i="17" s="1"/>
  <c r="D270" i="17" s="1"/>
  <c r="G277" i="16"/>
  <c r="B269" i="17"/>
  <c r="C269" i="17" s="1"/>
  <c r="D269" i="17" s="1"/>
  <c r="G276" i="16"/>
  <c r="B268" i="17"/>
  <c r="C268" i="17" s="1"/>
  <c r="D268" i="17" s="1"/>
  <c r="G275" i="16"/>
  <c r="H275" i="16" s="1"/>
  <c r="I275" i="16" s="1"/>
  <c r="M275" i="16" s="1"/>
  <c r="N275" i="16" s="1"/>
  <c r="H280" i="15" s="1"/>
  <c r="I280" i="15" s="1"/>
  <c r="J280" i="15" s="1"/>
  <c r="B267" i="17"/>
  <c r="C267" i="17" s="1"/>
  <c r="D267" i="17" s="1"/>
  <c r="G274" i="16"/>
  <c r="H274" i="16" s="1"/>
  <c r="I274" i="16" s="1"/>
  <c r="M274" i="16" s="1"/>
  <c r="N274" i="16" s="1"/>
  <c r="H279" i="15" s="1"/>
  <c r="I279" i="15" s="1"/>
  <c r="J279" i="15" s="1"/>
  <c r="B266" i="17"/>
  <c r="C266" i="17" s="1"/>
  <c r="D266" i="17" s="1"/>
  <c r="G273" i="16"/>
  <c r="H273" i="16" s="1"/>
  <c r="I273" i="16" s="1"/>
  <c r="M273" i="16" s="1"/>
  <c r="N273" i="16" s="1"/>
  <c r="H278" i="15" s="1"/>
  <c r="I278" i="15" s="1"/>
  <c r="J278" i="15" s="1"/>
  <c r="B265" i="17"/>
  <c r="C265" i="17" s="1"/>
  <c r="D265" i="17" s="1"/>
  <c r="G272" i="16"/>
  <c r="B264" i="17"/>
  <c r="C264" i="17" s="1"/>
  <c r="D264" i="17" s="1"/>
  <c r="G271" i="16"/>
  <c r="B263" i="17"/>
  <c r="C263" i="17" s="1"/>
  <c r="D263" i="17" s="1"/>
  <c r="G270" i="16"/>
  <c r="B262" i="17"/>
  <c r="C262" i="17" s="1"/>
  <c r="D262" i="17" s="1"/>
  <c r="G269" i="16"/>
  <c r="B261" i="17"/>
  <c r="C261" i="17" s="1"/>
  <c r="D261" i="17" s="1"/>
  <c r="G268" i="16"/>
  <c r="B260" i="17"/>
  <c r="C260" i="17" s="1"/>
  <c r="D260" i="17" s="1"/>
  <c r="G267" i="16"/>
  <c r="H267" i="16" s="1"/>
  <c r="I267" i="16" s="1"/>
  <c r="M267" i="16" s="1"/>
  <c r="N267" i="16" s="1"/>
  <c r="H272" i="15" s="1"/>
  <c r="I272" i="15" s="1"/>
  <c r="J272" i="15" s="1"/>
  <c r="B259" i="17"/>
  <c r="C259" i="17" s="1"/>
  <c r="D259" i="17" s="1"/>
  <c r="G266" i="16"/>
  <c r="H266" i="16" s="1"/>
  <c r="I266" i="16" s="1"/>
  <c r="M266" i="16" s="1"/>
  <c r="N266" i="16" s="1"/>
  <c r="H271" i="15" s="1"/>
  <c r="I271" i="15" s="1"/>
  <c r="J271" i="15" s="1"/>
  <c r="B258" i="17"/>
  <c r="C258" i="17" s="1"/>
  <c r="D258" i="17" s="1"/>
  <c r="G265" i="16"/>
  <c r="H265" i="16" s="1"/>
  <c r="I265" i="16" s="1"/>
  <c r="M265" i="16" s="1"/>
  <c r="N265" i="16" s="1"/>
  <c r="H270" i="15" s="1"/>
  <c r="I270" i="15" s="1"/>
  <c r="J270" i="15" s="1"/>
  <c r="B257" i="17"/>
  <c r="C257" i="17" s="1"/>
  <c r="D257" i="17" s="1"/>
  <c r="G264" i="16"/>
  <c r="H264" i="16" s="1"/>
  <c r="I264" i="16" s="1"/>
  <c r="M264" i="16" s="1"/>
  <c r="N264" i="16" s="1"/>
  <c r="H269" i="15" s="1"/>
  <c r="I269" i="15" s="1"/>
  <c r="J269" i="15" s="1"/>
  <c r="B256" i="17"/>
  <c r="C256" i="17" s="1"/>
  <c r="D256" i="17" s="1"/>
  <c r="G263" i="16"/>
  <c r="H263" i="16" s="1"/>
  <c r="I263" i="16" s="1"/>
  <c r="M263" i="16" s="1"/>
  <c r="N263" i="16" s="1"/>
  <c r="H268" i="15" s="1"/>
  <c r="I268" i="15" s="1"/>
  <c r="J268" i="15" s="1"/>
  <c r="B255" i="17"/>
  <c r="C255" i="17" s="1"/>
  <c r="D255" i="17" s="1"/>
  <c r="G262" i="16"/>
  <c r="B254" i="17"/>
  <c r="C254" i="17" s="1"/>
  <c r="D254" i="17" s="1"/>
  <c r="G261" i="16"/>
  <c r="H261" i="16" s="1"/>
  <c r="I261" i="16" s="1"/>
  <c r="M261" i="16" s="1"/>
  <c r="N261" i="16" s="1"/>
  <c r="H266" i="15" s="1"/>
  <c r="I266" i="15" s="1"/>
  <c r="J266" i="15" s="1"/>
  <c r="B253" i="17"/>
  <c r="C253" i="17" s="1"/>
  <c r="D253" i="17" s="1"/>
  <c r="G260" i="16"/>
  <c r="B252" i="17"/>
  <c r="C252" i="17" s="1"/>
  <c r="D252" i="17" s="1"/>
  <c r="G259" i="16"/>
  <c r="B251" i="17"/>
  <c r="C251" i="17" s="1"/>
  <c r="D251" i="17" s="1"/>
  <c r="G258" i="16"/>
  <c r="B250" i="17"/>
  <c r="C250" i="17" s="1"/>
  <c r="D250" i="17" s="1"/>
  <c r="G257" i="16"/>
  <c r="B249" i="17"/>
  <c r="C249" i="17" s="1"/>
  <c r="D249" i="17" s="1"/>
  <c r="G256" i="16"/>
  <c r="B248" i="17"/>
  <c r="C248" i="17" s="1"/>
  <c r="D248" i="17" s="1"/>
  <c r="G255" i="16"/>
  <c r="B247" i="17"/>
  <c r="C247" i="17" s="1"/>
  <c r="D247" i="17" s="1"/>
  <c r="G254" i="16"/>
  <c r="H254" i="16" s="1"/>
  <c r="I254" i="16" s="1"/>
  <c r="M254" i="16" s="1"/>
  <c r="N254" i="16" s="1"/>
  <c r="H259" i="15" s="1"/>
  <c r="I259" i="15" s="1"/>
  <c r="J259" i="15" s="1"/>
  <c r="B246" i="17"/>
  <c r="C246" i="17" s="1"/>
  <c r="D246" i="17" s="1"/>
  <c r="G253" i="16"/>
  <c r="B245" i="17"/>
  <c r="C245" i="17" s="1"/>
  <c r="D245" i="17" s="1"/>
  <c r="G252" i="16"/>
  <c r="B244" i="17"/>
  <c r="C244" i="17" s="1"/>
  <c r="D244" i="17" s="1"/>
  <c r="G251" i="16"/>
  <c r="H251" i="16" s="1"/>
  <c r="I251" i="16" s="1"/>
  <c r="M251" i="16" s="1"/>
  <c r="N251" i="16" s="1"/>
  <c r="H256" i="15" s="1"/>
  <c r="I256" i="15" s="1"/>
  <c r="J256" i="15" s="1"/>
  <c r="B243" i="17"/>
  <c r="C243" i="17" s="1"/>
  <c r="D243" i="17" s="1"/>
  <c r="G250" i="16"/>
  <c r="H250" i="16" s="1"/>
  <c r="I250" i="16" s="1"/>
  <c r="M250" i="16" s="1"/>
  <c r="N250" i="16" s="1"/>
  <c r="H255" i="15" s="1"/>
  <c r="I255" i="15" s="1"/>
  <c r="J255" i="15" s="1"/>
  <c r="B242" i="17"/>
  <c r="C242" i="17" s="1"/>
  <c r="D242" i="17" s="1"/>
  <c r="G249" i="16"/>
  <c r="H249" i="16" s="1"/>
  <c r="I249" i="16" s="1"/>
  <c r="M249" i="16" s="1"/>
  <c r="N249" i="16" s="1"/>
  <c r="H254" i="15" s="1"/>
  <c r="I254" i="15" s="1"/>
  <c r="J254" i="15" s="1"/>
  <c r="B241" i="17"/>
  <c r="C241" i="17" s="1"/>
  <c r="D241" i="17" s="1"/>
  <c r="G248" i="16"/>
  <c r="H248" i="16" s="1"/>
  <c r="I248" i="16" s="1"/>
  <c r="M248" i="16" s="1"/>
  <c r="N248" i="16" s="1"/>
  <c r="H253" i="15" s="1"/>
  <c r="I253" i="15" s="1"/>
  <c r="J253" i="15" s="1"/>
  <c r="B240" i="17"/>
  <c r="C240" i="17" s="1"/>
  <c r="D240" i="17" s="1"/>
  <c r="G247" i="16"/>
  <c r="H247" i="16" s="1"/>
  <c r="I247" i="16" s="1"/>
  <c r="M247" i="16" s="1"/>
  <c r="N247" i="16" s="1"/>
  <c r="H252" i="15" s="1"/>
  <c r="I252" i="15" s="1"/>
  <c r="J252" i="15" s="1"/>
  <c r="B239" i="17"/>
  <c r="C239" i="17" s="1"/>
  <c r="D239" i="17" s="1"/>
  <c r="G246" i="16"/>
  <c r="H246" i="16" s="1"/>
  <c r="I246" i="16" s="1"/>
  <c r="M246" i="16" s="1"/>
  <c r="N246" i="16" s="1"/>
  <c r="H251" i="15" s="1"/>
  <c r="I251" i="15" s="1"/>
  <c r="J251" i="15" s="1"/>
  <c r="B238" i="17"/>
  <c r="C238" i="17" s="1"/>
  <c r="D238" i="17" s="1"/>
  <c r="G245" i="16"/>
  <c r="H245" i="16" s="1"/>
  <c r="I245" i="16" s="1"/>
  <c r="M245" i="16" s="1"/>
  <c r="N245" i="16" s="1"/>
  <c r="H250" i="15" s="1"/>
  <c r="I250" i="15" s="1"/>
  <c r="J250" i="15" s="1"/>
  <c r="B237" i="17"/>
  <c r="C237" i="17" s="1"/>
  <c r="D237" i="17" s="1"/>
  <c r="G244" i="16"/>
  <c r="H244" i="16" s="1"/>
  <c r="I244" i="16" s="1"/>
  <c r="M244" i="16" s="1"/>
  <c r="N244" i="16" s="1"/>
  <c r="H249" i="15" s="1"/>
  <c r="I249" i="15" s="1"/>
  <c r="J249" i="15" s="1"/>
  <c r="B236" i="17"/>
  <c r="C236" i="17" s="1"/>
  <c r="D236" i="17" s="1"/>
  <c r="G243" i="16"/>
  <c r="H243" i="16" s="1"/>
  <c r="I243" i="16" s="1"/>
  <c r="M243" i="16" s="1"/>
  <c r="N243" i="16" s="1"/>
  <c r="H248" i="15" s="1"/>
  <c r="I248" i="15" s="1"/>
  <c r="J248" i="15" s="1"/>
  <c r="B235" i="17"/>
  <c r="C235" i="17" s="1"/>
  <c r="D235" i="17" s="1"/>
  <c r="G242" i="16"/>
  <c r="H242" i="16" s="1"/>
  <c r="I242" i="16" s="1"/>
  <c r="M242" i="16" s="1"/>
  <c r="N242" i="16" s="1"/>
  <c r="H247" i="15" s="1"/>
  <c r="I247" i="15" s="1"/>
  <c r="J247" i="15" s="1"/>
  <c r="B234" i="17"/>
  <c r="C234" i="17" s="1"/>
  <c r="D234" i="17" s="1"/>
  <c r="G241" i="16"/>
  <c r="H241" i="16" s="1"/>
  <c r="I241" i="16" s="1"/>
  <c r="M241" i="16" s="1"/>
  <c r="N241" i="16" s="1"/>
  <c r="H246" i="15" s="1"/>
  <c r="I246" i="15" s="1"/>
  <c r="J246" i="15" s="1"/>
  <c r="B233" i="17"/>
  <c r="C233" i="17" s="1"/>
  <c r="D233" i="17" s="1"/>
  <c r="G240" i="16"/>
  <c r="H240" i="16" s="1"/>
  <c r="I240" i="16" s="1"/>
  <c r="M240" i="16" s="1"/>
  <c r="N240" i="16" s="1"/>
  <c r="H245" i="15" s="1"/>
  <c r="I245" i="15" s="1"/>
  <c r="J245" i="15" s="1"/>
  <c r="B232" i="17"/>
  <c r="C232" i="17" s="1"/>
  <c r="D232" i="17" s="1"/>
  <c r="G239" i="16"/>
  <c r="H239" i="16" s="1"/>
  <c r="I239" i="16" s="1"/>
  <c r="M239" i="16" s="1"/>
  <c r="N239" i="16" s="1"/>
  <c r="H244" i="15" s="1"/>
  <c r="I244" i="15" s="1"/>
  <c r="J244" i="15" s="1"/>
  <c r="B231" i="17"/>
  <c r="C231" i="17" s="1"/>
  <c r="D231" i="17" s="1"/>
  <c r="G238" i="16"/>
  <c r="H238" i="16" s="1"/>
  <c r="I238" i="16" s="1"/>
  <c r="M238" i="16" s="1"/>
  <c r="N238" i="16" s="1"/>
  <c r="H243" i="15" s="1"/>
  <c r="I243" i="15" s="1"/>
  <c r="J243" i="15" s="1"/>
  <c r="B230" i="17"/>
  <c r="C230" i="17" s="1"/>
  <c r="D230" i="17" s="1"/>
  <c r="G237" i="16"/>
  <c r="B229" i="17"/>
  <c r="C229" i="17" s="1"/>
  <c r="D229" i="17" s="1"/>
  <c r="G236" i="16"/>
  <c r="H236" i="16" s="1"/>
  <c r="I236" i="16" s="1"/>
  <c r="M236" i="16" s="1"/>
  <c r="N236" i="16" s="1"/>
  <c r="H241" i="15" s="1"/>
  <c r="I241" i="15" s="1"/>
  <c r="J241" i="15" s="1"/>
  <c r="B228" i="17"/>
  <c r="C228" i="17" s="1"/>
  <c r="D228" i="17" s="1"/>
  <c r="G235" i="16"/>
  <c r="H235" i="16" s="1"/>
  <c r="I235" i="16" s="1"/>
  <c r="M235" i="16" s="1"/>
  <c r="N235" i="16" s="1"/>
  <c r="H240" i="15" s="1"/>
  <c r="I240" i="15" s="1"/>
  <c r="J240" i="15" s="1"/>
  <c r="B227" i="17"/>
  <c r="C227" i="17" s="1"/>
  <c r="D227" i="17" s="1"/>
  <c r="G234" i="16"/>
  <c r="H234" i="16" s="1"/>
  <c r="I234" i="16" s="1"/>
  <c r="M234" i="16" s="1"/>
  <c r="N234" i="16" s="1"/>
  <c r="H239" i="15" s="1"/>
  <c r="I239" i="15" s="1"/>
  <c r="J239" i="15" s="1"/>
  <c r="B226" i="17"/>
  <c r="C226" i="17" s="1"/>
  <c r="D226" i="17" s="1"/>
  <c r="G233" i="16"/>
  <c r="H233" i="16" s="1"/>
  <c r="I233" i="16" s="1"/>
  <c r="M233" i="16" s="1"/>
  <c r="N233" i="16" s="1"/>
  <c r="H238" i="15" s="1"/>
  <c r="I238" i="15" s="1"/>
  <c r="J238" i="15" s="1"/>
  <c r="B225" i="17"/>
  <c r="C225" i="17" s="1"/>
  <c r="D225" i="17" s="1"/>
  <c r="G232" i="16"/>
  <c r="H232" i="16" s="1"/>
  <c r="I232" i="16" s="1"/>
  <c r="M232" i="16" s="1"/>
  <c r="N232" i="16" s="1"/>
  <c r="H237" i="15" s="1"/>
  <c r="I237" i="15" s="1"/>
  <c r="J237" i="15" s="1"/>
  <c r="B224" i="17"/>
  <c r="C224" i="17" s="1"/>
  <c r="D224" i="17" s="1"/>
  <c r="G231" i="16"/>
  <c r="H231" i="16" s="1"/>
  <c r="I231" i="16" s="1"/>
  <c r="M231" i="16" s="1"/>
  <c r="N231" i="16" s="1"/>
  <c r="H236" i="15" s="1"/>
  <c r="I236" i="15" s="1"/>
  <c r="J236" i="15" s="1"/>
  <c r="B223" i="17"/>
  <c r="C223" i="17" s="1"/>
  <c r="D223" i="17" s="1"/>
  <c r="G230" i="16"/>
  <c r="B222" i="17"/>
  <c r="C222" i="17" s="1"/>
  <c r="D222" i="17" s="1"/>
  <c r="G229" i="16"/>
  <c r="B221" i="17"/>
  <c r="C221" i="17" s="1"/>
  <c r="D221" i="17" s="1"/>
  <c r="G228" i="16"/>
  <c r="H228" i="16" s="1"/>
  <c r="I228" i="16" s="1"/>
  <c r="M228" i="16" s="1"/>
  <c r="N228" i="16" s="1"/>
  <c r="H233" i="15" s="1"/>
  <c r="I233" i="15" s="1"/>
  <c r="J233" i="15" s="1"/>
  <c r="B220" i="17"/>
  <c r="C220" i="17" s="1"/>
  <c r="D220" i="17" s="1"/>
  <c r="G227" i="16"/>
  <c r="H227" i="16" s="1"/>
  <c r="I227" i="16" s="1"/>
  <c r="M227" i="16" s="1"/>
  <c r="N227" i="16" s="1"/>
  <c r="H232" i="15" s="1"/>
  <c r="I232" i="15" s="1"/>
  <c r="J232" i="15" s="1"/>
  <c r="B219" i="17"/>
  <c r="C219" i="17" s="1"/>
  <c r="D219" i="17" s="1"/>
  <c r="G226" i="16"/>
  <c r="B218" i="17"/>
  <c r="C218" i="17" s="1"/>
  <c r="D218" i="17" s="1"/>
  <c r="G225" i="16"/>
  <c r="B217" i="17"/>
  <c r="C217" i="17" s="1"/>
  <c r="D217" i="17" s="1"/>
  <c r="G224" i="16"/>
  <c r="B216" i="17"/>
  <c r="C216" i="17" s="1"/>
  <c r="D216" i="17" s="1"/>
  <c r="G223" i="16"/>
  <c r="B215" i="17"/>
  <c r="C215" i="17" s="1"/>
  <c r="D215" i="17" s="1"/>
  <c r="G222" i="16"/>
  <c r="H222" i="16" s="1"/>
  <c r="I222" i="16" s="1"/>
  <c r="M222" i="16" s="1"/>
  <c r="N222" i="16" s="1"/>
  <c r="H227" i="15" s="1"/>
  <c r="I227" i="15" s="1"/>
  <c r="J227" i="15" s="1"/>
  <c r="B214" i="17"/>
  <c r="C214" i="17" s="1"/>
  <c r="D214" i="17" s="1"/>
  <c r="G221" i="16"/>
  <c r="H221" i="16" s="1"/>
  <c r="I221" i="16" s="1"/>
  <c r="M221" i="16" s="1"/>
  <c r="N221" i="16" s="1"/>
  <c r="H226" i="15" s="1"/>
  <c r="I226" i="15" s="1"/>
  <c r="J226" i="15" s="1"/>
  <c r="B213" i="17"/>
  <c r="C213" i="17" s="1"/>
  <c r="D213" i="17" s="1"/>
  <c r="G220" i="16"/>
  <c r="B212" i="17"/>
  <c r="C212" i="17" s="1"/>
  <c r="D212" i="17" s="1"/>
  <c r="G219" i="16"/>
  <c r="B211" i="17"/>
  <c r="C211" i="17" s="1"/>
  <c r="D211" i="17" s="1"/>
  <c r="G218" i="16"/>
  <c r="B210" i="17"/>
  <c r="C210" i="17" s="1"/>
  <c r="D210" i="17" s="1"/>
  <c r="G217" i="16"/>
  <c r="B209" i="17"/>
  <c r="C209" i="17" s="1"/>
  <c r="D209" i="17" s="1"/>
  <c r="G216" i="16"/>
  <c r="H216" i="16" s="1"/>
  <c r="I216" i="16" s="1"/>
  <c r="M216" i="16" s="1"/>
  <c r="N216" i="16" s="1"/>
  <c r="H221" i="15" s="1"/>
  <c r="I221" i="15" s="1"/>
  <c r="J221" i="15" s="1"/>
  <c r="B208" i="17"/>
  <c r="C208" i="17" s="1"/>
  <c r="D208" i="17" s="1"/>
  <c r="G215" i="16"/>
  <c r="B207" i="17"/>
  <c r="C207" i="17" s="1"/>
  <c r="D207" i="17" s="1"/>
  <c r="G214" i="16"/>
  <c r="B206" i="17"/>
  <c r="C206" i="17" s="1"/>
  <c r="D206" i="17" s="1"/>
  <c r="G213" i="16"/>
  <c r="B205" i="17"/>
  <c r="C205" i="17" s="1"/>
  <c r="D205" i="17" s="1"/>
  <c r="G212" i="16"/>
  <c r="B204" i="17"/>
  <c r="C204" i="17" s="1"/>
  <c r="D204" i="17" s="1"/>
  <c r="G211" i="16"/>
  <c r="B203" i="17"/>
  <c r="C203" i="17" s="1"/>
  <c r="D203" i="17" s="1"/>
  <c r="G210" i="16"/>
  <c r="H210" i="16" s="1"/>
  <c r="I210" i="16" s="1"/>
  <c r="M210" i="16" s="1"/>
  <c r="N210" i="16" s="1"/>
  <c r="H215" i="15" s="1"/>
  <c r="I215" i="15" s="1"/>
  <c r="J215" i="15" s="1"/>
  <c r="B202" i="17"/>
  <c r="C202" i="17" s="1"/>
  <c r="D202" i="17" s="1"/>
  <c r="G209" i="16"/>
  <c r="H209" i="16" s="1"/>
  <c r="I209" i="16" s="1"/>
  <c r="M209" i="16" s="1"/>
  <c r="N209" i="16" s="1"/>
  <c r="H214" i="15" s="1"/>
  <c r="I214" i="15" s="1"/>
  <c r="J214" i="15" s="1"/>
  <c r="B201" i="17"/>
  <c r="C201" i="17" s="1"/>
  <c r="D201" i="17" s="1"/>
  <c r="G208" i="16"/>
  <c r="H208" i="16" s="1"/>
  <c r="I208" i="16" s="1"/>
  <c r="M208" i="16" s="1"/>
  <c r="N208" i="16" s="1"/>
  <c r="H213" i="15" s="1"/>
  <c r="I213" i="15" s="1"/>
  <c r="J213" i="15" s="1"/>
  <c r="B200" i="17"/>
  <c r="C200" i="17" s="1"/>
  <c r="D200" i="17" s="1"/>
  <c r="G207" i="16"/>
  <c r="H207" i="16" s="1"/>
  <c r="I207" i="16" s="1"/>
  <c r="M207" i="16" s="1"/>
  <c r="N207" i="16" s="1"/>
  <c r="H212" i="15" s="1"/>
  <c r="I212" i="15" s="1"/>
  <c r="J212" i="15" s="1"/>
  <c r="B199" i="17"/>
  <c r="C199" i="17" s="1"/>
  <c r="D199" i="17" s="1"/>
  <c r="G206" i="16"/>
  <c r="H206" i="16" s="1"/>
  <c r="I206" i="16" s="1"/>
  <c r="M206" i="16" s="1"/>
  <c r="N206" i="16" s="1"/>
  <c r="H211" i="15" s="1"/>
  <c r="I211" i="15" s="1"/>
  <c r="J211" i="15" s="1"/>
  <c r="B198" i="17"/>
  <c r="C198" i="17" s="1"/>
  <c r="D198" i="17" s="1"/>
  <c r="G205" i="16"/>
  <c r="H205" i="16" s="1"/>
  <c r="I205" i="16" s="1"/>
  <c r="M205" i="16" s="1"/>
  <c r="N205" i="16" s="1"/>
  <c r="H210" i="15" s="1"/>
  <c r="I210" i="15" s="1"/>
  <c r="J210" i="15" s="1"/>
  <c r="B197" i="17"/>
  <c r="C197" i="17" s="1"/>
  <c r="D197" i="17" s="1"/>
  <c r="G204" i="16"/>
  <c r="H204" i="16" s="1"/>
  <c r="I204" i="16" s="1"/>
  <c r="M204" i="16" s="1"/>
  <c r="N204" i="16" s="1"/>
  <c r="H209" i="15" s="1"/>
  <c r="I209" i="15" s="1"/>
  <c r="J209" i="15" s="1"/>
  <c r="B196" i="17"/>
  <c r="C196" i="17" s="1"/>
  <c r="D196" i="17" s="1"/>
  <c r="G203" i="16"/>
  <c r="H203" i="16" s="1"/>
  <c r="I203" i="16" s="1"/>
  <c r="M203" i="16" s="1"/>
  <c r="N203" i="16" s="1"/>
  <c r="H208" i="15" s="1"/>
  <c r="I208" i="15" s="1"/>
  <c r="J208" i="15" s="1"/>
  <c r="B195" i="17"/>
  <c r="C195" i="17" s="1"/>
  <c r="D195" i="17" s="1"/>
  <c r="G202" i="16"/>
  <c r="B194" i="17"/>
  <c r="C194" i="17" s="1"/>
  <c r="D194" i="17" s="1"/>
  <c r="G201" i="16"/>
  <c r="B193" i="17"/>
  <c r="C193" i="17" s="1"/>
  <c r="D193" i="17" s="1"/>
  <c r="G200" i="16"/>
  <c r="B192" i="17"/>
  <c r="C192" i="17" s="1"/>
  <c r="D192" i="17" s="1"/>
  <c r="G199" i="16"/>
  <c r="B191" i="17"/>
  <c r="C191" i="17" s="1"/>
  <c r="D191" i="17" s="1"/>
  <c r="G198" i="16"/>
  <c r="B190" i="17"/>
  <c r="C190" i="17" s="1"/>
  <c r="D190" i="17" s="1"/>
  <c r="G197" i="16"/>
  <c r="H197" i="16" s="1"/>
  <c r="I197" i="16" s="1"/>
  <c r="M197" i="16" s="1"/>
  <c r="N197" i="16" s="1"/>
  <c r="H202" i="15" s="1"/>
  <c r="I202" i="15" s="1"/>
  <c r="J202" i="15" s="1"/>
  <c r="B189" i="17"/>
  <c r="C189" i="17" s="1"/>
  <c r="D189" i="17" s="1"/>
  <c r="G196" i="16"/>
  <c r="B188" i="17"/>
  <c r="C188" i="17" s="1"/>
  <c r="D188" i="17" s="1"/>
  <c r="G195" i="16"/>
  <c r="B187" i="17"/>
  <c r="C187" i="17" s="1"/>
  <c r="D187" i="17" s="1"/>
  <c r="G194" i="16"/>
  <c r="B186" i="17"/>
  <c r="C186" i="17" s="1"/>
  <c r="D186" i="17" s="1"/>
  <c r="G193" i="16"/>
  <c r="B185" i="17"/>
  <c r="C185" i="17" s="1"/>
  <c r="D185" i="17" s="1"/>
  <c r="G192" i="16"/>
  <c r="B184" i="17"/>
  <c r="C184" i="17" s="1"/>
  <c r="D184" i="17" s="1"/>
  <c r="G191" i="16"/>
  <c r="H191" i="16" s="1"/>
  <c r="I191" i="16" s="1"/>
  <c r="M191" i="16" s="1"/>
  <c r="N191" i="16" s="1"/>
  <c r="H196" i="15" s="1"/>
  <c r="I196" i="15" s="1"/>
  <c r="J196" i="15" s="1"/>
  <c r="B183" i="17"/>
  <c r="C183" i="17" s="1"/>
  <c r="D183" i="17" s="1"/>
  <c r="G190" i="16"/>
  <c r="B182" i="17"/>
  <c r="C182" i="17" s="1"/>
  <c r="D182" i="17" s="1"/>
  <c r="G189" i="16"/>
  <c r="B181" i="17"/>
  <c r="C181" i="17" s="1"/>
  <c r="D181" i="17" s="1"/>
  <c r="G188" i="16"/>
  <c r="B180" i="17"/>
  <c r="C180" i="17" s="1"/>
  <c r="D180" i="17" s="1"/>
  <c r="G187" i="16"/>
  <c r="B179" i="17"/>
  <c r="C179" i="17" s="1"/>
  <c r="D179" i="17" s="1"/>
  <c r="G186" i="16"/>
  <c r="B178" i="17"/>
  <c r="C178" i="17" s="1"/>
  <c r="D178" i="17" s="1"/>
  <c r="G185" i="16"/>
  <c r="B177" i="17"/>
  <c r="C177" i="17" s="1"/>
  <c r="D177" i="17" s="1"/>
  <c r="G184" i="16"/>
  <c r="B176" i="17"/>
  <c r="C176" i="17" s="1"/>
  <c r="D176" i="17" s="1"/>
  <c r="G183" i="16"/>
  <c r="H183" i="16" s="1"/>
  <c r="I183" i="16" s="1"/>
  <c r="M183" i="16" s="1"/>
  <c r="N183" i="16" s="1"/>
  <c r="H188" i="15" s="1"/>
  <c r="I188" i="15" s="1"/>
  <c r="J188" i="15" s="1"/>
  <c r="B175" i="17"/>
  <c r="C175" i="17" s="1"/>
  <c r="D175" i="17" s="1"/>
  <c r="G182" i="16"/>
  <c r="H182" i="16" s="1"/>
  <c r="I182" i="16" s="1"/>
  <c r="M182" i="16" s="1"/>
  <c r="N182" i="16" s="1"/>
  <c r="H187" i="15" s="1"/>
  <c r="I187" i="15" s="1"/>
  <c r="J187" i="15" s="1"/>
  <c r="B174" i="17"/>
  <c r="C174" i="17" s="1"/>
  <c r="D174" i="17" s="1"/>
  <c r="G181" i="16"/>
  <c r="H181" i="16" s="1"/>
  <c r="I181" i="16" s="1"/>
  <c r="M181" i="16" s="1"/>
  <c r="N181" i="16" s="1"/>
  <c r="H186" i="15" s="1"/>
  <c r="I186" i="15" s="1"/>
  <c r="J186" i="15" s="1"/>
  <c r="B173" i="17"/>
  <c r="C173" i="17" s="1"/>
  <c r="D173" i="17" s="1"/>
  <c r="G180" i="16"/>
  <c r="B172" i="17"/>
  <c r="C172" i="17" s="1"/>
  <c r="D172" i="17" s="1"/>
  <c r="G179" i="16"/>
  <c r="H179" i="16" s="1"/>
  <c r="I179" i="16" s="1"/>
  <c r="M179" i="16" s="1"/>
  <c r="N179" i="16" s="1"/>
  <c r="H184" i="15" s="1"/>
  <c r="I184" i="15" s="1"/>
  <c r="J184" i="15" s="1"/>
  <c r="B171" i="17"/>
  <c r="C171" i="17" s="1"/>
  <c r="D171" i="17" s="1"/>
  <c r="G178" i="16"/>
  <c r="H178" i="16" s="1"/>
  <c r="I178" i="16" s="1"/>
  <c r="M178" i="16" s="1"/>
  <c r="N178" i="16" s="1"/>
  <c r="H183" i="15" s="1"/>
  <c r="I183" i="15" s="1"/>
  <c r="J183" i="15" s="1"/>
  <c r="B170" i="17"/>
  <c r="C170" i="17" s="1"/>
  <c r="D170" i="17" s="1"/>
  <c r="G177" i="16"/>
  <c r="H177" i="16" s="1"/>
  <c r="I177" i="16" s="1"/>
  <c r="M177" i="16" s="1"/>
  <c r="N177" i="16" s="1"/>
  <c r="H182" i="15" s="1"/>
  <c r="I182" i="15" s="1"/>
  <c r="J182" i="15" s="1"/>
  <c r="B169" i="17"/>
  <c r="C169" i="17" s="1"/>
  <c r="D169" i="17" s="1"/>
  <c r="G176" i="16"/>
  <c r="H176" i="16" s="1"/>
  <c r="I176" i="16" s="1"/>
  <c r="M176" i="16" s="1"/>
  <c r="N176" i="16" s="1"/>
  <c r="H181" i="15" s="1"/>
  <c r="I181" i="15" s="1"/>
  <c r="J181" i="15" s="1"/>
  <c r="B168" i="17"/>
  <c r="C168" i="17" s="1"/>
  <c r="D168" i="17" s="1"/>
  <c r="G175" i="16"/>
  <c r="H175" i="16" s="1"/>
  <c r="I175" i="16" s="1"/>
  <c r="M175" i="16" s="1"/>
  <c r="N175" i="16" s="1"/>
  <c r="H180" i="15" s="1"/>
  <c r="I180" i="15" s="1"/>
  <c r="J180" i="15" s="1"/>
  <c r="B167" i="17"/>
  <c r="C167" i="17" s="1"/>
  <c r="D167" i="17" s="1"/>
  <c r="G174" i="16"/>
  <c r="B166" i="17"/>
  <c r="C166" i="17" s="1"/>
  <c r="D166" i="17" s="1"/>
  <c r="G173" i="16"/>
  <c r="H173" i="16" s="1"/>
  <c r="I173" i="16" s="1"/>
  <c r="M173" i="16" s="1"/>
  <c r="N173" i="16" s="1"/>
  <c r="H178" i="15" s="1"/>
  <c r="I178" i="15" s="1"/>
  <c r="J178" i="15" s="1"/>
  <c r="B165" i="17"/>
  <c r="C165" i="17" s="1"/>
  <c r="D165" i="17" s="1"/>
  <c r="G172" i="16"/>
  <c r="H172" i="16" s="1"/>
  <c r="I172" i="16" s="1"/>
  <c r="M172" i="16" s="1"/>
  <c r="N172" i="16" s="1"/>
  <c r="H177" i="15" s="1"/>
  <c r="I177" i="15" s="1"/>
  <c r="J177" i="15" s="1"/>
  <c r="B164" i="17"/>
  <c r="C164" i="17" s="1"/>
  <c r="D164" i="17" s="1"/>
  <c r="G171" i="16"/>
  <c r="B163" i="17"/>
  <c r="C163" i="17" s="1"/>
  <c r="D163" i="17" s="1"/>
  <c r="G170" i="16"/>
  <c r="H170" i="16" s="1"/>
  <c r="I170" i="16" s="1"/>
  <c r="M170" i="16" s="1"/>
  <c r="N170" i="16" s="1"/>
  <c r="H175" i="15" s="1"/>
  <c r="I175" i="15" s="1"/>
  <c r="J175" i="15" s="1"/>
  <c r="B162" i="17"/>
  <c r="C162" i="17" s="1"/>
  <c r="D162" i="17" s="1"/>
  <c r="G169" i="16"/>
  <c r="B161" i="17"/>
  <c r="C161" i="17" s="1"/>
  <c r="D161" i="17" s="1"/>
  <c r="G168" i="16"/>
  <c r="H168" i="16" s="1"/>
  <c r="I168" i="16" s="1"/>
  <c r="M168" i="16" s="1"/>
  <c r="N168" i="16" s="1"/>
  <c r="H173" i="15" s="1"/>
  <c r="I173" i="15" s="1"/>
  <c r="J173" i="15" s="1"/>
  <c r="B160" i="17"/>
  <c r="C160" i="17" s="1"/>
  <c r="D160" i="17" s="1"/>
  <c r="G167" i="16"/>
  <c r="H167" i="16" s="1"/>
  <c r="I167" i="16" s="1"/>
  <c r="M167" i="16" s="1"/>
  <c r="N167" i="16" s="1"/>
  <c r="H172" i="15" s="1"/>
  <c r="I172" i="15" s="1"/>
  <c r="J172" i="15" s="1"/>
  <c r="B159" i="17"/>
  <c r="C159" i="17" s="1"/>
  <c r="D159" i="17" s="1"/>
  <c r="G166" i="16"/>
  <c r="H166" i="16" s="1"/>
  <c r="I166" i="16" s="1"/>
  <c r="M166" i="16" s="1"/>
  <c r="N166" i="16" s="1"/>
  <c r="H171" i="15" s="1"/>
  <c r="I171" i="15" s="1"/>
  <c r="J171" i="15" s="1"/>
  <c r="B158" i="17"/>
  <c r="C158" i="17" s="1"/>
  <c r="D158" i="17" s="1"/>
  <c r="G165" i="16"/>
  <c r="H165" i="16" s="1"/>
  <c r="I165" i="16" s="1"/>
  <c r="M165" i="16" s="1"/>
  <c r="N165" i="16" s="1"/>
  <c r="H170" i="15" s="1"/>
  <c r="I170" i="15" s="1"/>
  <c r="J170" i="15" s="1"/>
  <c r="B157" i="17"/>
  <c r="C157" i="17" s="1"/>
  <c r="D157" i="17" s="1"/>
  <c r="G164" i="16"/>
  <c r="H164" i="16" s="1"/>
  <c r="I164" i="16" s="1"/>
  <c r="M164" i="16" s="1"/>
  <c r="N164" i="16" s="1"/>
  <c r="H169" i="15" s="1"/>
  <c r="I169" i="15" s="1"/>
  <c r="J169" i="15" s="1"/>
  <c r="B156" i="17"/>
  <c r="C156" i="17" s="1"/>
  <c r="D156" i="17" s="1"/>
  <c r="G163" i="16"/>
  <c r="H163" i="16" s="1"/>
  <c r="I163" i="16" s="1"/>
  <c r="M163" i="16" s="1"/>
  <c r="N163" i="16" s="1"/>
  <c r="H168" i="15" s="1"/>
  <c r="I168" i="15" s="1"/>
  <c r="J168" i="15" s="1"/>
  <c r="B155" i="17"/>
  <c r="C155" i="17" s="1"/>
  <c r="D155" i="17" s="1"/>
  <c r="G162" i="16"/>
  <c r="B154" i="17"/>
  <c r="C154" i="17" s="1"/>
  <c r="D154" i="17" s="1"/>
  <c r="G161" i="16"/>
  <c r="H161" i="16" s="1"/>
  <c r="I161" i="16" s="1"/>
  <c r="M161" i="16" s="1"/>
  <c r="N161" i="16" s="1"/>
  <c r="H166" i="15" s="1"/>
  <c r="I166" i="15" s="1"/>
  <c r="J166" i="15" s="1"/>
  <c r="B153" i="17"/>
  <c r="C153" i="17" s="1"/>
  <c r="D153" i="17" s="1"/>
  <c r="G160" i="16"/>
  <c r="B152" i="17"/>
  <c r="C152" i="17" s="1"/>
  <c r="D152" i="17" s="1"/>
  <c r="G159" i="16"/>
  <c r="B151" i="17"/>
  <c r="C151" i="17" s="1"/>
  <c r="D151" i="17" s="1"/>
  <c r="G158" i="16"/>
  <c r="B150" i="17"/>
  <c r="C150" i="17" s="1"/>
  <c r="D150" i="17" s="1"/>
  <c r="G157" i="16"/>
  <c r="B149" i="17"/>
  <c r="C149" i="17" s="1"/>
  <c r="D149" i="17" s="1"/>
  <c r="G156" i="16"/>
  <c r="B148" i="17"/>
  <c r="C148" i="17" s="1"/>
  <c r="D148" i="17" s="1"/>
  <c r="G155" i="16"/>
  <c r="H155" i="16" s="1"/>
  <c r="I155" i="16" s="1"/>
  <c r="M155" i="16" s="1"/>
  <c r="N155" i="16" s="1"/>
  <c r="H160" i="15" s="1"/>
  <c r="I160" i="15" s="1"/>
  <c r="J160" i="15" s="1"/>
  <c r="B147" i="17"/>
  <c r="C147" i="17" s="1"/>
  <c r="D147" i="17" s="1"/>
  <c r="G154" i="16"/>
  <c r="B146" i="17"/>
  <c r="C146" i="17" s="1"/>
  <c r="D146" i="17" s="1"/>
  <c r="G153" i="16"/>
  <c r="H153" i="16" s="1"/>
  <c r="I153" i="16" s="1"/>
  <c r="M153" i="16" s="1"/>
  <c r="N153" i="16" s="1"/>
  <c r="H158" i="15" s="1"/>
  <c r="I158" i="15" s="1"/>
  <c r="J158" i="15" s="1"/>
  <c r="B145" i="17"/>
  <c r="C145" i="17" s="1"/>
  <c r="D145" i="17" s="1"/>
  <c r="G152" i="16"/>
  <c r="H152" i="16" s="1"/>
  <c r="I152" i="16" s="1"/>
  <c r="M152" i="16" s="1"/>
  <c r="N152" i="16" s="1"/>
  <c r="H157" i="15" s="1"/>
  <c r="I157" i="15" s="1"/>
  <c r="J157" i="15" s="1"/>
  <c r="B144" i="17"/>
  <c r="C144" i="17" s="1"/>
  <c r="D144" i="17" s="1"/>
  <c r="G151" i="16"/>
  <c r="B143" i="17"/>
  <c r="C143" i="17" s="1"/>
  <c r="D143" i="17" s="1"/>
  <c r="G150" i="16"/>
  <c r="H150" i="16" s="1"/>
  <c r="I150" i="16" s="1"/>
  <c r="M150" i="16" s="1"/>
  <c r="N150" i="16" s="1"/>
  <c r="H155" i="15" s="1"/>
  <c r="I155" i="15" s="1"/>
  <c r="J155" i="15" s="1"/>
  <c r="B142" i="17"/>
  <c r="C142" i="17" s="1"/>
  <c r="D142" i="17" s="1"/>
  <c r="G149" i="16"/>
  <c r="H149" i="16" s="1"/>
  <c r="I149" i="16" s="1"/>
  <c r="M149" i="16" s="1"/>
  <c r="N149" i="16" s="1"/>
  <c r="H154" i="15" s="1"/>
  <c r="I154" i="15" s="1"/>
  <c r="J154" i="15" s="1"/>
  <c r="B141" i="17"/>
  <c r="C141" i="17" s="1"/>
  <c r="D141" i="17" s="1"/>
  <c r="G148" i="16"/>
  <c r="H148" i="16" s="1"/>
  <c r="I148" i="16" s="1"/>
  <c r="M148" i="16" s="1"/>
  <c r="N148" i="16" s="1"/>
  <c r="H153" i="15" s="1"/>
  <c r="I153" i="15" s="1"/>
  <c r="J153" i="15" s="1"/>
  <c r="B140" i="17"/>
  <c r="C140" i="17" s="1"/>
  <c r="D140" i="17" s="1"/>
  <c r="G147" i="16"/>
  <c r="B139" i="17"/>
  <c r="C139" i="17" s="1"/>
  <c r="D139" i="17" s="1"/>
  <c r="G146" i="16"/>
  <c r="H146" i="16" s="1"/>
  <c r="I146" i="16" s="1"/>
  <c r="M146" i="16" s="1"/>
  <c r="N146" i="16" s="1"/>
  <c r="H151" i="15" s="1"/>
  <c r="I151" i="15" s="1"/>
  <c r="J151" i="15" s="1"/>
  <c r="B138" i="17"/>
  <c r="C138" i="17" s="1"/>
  <c r="D138" i="17" s="1"/>
  <c r="G145" i="16"/>
  <c r="B137" i="17"/>
  <c r="C137" i="17" s="1"/>
  <c r="D137" i="17" s="1"/>
  <c r="G144" i="16"/>
  <c r="B136" i="17"/>
  <c r="C136" i="17" s="1"/>
  <c r="D136" i="17" s="1"/>
  <c r="G143" i="16"/>
  <c r="B135" i="17"/>
  <c r="C135" i="17" s="1"/>
  <c r="D135" i="17" s="1"/>
  <c r="G142" i="16"/>
  <c r="B134" i="17"/>
  <c r="C134" i="17" s="1"/>
  <c r="D134" i="17" s="1"/>
  <c r="G141" i="16"/>
  <c r="B133" i="17"/>
  <c r="C133" i="17" s="1"/>
  <c r="D133" i="17" s="1"/>
  <c r="G140" i="16"/>
  <c r="H140" i="16" s="1"/>
  <c r="I140" i="16" s="1"/>
  <c r="M140" i="16" s="1"/>
  <c r="N140" i="16" s="1"/>
  <c r="H145" i="15" s="1"/>
  <c r="I145" i="15" s="1"/>
  <c r="J145" i="15" s="1"/>
  <c r="B132" i="17"/>
  <c r="C132" i="17" s="1"/>
  <c r="D132" i="17" s="1"/>
  <c r="G139" i="16"/>
  <c r="B131" i="17"/>
  <c r="C131" i="17" s="1"/>
  <c r="D131" i="17" s="1"/>
  <c r="G138" i="16"/>
  <c r="B130" i="17"/>
  <c r="C130" i="17" s="1"/>
  <c r="D130" i="17" s="1"/>
  <c r="G137" i="16"/>
  <c r="B129" i="17"/>
  <c r="C129" i="17" s="1"/>
  <c r="D129" i="17" s="1"/>
  <c r="G136" i="16"/>
  <c r="H136" i="16" s="1"/>
  <c r="I136" i="16" s="1"/>
  <c r="M136" i="16" s="1"/>
  <c r="N136" i="16" s="1"/>
  <c r="H141" i="15" s="1"/>
  <c r="I141" i="15" s="1"/>
  <c r="J141" i="15" s="1"/>
  <c r="B128" i="17"/>
  <c r="C128" i="17" s="1"/>
  <c r="D128" i="17" s="1"/>
  <c r="G135" i="16"/>
  <c r="H135" i="16" s="1"/>
  <c r="I135" i="16" s="1"/>
  <c r="M135" i="16" s="1"/>
  <c r="N135" i="16" s="1"/>
  <c r="H140" i="15" s="1"/>
  <c r="I140" i="15" s="1"/>
  <c r="J140" i="15" s="1"/>
  <c r="B127" i="17"/>
  <c r="C127" i="17" s="1"/>
  <c r="D127" i="17" s="1"/>
  <c r="G134" i="16"/>
  <c r="B126" i="17"/>
  <c r="C126" i="17" s="1"/>
  <c r="D126" i="17" s="1"/>
  <c r="G133" i="16"/>
  <c r="B125" i="17"/>
  <c r="C125" i="17" s="1"/>
  <c r="D125" i="17" s="1"/>
  <c r="G132" i="16"/>
  <c r="B124" i="17"/>
  <c r="C124" i="17" s="1"/>
  <c r="D124" i="17" s="1"/>
  <c r="G131" i="16"/>
  <c r="B123" i="17"/>
  <c r="C123" i="17" s="1"/>
  <c r="D123" i="17" s="1"/>
  <c r="G130" i="16"/>
  <c r="B122" i="17"/>
  <c r="C122" i="17" s="1"/>
  <c r="D122" i="17" s="1"/>
  <c r="G129" i="16"/>
  <c r="B121" i="17"/>
  <c r="C121" i="17" s="1"/>
  <c r="D121" i="17" s="1"/>
  <c r="G128" i="16"/>
  <c r="B120" i="17"/>
  <c r="C120" i="17" s="1"/>
  <c r="D120" i="17" s="1"/>
  <c r="G127" i="16"/>
  <c r="B119" i="17"/>
  <c r="C119" i="17" s="1"/>
  <c r="D119" i="17" s="1"/>
  <c r="G126" i="16"/>
  <c r="H126" i="16" s="1"/>
  <c r="I126" i="16" s="1"/>
  <c r="M126" i="16" s="1"/>
  <c r="N126" i="16" s="1"/>
  <c r="H131" i="15" s="1"/>
  <c r="I131" i="15" s="1"/>
  <c r="J131" i="15" s="1"/>
  <c r="B118" i="17"/>
  <c r="C118" i="17" s="1"/>
  <c r="D118" i="17" s="1"/>
  <c r="G125" i="16"/>
  <c r="B117" i="17"/>
  <c r="C117" i="17" s="1"/>
  <c r="D117" i="17" s="1"/>
  <c r="G124" i="16"/>
  <c r="B116" i="17"/>
  <c r="C116" i="17" s="1"/>
  <c r="D116" i="17" s="1"/>
  <c r="G123" i="16"/>
  <c r="B115" i="17"/>
  <c r="C115" i="17" s="1"/>
  <c r="D115" i="17" s="1"/>
  <c r="G122" i="16"/>
  <c r="B114" i="17"/>
  <c r="C114" i="17" s="1"/>
  <c r="D114" i="17" s="1"/>
  <c r="G121" i="16"/>
  <c r="B113" i="17"/>
  <c r="C113" i="17" s="1"/>
  <c r="D113" i="17" s="1"/>
  <c r="G120" i="16"/>
  <c r="B112" i="17"/>
  <c r="C112" i="17" s="1"/>
  <c r="D112" i="17" s="1"/>
  <c r="G119" i="16"/>
  <c r="B111" i="17"/>
  <c r="C111" i="17" s="1"/>
  <c r="D111" i="17" s="1"/>
  <c r="G118" i="16"/>
  <c r="H118" i="16" s="1"/>
  <c r="I118" i="16" s="1"/>
  <c r="M118" i="16" s="1"/>
  <c r="N118" i="16" s="1"/>
  <c r="H123" i="15" s="1"/>
  <c r="I123" i="15" s="1"/>
  <c r="J123" i="15" s="1"/>
  <c r="B110" i="17"/>
  <c r="C110" i="17" s="1"/>
  <c r="D110" i="17" s="1"/>
  <c r="G117" i="16"/>
  <c r="H117" i="16" s="1"/>
  <c r="I117" i="16" s="1"/>
  <c r="M117" i="16" s="1"/>
  <c r="N117" i="16" s="1"/>
  <c r="H122" i="15" s="1"/>
  <c r="I122" i="15" s="1"/>
  <c r="J122" i="15" s="1"/>
  <c r="B109" i="17"/>
  <c r="C109" i="17" s="1"/>
  <c r="D109" i="17" s="1"/>
  <c r="G116" i="16"/>
  <c r="H116" i="16" s="1"/>
  <c r="I116" i="16" s="1"/>
  <c r="M116" i="16" s="1"/>
  <c r="N116" i="16" s="1"/>
  <c r="H121" i="15" s="1"/>
  <c r="I121" i="15" s="1"/>
  <c r="J121" i="15" s="1"/>
  <c r="B108" i="17"/>
  <c r="C108" i="17" s="1"/>
  <c r="D108" i="17" s="1"/>
  <c r="G115" i="16"/>
  <c r="B107" i="17"/>
  <c r="C107" i="17" s="1"/>
  <c r="D107" i="17" s="1"/>
  <c r="G114" i="16"/>
  <c r="H114" i="16" s="1"/>
  <c r="I114" i="16" s="1"/>
  <c r="M114" i="16" s="1"/>
  <c r="N114" i="16" s="1"/>
  <c r="H119" i="15" s="1"/>
  <c r="I119" i="15" s="1"/>
  <c r="J119" i="15" s="1"/>
  <c r="B106" i="17"/>
  <c r="C106" i="17" s="1"/>
  <c r="D106" i="17" s="1"/>
  <c r="G113" i="16"/>
  <c r="B105" i="17"/>
  <c r="C105" i="17" s="1"/>
  <c r="D105" i="17" s="1"/>
  <c r="G112" i="16"/>
  <c r="B104" i="17"/>
  <c r="C104" i="17" s="1"/>
  <c r="D104" i="17" s="1"/>
  <c r="G111" i="16"/>
  <c r="B103" i="17"/>
  <c r="C103" i="17" s="1"/>
  <c r="D103" i="17" s="1"/>
  <c r="G110" i="16"/>
  <c r="B102" i="17"/>
  <c r="C102" i="17" s="1"/>
  <c r="D102" i="17" s="1"/>
  <c r="G109" i="16"/>
  <c r="B101" i="17"/>
  <c r="C101" i="17" s="1"/>
  <c r="D101" i="17" s="1"/>
  <c r="G108" i="16"/>
  <c r="B100" i="17"/>
  <c r="C100" i="17" s="1"/>
  <c r="D100" i="17" s="1"/>
  <c r="G107" i="16"/>
  <c r="B99" i="17"/>
  <c r="C99" i="17" s="1"/>
  <c r="D99" i="17" s="1"/>
  <c r="G106" i="16"/>
  <c r="B98" i="17"/>
  <c r="C98" i="17" s="1"/>
  <c r="D98" i="17" s="1"/>
  <c r="G105" i="16"/>
  <c r="H105" i="16" s="1"/>
  <c r="I105" i="16" s="1"/>
  <c r="M105" i="16" s="1"/>
  <c r="N105" i="16" s="1"/>
  <c r="H110" i="15" s="1"/>
  <c r="I110" i="15" s="1"/>
  <c r="J110" i="15" s="1"/>
  <c r="B97" i="17"/>
  <c r="C97" i="17" s="1"/>
  <c r="D97" i="17" s="1"/>
  <c r="G104" i="16"/>
  <c r="B96" i="17"/>
  <c r="C96" i="17" s="1"/>
  <c r="D96" i="17" s="1"/>
  <c r="G103" i="16"/>
  <c r="B95" i="17"/>
  <c r="C95" i="17" s="1"/>
  <c r="D95" i="17" s="1"/>
  <c r="G102" i="16"/>
  <c r="B94" i="17"/>
  <c r="C94" i="17" s="1"/>
  <c r="D94" i="17" s="1"/>
  <c r="G101" i="16"/>
  <c r="B93" i="17"/>
  <c r="C93" i="17" s="1"/>
  <c r="D93" i="17" s="1"/>
  <c r="G100" i="16"/>
  <c r="B92" i="17"/>
  <c r="C92" i="17" s="1"/>
  <c r="D92" i="17" s="1"/>
  <c r="G99" i="16"/>
  <c r="B91" i="17"/>
  <c r="C91" i="17" s="1"/>
  <c r="D91" i="17" s="1"/>
  <c r="G98" i="16"/>
  <c r="B90" i="17"/>
  <c r="C90" i="17" s="1"/>
  <c r="D90" i="17" s="1"/>
  <c r="G97" i="16"/>
  <c r="H97" i="16" s="1"/>
  <c r="I97" i="16" s="1"/>
  <c r="M97" i="16" s="1"/>
  <c r="N97" i="16" s="1"/>
  <c r="H102" i="15" s="1"/>
  <c r="I102" i="15" s="1"/>
  <c r="J102" i="15" s="1"/>
  <c r="B89" i="17"/>
  <c r="C89" i="17" s="1"/>
  <c r="D89" i="17" s="1"/>
  <c r="G96" i="16"/>
  <c r="B88" i="17"/>
  <c r="C88" i="17" s="1"/>
  <c r="D88" i="17" s="1"/>
  <c r="G95" i="16"/>
  <c r="B87" i="17"/>
  <c r="C87" i="17" s="1"/>
  <c r="D87" i="17" s="1"/>
  <c r="G94" i="16"/>
  <c r="B86" i="17"/>
  <c r="C86" i="17" s="1"/>
  <c r="D86" i="17" s="1"/>
  <c r="G93" i="16"/>
  <c r="B85" i="17"/>
  <c r="C85" i="17" s="1"/>
  <c r="D85" i="17" s="1"/>
  <c r="G92" i="16"/>
  <c r="B84" i="17"/>
  <c r="C84" i="17" s="1"/>
  <c r="D84" i="17" s="1"/>
  <c r="G91" i="16"/>
  <c r="B83" i="17"/>
  <c r="C83" i="17" s="1"/>
  <c r="D83" i="17" s="1"/>
  <c r="G90" i="16"/>
  <c r="B82" i="17"/>
  <c r="C82" i="17" s="1"/>
  <c r="D82" i="17" s="1"/>
  <c r="G89" i="16"/>
  <c r="B81" i="17"/>
  <c r="C81" i="17" s="1"/>
  <c r="D81" i="17" s="1"/>
  <c r="G88" i="16"/>
  <c r="B80" i="17"/>
  <c r="C80" i="17" s="1"/>
  <c r="D80" i="17" s="1"/>
  <c r="G87" i="16"/>
  <c r="B79" i="17"/>
  <c r="C79" i="17" s="1"/>
  <c r="D79" i="17" s="1"/>
  <c r="G86" i="16"/>
  <c r="B78" i="17"/>
  <c r="C78" i="17" s="1"/>
  <c r="D78" i="17" s="1"/>
  <c r="G85" i="16"/>
  <c r="H85" i="16" s="1"/>
  <c r="I85" i="16" s="1"/>
  <c r="M85" i="16" s="1"/>
  <c r="N85" i="16" s="1"/>
  <c r="H90" i="15" s="1"/>
  <c r="I90" i="15" s="1"/>
  <c r="J90" i="15" s="1"/>
  <c r="B77" i="17"/>
  <c r="C77" i="17" s="1"/>
  <c r="D77" i="17" s="1"/>
  <c r="G84" i="16"/>
  <c r="B76" i="17"/>
  <c r="C76" i="17" s="1"/>
  <c r="D76" i="17" s="1"/>
  <c r="G83" i="16"/>
  <c r="B75" i="17"/>
  <c r="C75" i="17" s="1"/>
  <c r="D75" i="17" s="1"/>
  <c r="G82" i="16"/>
  <c r="B74" i="17"/>
  <c r="C74" i="17" s="1"/>
  <c r="D74" i="17" s="1"/>
  <c r="G81" i="16"/>
  <c r="B73" i="17"/>
  <c r="C73" i="17" s="1"/>
  <c r="D73" i="17" s="1"/>
  <c r="G80" i="16"/>
  <c r="B72" i="17"/>
  <c r="C72" i="17" s="1"/>
  <c r="D72" i="17" s="1"/>
  <c r="G79" i="16"/>
  <c r="B71" i="17"/>
  <c r="C71" i="17" s="1"/>
  <c r="D71" i="17" s="1"/>
  <c r="G78" i="16"/>
  <c r="B70" i="17"/>
  <c r="C70" i="17" s="1"/>
  <c r="D70" i="17" s="1"/>
  <c r="G77" i="16"/>
  <c r="B69" i="17"/>
  <c r="C69" i="17" s="1"/>
  <c r="D69" i="17" s="1"/>
  <c r="G76" i="16"/>
  <c r="B68" i="17"/>
  <c r="C68" i="17" s="1"/>
  <c r="D68" i="17" s="1"/>
  <c r="G75" i="16"/>
  <c r="B67" i="17"/>
  <c r="C67" i="17" s="1"/>
  <c r="D67" i="17" s="1"/>
  <c r="G74" i="16"/>
  <c r="B66" i="17"/>
  <c r="C66" i="17" s="1"/>
  <c r="D66" i="17" s="1"/>
  <c r="G73" i="16"/>
  <c r="H73" i="16" s="1"/>
  <c r="I73" i="16" s="1"/>
  <c r="M73" i="16" s="1"/>
  <c r="N73" i="16" s="1"/>
  <c r="H78" i="15" s="1"/>
  <c r="I78" i="15" s="1"/>
  <c r="J78" i="15" s="1"/>
  <c r="B65" i="17"/>
  <c r="C65" i="17" s="1"/>
  <c r="D65" i="17" s="1"/>
  <c r="G72" i="16"/>
  <c r="B64" i="17"/>
  <c r="C64" i="17" s="1"/>
  <c r="D64" i="17" s="1"/>
  <c r="G71" i="16"/>
  <c r="H71" i="16" s="1"/>
  <c r="I71" i="16" s="1"/>
  <c r="M71" i="16" s="1"/>
  <c r="N71" i="16" s="1"/>
  <c r="H76" i="15" s="1"/>
  <c r="I76" i="15" s="1"/>
  <c r="J76" i="15" s="1"/>
  <c r="B63" i="17"/>
  <c r="C63" i="17" s="1"/>
  <c r="D63" i="17" s="1"/>
  <c r="G70" i="16"/>
  <c r="B62" i="17"/>
  <c r="C62" i="17" s="1"/>
  <c r="D62" i="17" s="1"/>
  <c r="G69" i="16"/>
  <c r="B61" i="17"/>
  <c r="C61" i="17" s="1"/>
  <c r="D61" i="17" s="1"/>
  <c r="G68" i="16"/>
  <c r="B60" i="17"/>
  <c r="C60" i="17" s="1"/>
  <c r="D60" i="17" s="1"/>
  <c r="G67" i="16"/>
  <c r="B59" i="17"/>
  <c r="C59" i="17" s="1"/>
  <c r="D59" i="17" s="1"/>
  <c r="G66" i="16"/>
  <c r="B58" i="17"/>
  <c r="C58" i="17" s="1"/>
  <c r="D58" i="17" s="1"/>
  <c r="G65" i="16"/>
  <c r="B57" i="17"/>
  <c r="C57" i="17" s="1"/>
  <c r="D57" i="17" s="1"/>
  <c r="G64" i="16"/>
  <c r="B56" i="17"/>
  <c r="C56" i="17" s="1"/>
  <c r="D56" i="17" s="1"/>
  <c r="G63" i="16"/>
  <c r="B55" i="17"/>
  <c r="C55" i="17" s="1"/>
  <c r="D55" i="17" s="1"/>
  <c r="G62" i="16"/>
  <c r="B54" i="17"/>
  <c r="C54" i="17" s="1"/>
  <c r="D54" i="17" s="1"/>
  <c r="G61" i="16"/>
  <c r="B53" i="17"/>
  <c r="C53" i="17" s="1"/>
  <c r="D53" i="17" s="1"/>
  <c r="G60" i="16"/>
  <c r="B52" i="17"/>
  <c r="C52" i="17" s="1"/>
  <c r="D52" i="17" s="1"/>
  <c r="G59" i="16"/>
  <c r="B51" i="17"/>
  <c r="C51" i="17" s="1"/>
  <c r="D51" i="17" s="1"/>
  <c r="G58" i="16"/>
  <c r="B50" i="17"/>
  <c r="C50" i="17" s="1"/>
  <c r="D50" i="17" s="1"/>
  <c r="G57" i="16"/>
  <c r="B49" i="17"/>
  <c r="C49" i="17" s="1"/>
  <c r="D49" i="17" s="1"/>
  <c r="G56" i="16"/>
  <c r="B48" i="17"/>
  <c r="C48" i="17" s="1"/>
  <c r="D48" i="17" s="1"/>
  <c r="G55" i="16"/>
  <c r="B47" i="17"/>
  <c r="C47" i="17" s="1"/>
  <c r="D47" i="17" s="1"/>
  <c r="G54" i="16"/>
  <c r="H54" i="16" s="1"/>
  <c r="I54" i="16" s="1"/>
  <c r="M54" i="16" s="1"/>
  <c r="N54" i="16" s="1"/>
  <c r="H59" i="15" s="1"/>
  <c r="I59" i="15" s="1"/>
  <c r="J59" i="15" s="1"/>
  <c r="B46" i="17"/>
  <c r="C46" i="17" s="1"/>
  <c r="D46" i="17" s="1"/>
  <c r="G53" i="16"/>
  <c r="H53" i="16" s="1"/>
  <c r="I53" i="16" s="1"/>
  <c r="M53" i="16" s="1"/>
  <c r="N53" i="16" s="1"/>
  <c r="H58" i="15" s="1"/>
  <c r="I58" i="15" s="1"/>
  <c r="J58" i="15" s="1"/>
  <c r="B45" i="17"/>
  <c r="C45" i="17" s="1"/>
  <c r="D45" i="17" s="1"/>
  <c r="G52" i="16"/>
  <c r="H52" i="16" s="1"/>
  <c r="I52" i="16" s="1"/>
  <c r="M52" i="16" s="1"/>
  <c r="N52" i="16" s="1"/>
  <c r="H57" i="15" s="1"/>
  <c r="I57" i="15" s="1"/>
  <c r="J57" i="15" s="1"/>
  <c r="B44" i="17"/>
  <c r="C44" i="17" s="1"/>
  <c r="D44" i="17" s="1"/>
  <c r="G51" i="16"/>
  <c r="H51" i="16" s="1"/>
  <c r="I51" i="16" s="1"/>
  <c r="M51" i="16" s="1"/>
  <c r="N51" i="16" s="1"/>
  <c r="H56" i="15" s="1"/>
  <c r="I56" i="15" s="1"/>
  <c r="J56" i="15" s="1"/>
  <c r="B43" i="17"/>
  <c r="C43" i="17" s="1"/>
  <c r="D43" i="17" s="1"/>
  <c r="G50" i="16"/>
  <c r="H50" i="16" s="1"/>
  <c r="I50" i="16" s="1"/>
  <c r="M50" i="16" s="1"/>
  <c r="N50" i="16" s="1"/>
  <c r="H55" i="15" s="1"/>
  <c r="I55" i="15" s="1"/>
  <c r="J55" i="15" s="1"/>
  <c r="B42" i="17"/>
  <c r="C42" i="17" s="1"/>
  <c r="D42" i="17" s="1"/>
  <c r="G49" i="16"/>
  <c r="H49" i="16" s="1"/>
  <c r="I49" i="16" s="1"/>
  <c r="M49" i="16" s="1"/>
  <c r="N49" i="16" s="1"/>
  <c r="H54" i="15" s="1"/>
  <c r="I54" i="15" s="1"/>
  <c r="J54" i="15" s="1"/>
  <c r="B41" i="17"/>
  <c r="C41" i="17" s="1"/>
  <c r="D41" i="17" s="1"/>
  <c r="G48" i="16"/>
  <c r="H48" i="16" s="1"/>
  <c r="I48" i="16" s="1"/>
  <c r="M48" i="16" s="1"/>
  <c r="N48" i="16" s="1"/>
  <c r="H53" i="15" s="1"/>
  <c r="I53" i="15" s="1"/>
  <c r="J53" i="15" s="1"/>
  <c r="B40" i="17"/>
  <c r="C40" i="17" s="1"/>
  <c r="D40" i="17" s="1"/>
  <c r="G47" i="16"/>
  <c r="B39" i="17"/>
  <c r="C39" i="17" s="1"/>
  <c r="D39" i="17" s="1"/>
  <c r="G46" i="16"/>
  <c r="B38" i="17"/>
  <c r="C38" i="17" s="1"/>
  <c r="D38" i="17" s="1"/>
  <c r="G45" i="16"/>
  <c r="H45" i="16" s="1"/>
  <c r="I45" i="16" s="1"/>
  <c r="M45" i="16" s="1"/>
  <c r="N45" i="16" s="1"/>
  <c r="H50" i="15" s="1"/>
  <c r="I50" i="15" s="1"/>
  <c r="J50" i="15" s="1"/>
  <c r="B37" i="17"/>
  <c r="C37" i="17" s="1"/>
  <c r="D37" i="17" s="1"/>
  <c r="G44" i="16"/>
  <c r="H44" i="16" s="1"/>
  <c r="I44" i="16" s="1"/>
  <c r="M44" i="16" s="1"/>
  <c r="N44" i="16" s="1"/>
  <c r="H49" i="15" s="1"/>
  <c r="I49" i="15" s="1"/>
  <c r="J49" i="15" s="1"/>
  <c r="B36" i="17"/>
  <c r="C36" i="17" s="1"/>
  <c r="D36" i="17" s="1"/>
  <c r="G43" i="16"/>
  <c r="H43" i="16" s="1"/>
  <c r="I43" i="16" s="1"/>
  <c r="M43" i="16" s="1"/>
  <c r="N43" i="16" s="1"/>
  <c r="H48" i="15" s="1"/>
  <c r="I48" i="15" s="1"/>
  <c r="J48" i="15" s="1"/>
  <c r="B35" i="17"/>
  <c r="C35" i="17" s="1"/>
  <c r="D35" i="17" s="1"/>
  <c r="G42" i="16"/>
  <c r="B34" i="17"/>
  <c r="C34" i="17" s="1"/>
  <c r="D34" i="17" s="1"/>
  <c r="G41" i="16"/>
  <c r="H41" i="16" s="1"/>
  <c r="I41" i="16" s="1"/>
  <c r="M41" i="16" s="1"/>
  <c r="N41" i="16" s="1"/>
  <c r="H46" i="15" s="1"/>
  <c r="I46" i="15" s="1"/>
  <c r="J46" i="15" s="1"/>
  <c r="B33" i="17"/>
  <c r="C33" i="17" s="1"/>
  <c r="D33" i="17" s="1"/>
  <c r="G40" i="16"/>
  <c r="H40" i="16" s="1"/>
  <c r="I40" i="16" s="1"/>
  <c r="M40" i="16" s="1"/>
  <c r="N40" i="16" s="1"/>
  <c r="H45" i="15" s="1"/>
  <c r="I45" i="15" s="1"/>
  <c r="J45" i="15" s="1"/>
  <c r="B32" i="17"/>
  <c r="C32" i="17" s="1"/>
  <c r="D32" i="17" s="1"/>
  <c r="G39" i="16"/>
  <c r="H39" i="16" s="1"/>
  <c r="I39" i="16" s="1"/>
  <c r="M39" i="16" s="1"/>
  <c r="N39" i="16" s="1"/>
  <c r="H44" i="15" s="1"/>
  <c r="I44" i="15" s="1"/>
  <c r="J44" i="15" s="1"/>
  <c r="B31" i="17"/>
  <c r="C31" i="17" s="1"/>
  <c r="D31" i="17" s="1"/>
  <c r="G38" i="16"/>
  <c r="H38" i="16" s="1"/>
  <c r="I38" i="16" s="1"/>
  <c r="M38" i="16" s="1"/>
  <c r="N38" i="16" s="1"/>
  <c r="H43" i="15" s="1"/>
  <c r="I43" i="15" s="1"/>
  <c r="J43" i="15" s="1"/>
  <c r="B30" i="17"/>
  <c r="C30" i="17" s="1"/>
  <c r="D30" i="17" s="1"/>
  <c r="G37" i="16"/>
  <c r="B29" i="17"/>
  <c r="C29" i="17" s="1"/>
  <c r="D29" i="17" s="1"/>
  <c r="G36" i="16"/>
  <c r="B28" i="17"/>
  <c r="C28" i="17" s="1"/>
  <c r="D28" i="17" s="1"/>
  <c r="G35" i="16"/>
  <c r="B27" i="17"/>
  <c r="C27" i="17" s="1"/>
  <c r="D27" i="17" s="1"/>
  <c r="G34" i="16"/>
  <c r="B26" i="17"/>
  <c r="C26" i="17" s="1"/>
  <c r="D26" i="17" s="1"/>
  <c r="G33" i="16"/>
  <c r="B25" i="17"/>
  <c r="C25" i="17" s="1"/>
  <c r="D25" i="17" s="1"/>
  <c r="G32" i="16"/>
  <c r="H32" i="16" s="1"/>
  <c r="I32" i="16" s="1"/>
  <c r="M32" i="16" s="1"/>
  <c r="N32" i="16" s="1"/>
  <c r="H37" i="15" s="1"/>
  <c r="I37" i="15" s="1"/>
  <c r="J37" i="15" s="1"/>
  <c r="B24" i="17"/>
  <c r="C24" i="17" s="1"/>
  <c r="D24" i="17" s="1"/>
  <c r="G31" i="16"/>
  <c r="B23" i="17"/>
  <c r="C23" i="17" s="1"/>
  <c r="D23" i="17" s="1"/>
  <c r="G30" i="16"/>
  <c r="B22" i="17"/>
  <c r="C22" i="17" s="1"/>
  <c r="D22" i="17" s="1"/>
  <c r="G29" i="16"/>
  <c r="B21" i="17"/>
  <c r="C21" i="17" s="1"/>
  <c r="D21" i="17" s="1"/>
  <c r="G28" i="16"/>
  <c r="B20" i="17"/>
  <c r="C20" i="17" s="1"/>
  <c r="D20" i="17" s="1"/>
  <c r="G27" i="16"/>
  <c r="B19" i="17"/>
  <c r="C19" i="17" s="1"/>
  <c r="D19" i="17" s="1"/>
  <c r="G26" i="16"/>
  <c r="B18" i="17"/>
  <c r="C18" i="17" s="1"/>
  <c r="D18" i="17" s="1"/>
  <c r="G25" i="16"/>
  <c r="B17" i="17"/>
  <c r="C17" i="17" s="1"/>
  <c r="D17" i="17" s="1"/>
  <c r="G24" i="16"/>
  <c r="B16" i="17"/>
  <c r="C16" i="17" s="1"/>
  <c r="D16" i="17" s="1"/>
  <c r="G23" i="16"/>
  <c r="B15" i="17"/>
  <c r="C15" i="17" s="1"/>
  <c r="D15" i="17" s="1"/>
  <c r="G22" i="16"/>
  <c r="B14" i="17"/>
  <c r="C14" i="17" s="1"/>
  <c r="D14" i="17" s="1"/>
  <c r="G21" i="16"/>
  <c r="B13" i="17"/>
  <c r="C13" i="17" s="1"/>
  <c r="D13" i="17" s="1"/>
  <c r="G20" i="16"/>
  <c r="H20" i="16" s="1"/>
  <c r="I20" i="16" s="1"/>
  <c r="M20" i="16" s="1"/>
  <c r="N20" i="16" s="1"/>
  <c r="H25" i="15" s="1"/>
  <c r="I25" i="15" s="1"/>
  <c r="J25" i="15" s="1"/>
  <c r="B12" i="17"/>
  <c r="C12" i="17" s="1"/>
  <c r="D12" i="17" s="1"/>
  <c r="G19" i="16"/>
  <c r="H19" i="16" s="1"/>
  <c r="I19" i="16" s="1"/>
  <c r="M19" i="16" s="1"/>
  <c r="N19" i="16" s="1"/>
  <c r="H24" i="15" s="1"/>
  <c r="I24" i="15" s="1"/>
  <c r="J24" i="15" s="1"/>
  <c r="B11" i="17"/>
  <c r="C11" i="17" s="1"/>
  <c r="D11" i="17" s="1"/>
  <c r="G18" i="16"/>
  <c r="H18" i="16" s="1"/>
  <c r="I18" i="16" s="1"/>
  <c r="M18" i="16" s="1"/>
  <c r="N18" i="16" s="1"/>
  <c r="H23" i="15" s="1"/>
  <c r="I23" i="15" s="1"/>
  <c r="J23" i="15" s="1"/>
  <c r="B10" i="17"/>
  <c r="C10" i="17" s="1"/>
  <c r="D10" i="17" s="1"/>
  <c r="G17" i="16"/>
  <c r="E18" i="12"/>
  <c r="O17" i="12"/>
  <c r="L2" i="12"/>
  <c r="M2" i="16"/>
  <c r="I9" i="10"/>
  <c r="J9" i="10"/>
  <c r="G30" i="13"/>
  <c r="F30" i="13"/>
  <c r="E30" i="13"/>
  <c r="H29" i="13"/>
  <c r="H16" i="16" l="1"/>
  <c r="F10" i="19"/>
  <c r="E11" i="19"/>
  <c r="E9" i="17"/>
  <c r="E10" i="17" s="1"/>
  <c r="E2" i="17"/>
  <c r="E3" i="17" s="1"/>
  <c r="F16" i="12"/>
  <c r="H16" i="12"/>
  <c r="M16" i="12" s="1"/>
  <c r="E19" i="12"/>
  <c r="O18" i="12"/>
  <c r="I16" i="16"/>
  <c r="H17" i="16"/>
  <c r="I17" i="16" s="1"/>
  <c r="H21" i="16"/>
  <c r="I21" i="16" s="1"/>
  <c r="H22" i="16"/>
  <c r="I22" i="16" s="1"/>
  <c r="H23" i="16"/>
  <c r="I23" i="16" s="1"/>
  <c r="H24" i="16"/>
  <c r="I24" i="16" s="1"/>
  <c r="H25" i="16"/>
  <c r="I25" i="16" s="1"/>
  <c r="H26" i="16"/>
  <c r="I26" i="16" s="1"/>
  <c r="H27" i="16"/>
  <c r="I27" i="16" s="1"/>
  <c r="H28" i="16"/>
  <c r="I28" i="16" s="1"/>
  <c r="H29" i="16"/>
  <c r="I29" i="16" s="1"/>
  <c r="H30" i="16"/>
  <c r="I30" i="16" s="1"/>
  <c r="H31" i="16"/>
  <c r="I31" i="16" s="1"/>
  <c r="H33" i="16"/>
  <c r="I33" i="16" s="1"/>
  <c r="H34" i="16"/>
  <c r="I34" i="16" s="1"/>
  <c r="H35" i="16"/>
  <c r="I35" i="16" s="1"/>
  <c r="H36" i="16"/>
  <c r="I36" i="16" s="1"/>
  <c r="H37" i="16"/>
  <c r="I37" i="16" s="1"/>
  <c r="H42" i="16"/>
  <c r="I42" i="16" s="1"/>
  <c r="H46" i="16"/>
  <c r="I46" i="16" s="1"/>
  <c r="H47" i="16"/>
  <c r="I47" i="16" s="1"/>
  <c r="H55" i="16"/>
  <c r="I55" i="16" s="1"/>
  <c r="H56" i="16"/>
  <c r="I56" i="16" s="1"/>
  <c r="H57" i="16"/>
  <c r="I57" i="16" s="1"/>
  <c r="H58" i="16"/>
  <c r="I58" i="16" s="1"/>
  <c r="H59" i="16"/>
  <c r="I59" i="16" s="1"/>
  <c r="H60" i="16"/>
  <c r="I60" i="16" s="1"/>
  <c r="H61" i="16"/>
  <c r="I61" i="16" s="1"/>
  <c r="H62" i="16"/>
  <c r="I62" i="16" s="1"/>
  <c r="H63" i="16"/>
  <c r="I63" i="16" s="1"/>
  <c r="H64" i="16"/>
  <c r="I64" i="16" s="1"/>
  <c r="H65" i="16"/>
  <c r="I65" i="16" s="1"/>
  <c r="H66" i="16"/>
  <c r="I66" i="16" s="1"/>
  <c r="H67" i="16"/>
  <c r="I67" i="16" s="1"/>
  <c r="H68" i="16"/>
  <c r="I68" i="16" s="1"/>
  <c r="H69" i="16"/>
  <c r="I69" i="16" s="1"/>
  <c r="H70" i="16"/>
  <c r="I70" i="16" s="1"/>
  <c r="H72" i="16"/>
  <c r="I72" i="16" s="1"/>
  <c r="H74" i="16"/>
  <c r="I74" i="16" s="1"/>
  <c r="H75" i="16"/>
  <c r="I75" i="16" s="1"/>
  <c r="H76" i="16"/>
  <c r="I76" i="16" s="1"/>
  <c r="H77" i="16"/>
  <c r="I77" i="16" s="1"/>
  <c r="H78" i="16"/>
  <c r="I78" i="16" s="1"/>
  <c r="H79" i="16"/>
  <c r="I79" i="16" s="1"/>
  <c r="H80" i="16"/>
  <c r="I80" i="16" s="1"/>
  <c r="H81" i="16"/>
  <c r="I81" i="16" s="1"/>
  <c r="H82" i="16"/>
  <c r="I82" i="16" s="1"/>
  <c r="H83" i="16"/>
  <c r="I83" i="16" s="1"/>
  <c r="H84" i="16"/>
  <c r="I84" i="16" s="1"/>
  <c r="H86" i="16"/>
  <c r="I86" i="16" s="1"/>
  <c r="H87" i="16"/>
  <c r="I87" i="16" s="1"/>
  <c r="H88" i="16"/>
  <c r="I88" i="16" s="1"/>
  <c r="H89" i="16"/>
  <c r="I89" i="16" s="1"/>
  <c r="H90" i="16"/>
  <c r="I90" i="16" s="1"/>
  <c r="H91" i="16"/>
  <c r="I91" i="16" s="1"/>
  <c r="H92" i="16"/>
  <c r="I92" i="16" s="1"/>
  <c r="H93" i="16"/>
  <c r="I93" i="16" s="1"/>
  <c r="H94" i="16"/>
  <c r="I94" i="16" s="1"/>
  <c r="H95" i="16"/>
  <c r="I95" i="16" s="1"/>
  <c r="H96" i="16"/>
  <c r="I96" i="16" s="1"/>
  <c r="H98" i="16"/>
  <c r="I98" i="16" s="1"/>
  <c r="H99" i="16"/>
  <c r="I99" i="16" s="1"/>
  <c r="H100" i="16"/>
  <c r="I100" i="16" s="1"/>
  <c r="H101" i="16"/>
  <c r="I101" i="16" s="1"/>
  <c r="H102" i="16"/>
  <c r="I102" i="16" s="1"/>
  <c r="H103" i="16"/>
  <c r="I103" i="16" s="1"/>
  <c r="H104" i="16"/>
  <c r="I104" i="16" s="1"/>
  <c r="H107" i="16"/>
  <c r="I107" i="16" s="1"/>
  <c r="H108" i="16"/>
  <c r="I108" i="16" s="1"/>
  <c r="H109" i="16"/>
  <c r="I109" i="16" s="1"/>
  <c r="H110" i="16"/>
  <c r="I110" i="16" s="1"/>
  <c r="H111" i="16"/>
  <c r="I111" i="16" s="1"/>
  <c r="H112" i="16"/>
  <c r="I112" i="16" s="1"/>
  <c r="H113" i="16"/>
  <c r="I113" i="16" s="1"/>
  <c r="H115" i="16"/>
  <c r="I115" i="16" s="1"/>
  <c r="H119" i="16"/>
  <c r="I119" i="16" s="1"/>
  <c r="H120" i="16"/>
  <c r="I120" i="16" s="1"/>
  <c r="H121" i="16"/>
  <c r="I121" i="16" s="1"/>
  <c r="H122" i="16"/>
  <c r="I122" i="16" s="1"/>
  <c r="H123" i="16"/>
  <c r="I123" i="16" s="1"/>
  <c r="H124" i="16"/>
  <c r="I124" i="16" s="1"/>
  <c r="H125" i="16"/>
  <c r="I125" i="16" s="1"/>
  <c r="H127" i="16"/>
  <c r="I127" i="16" s="1"/>
  <c r="H128" i="16"/>
  <c r="I128" i="16" s="1"/>
  <c r="H129" i="16"/>
  <c r="I129" i="16" s="1"/>
  <c r="H130" i="16"/>
  <c r="I130" i="16" s="1"/>
  <c r="H131" i="16"/>
  <c r="I131" i="16" s="1"/>
  <c r="H132" i="16"/>
  <c r="I132" i="16" s="1"/>
  <c r="H133" i="16"/>
  <c r="I133" i="16" s="1"/>
  <c r="H134" i="16"/>
  <c r="I134" i="16" s="1"/>
  <c r="H137" i="16"/>
  <c r="I137" i="16" s="1"/>
  <c r="H138" i="16"/>
  <c r="I138" i="16" s="1"/>
  <c r="H139" i="16"/>
  <c r="I139" i="16" s="1"/>
  <c r="H145" i="16"/>
  <c r="I145" i="16" s="1"/>
  <c r="H147" i="16"/>
  <c r="I147" i="16" s="1"/>
  <c r="H151" i="16"/>
  <c r="I151" i="16" s="1"/>
  <c r="H156" i="16"/>
  <c r="I156" i="16" s="1"/>
  <c r="H157" i="16"/>
  <c r="I157" i="16" s="1"/>
  <c r="H158" i="16"/>
  <c r="I158" i="16" s="1"/>
  <c r="H159" i="16"/>
  <c r="I159" i="16" s="1"/>
  <c r="H160" i="16"/>
  <c r="I160" i="16" s="1"/>
  <c r="H162" i="16"/>
  <c r="I162" i="16" s="1"/>
  <c r="H174" i="16"/>
  <c r="I174" i="16" s="1"/>
  <c r="H180" i="16"/>
  <c r="I180" i="16" s="1"/>
  <c r="H184" i="16"/>
  <c r="I184" i="16" s="1"/>
  <c r="H185" i="16"/>
  <c r="I185" i="16" s="1"/>
  <c r="H186" i="16"/>
  <c r="I186" i="16" s="1"/>
  <c r="H187" i="16"/>
  <c r="I187" i="16" s="1"/>
  <c r="H189" i="16"/>
  <c r="I189" i="16" s="1"/>
  <c r="H190" i="16"/>
  <c r="I190" i="16" s="1"/>
  <c r="H192" i="16"/>
  <c r="I192" i="16" s="1"/>
  <c r="H193" i="16"/>
  <c r="I193" i="16" s="1"/>
  <c r="H194" i="16"/>
  <c r="I194" i="16" s="1"/>
  <c r="H195" i="16"/>
  <c r="I195" i="16" s="1"/>
  <c r="H198" i="16"/>
  <c r="I198" i="16" s="1"/>
  <c r="H199" i="16"/>
  <c r="I199" i="16" s="1"/>
  <c r="H200" i="16"/>
  <c r="I200" i="16" s="1"/>
  <c r="H201" i="16"/>
  <c r="I201" i="16" s="1"/>
  <c r="H202" i="16"/>
  <c r="I202" i="16" s="1"/>
  <c r="H214" i="16"/>
  <c r="I214" i="16" s="1"/>
  <c r="H215" i="16"/>
  <c r="I215" i="16" s="1"/>
  <c r="H218" i="16"/>
  <c r="I218" i="16" s="1"/>
  <c r="H219" i="16"/>
  <c r="I219" i="16" s="1"/>
  <c r="H220" i="16"/>
  <c r="I220" i="16" s="1"/>
  <c r="H255" i="16"/>
  <c r="I255" i="16" s="1"/>
  <c r="H256" i="16"/>
  <c r="I256" i="16" s="1"/>
  <c r="H257" i="16"/>
  <c r="I257" i="16" s="1"/>
  <c r="H258" i="16"/>
  <c r="I258" i="16" s="1"/>
  <c r="H259" i="16"/>
  <c r="I259" i="16" s="1"/>
  <c r="H260" i="16"/>
  <c r="I260" i="16" s="1"/>
  <c r="H276" i="16"/>
  <c r="I276" i="16" s="1"/>
  <c r="H277" i="16"/>
  <c r="I277" i="16" s="1"/>
  <c r="H279" i="16"/>
  <c r="I279" i="16" s="1"/>
  <c r="H280" i="16"/>
  <c r="I280" i="16" s="1"/>
  <c r="H281" i="16"/>
  <c r="I281" i="16" s="1"/>
  <c r="H282" i="16"/>
  <c r="I282" i="16" s="1"/>
  <c r="H283" i="16"/>
  <c r="I283" i="16" s="1"/>
  <c r="H284" i="16"/>
  <c r="I284" i="16" s="1"/>
  <c r="H286" i="16"/>
  <c r="I286" i="16" s="1"/>
  <c r="H287" i="16"/>
  <c r="I287" i="16" s="1"/>
  <c r="H291" i="16"/>
  <c r="I291" i="16" s="1"/>
  <c r="H292" i="16"/>
  <c r="I292" i="16" s="1"/>
  <c r="H293" i="16"/>
  <c r="I293" i="16" s="1"/>
  <c r="H294" i="16"/>
  <c r="I294" i="16" s="1"/>
  <c r="H296" i="16"/>
  <c r="I296" i="16" s="1"/>
  <c r="H297" i="16"/>
  <c r="I297" i="16" s="1"/>
  <c r="H298" i="16"/>
  <c r="I298" i="16" s="1"/>
  <c r="H299" i="16"/>
  <c r="I299" i="16" s="1"/>
  <c r="H300" i="16"/>
  <c r="I300" i="16" s="1"/>
  <c r="H301" i="16"/>
  <c r="I301" i="16" s="1"/>
  <c r="H302" i="16"/>
  <c r="I302" i="16" s="1"/>
  <c r="H303" i="16"/>
  <c r="I303" i="16" s="1"/>
  <c r="H304" i="16"/>
  <c r="I304" i="16" s="1"/>
  <c r="H305" i="16"/>
  <c r="I305" i="16" s="1"/>
  <c r="H306" i="16"/>
  <c r="I306" i="16" s="1"/>
  <c r="H307" i="16"/>
  <c r="I307" i="16" s="1"/>
  <c r="H308" i="16"/>
  <c r="I308" i="16" s="1"/>
  <c r="H309" i="16"/>
  <c r="I309" i="16" s="1"/>
  <c r="H310" i="16"/>
  <c r="I310" i="16" s="1"/>
  <c r="H311" i="16"/>
  <c r="I311" i="16" s="1"/>
  <c r="H312" i="16"/>
  <c r="I312" i="16" s="1"/>
  <c r="H313" i="16"/>
  <c r="I313" i="16" s="1"/>
  <c r="H314" i="16"/>
  <c r="I314" i="16" s="1"/>
  <c r="H315" i="16"/>
  <c r="I315" i="16" s="1"/>
  <c r="H316" i="16"/>
  <c r="I316" i="16" s="1"/>
  <c r="H317" i="16"/>
  <c r="I317" i="16" s="1"/>
  <c r="H318" i="16"/>
  <c r="I318" i="16" s="1"/>
  <c r="H319" i="16"/>
  <c r="I319" i="16" s="1"/>
  <c r="H320" i="16"/>
  <c r="I320" i="16" s="1"/>
  <c r="H321" i="16"/>
  <c r="I321" i="16" s="1"/>
  <c r="H322" i="16"/>
  <c r="I322" i="16" s="1"/>
  <c r="H323" i="16"/>
  <c r="I323" i="16" s="1"/>
  <c r="H324" i="16"/>
  <c r="I324" i="16" s="1"/>
  <c r="H325" i="16"/>
  <c r="I325" i="16" s="1"/>
  <c r="H326" i="16"/>
  <c r="I326" i="16" s="1"/>
  <c r="H327" i="16"/>
  <c r="I327" i="16" s="1"/>
  <c r="H338" i="16"/>
  <c r="I338" i="16" s="1"/>
  <c r="H339" i="16"/>
  <c r="I339" i="16" s="1"/>
  <c r="H340" i="16"/>
  <c r="I340" i="16" s="1"/>
  <c r="H341" i="16"/>
  <c r="I341" i="16" s="1"/>
  <c r="H342" i="16"/>
  <c r="I342" i="16" s="1"/>
  <c r="H343" i="16"/>
  <c r="I343" i="16" s="1"/>
  <c r="H344" i="16"/>
  <c r="I344" i="16" s="1"/>
  <c r="H345" i="16"/>
  <c r="I345" i="16" s="1"/>
  <c r="H346" i="16"/>
  <c r="I346" i="16" s="1"/>
  <c r="H353" i="16"/>
  <c r="I353" i="16" s="1"/>
  <c r="H354" i="16"/>
  <c r="I354" i="16" s="1"/>
  <c r="H355" i="16"/>
  <c r="I355" i="16" s="1"/>
  <c r="H356" i="16"/>
  <c r="I356" i="16" s="1"/>
  <c r="H357" i="16"/>
  <c r="I357" i="16" s="1"/>
  <c r="H358" i="16"/>
  <c r="I358" i="16" s="1"/>
  <c r="H359" i="16"/>
  <c r="I359" i="16" s="1"/>
  <c r="H360" i="16"/>
  <c r="I360" i="16" s="1"/>
  <c r="H361" i="16"/>
  <c r="I361" i="16" s="1"/>
  <c r="H362" i="16"/>
  <c r="I362" i="16" s="1"/>
  <c r="H364" i="16"/>
  <c r="I364" i="16" s="1"/>
  <c r="H365" i="16"/>
  <c r="I365" i="16" s="1"/>
  <c r="H366" i="16"/>
  <c r="I366" i="16" s="1"/>
  <c r="H367" i="16"/>
  <c r="I367" i="16" s="1"/>
  <c r="H370" i="16"/>
  <c r="I370" i="16" s="1"/>
  <c r="H371" i="16"/>
  <c r="I371" i="16" s="1"/>
  <c r="H372" i="16"/>
  <c r="I372" i="16" s="1"/>
  <c r="H373" i="16"/>
  <c r="I373" i="16" s="1"/>
  <c r="H374" i="16"/>
  <c r="I374" i="16" s="1"/>
  <c r="H375" i="16"/>
  <c r="I375" i="16" s="1"/>
  <c r="H376" i="16"/>
  <c r="I376" i="16" s="1"/>
  <c r="H17" i="12"/>
  <c r="M17" i="12" s="1"/>
  <c r="H21" i="12"/>
  <c r="M21" i="12" s="1"/>
  <c r="H22" i="12"/>
  <c r="M22" i="12" s="1"/>
  <c r="H23" i="12"/>
  <c r="M23" i="12" s="1"/>
  <c r="H24" i="12"/>
  <c r="M24" i="12" s="1"/>
  <c r="H25" i="12"/>
  <c r="M25" i="12" s="1"/>
  <c r="H26" i="12"/>
  <c r="M26" i="12" s="1"/>
  <c r="H27" i="12"/>
  <c r="M27" i="12" s="1"/>
  <c r="H28" i="12"/>
  <c r="M28" i="12" s="1"/>
  <c r="H29" i="12"/>
  <c r="M29" i="12" s="1"/>
  <c r="H30" i="12"/>
  <c r="M30" i="12" s="1"/>
  <c r="H31" i="12"/>
  <c r="M31" i="12" s="1"/>
  <c r="H33" i="12"/>
  <c r="M33" i="12" s="1"/>
  <c r="H34" i="12"/>
  <c r="M34" i="12" s="1"/>
  <c r="H35" i="12"/>
  <c r="M35" i="12" s="1"/>
  <c r="H36" i="12"/>
  <c r="M36" i="12" s="1"/>
  <c r="H37" i="12"/>
  <c r="M37" i="12" s="1"/>
  <c r="H42" i="12"/>
  <c r="M42" i="12" s="1"/>
  <c r="H46" i="12"/>
  <c r="M46" i="12" s="1"/>
  <c r="H47" i="12"/>
  <c r="M47" i="12" s="1"/>
  <c r="H55" i="12"/>
  <c r="M55" i="12" s="1"/>
  <c r="H56" i="12"/>
  <c r="M56" i="12" s="1"/>
  <c r="H57" i="12"/>
  <c r="M57" i="12" s="1"/>
  <c r="H58" i="12"/>
  <c r="M58" i="12" s="1"/>
  <c r="H59" i="12"/>
  <c r="M59" i="12" s="1"/>
  <c r="H60" i="12"/>
  <c r="M60" i="12" s="1"/>
  <c r="H61" i="12"/>
  <c r="M61" i="12" s="1"/>
  <c r="H62" i="12"/>
  <c r="M62" i="12" s="1"/>
  <c r="H63" i="12"/>
  <c r="M63" i="12" s="1"/>
  <c r="H64" i="12"/>
  <c r="M64" i="12" s="1"/>
  <c r="H65" i="12"/>
  <c r="M65" i="12" s="1"/>
  <c r="H66" i="12"/>
  <c r="M66" i="12" s="1"/>
  <c r="H67" i="12"/>
  <c r="M67" i="12" s="1"/>
  <c r="H68" i="12"/>
  <c r="M68" i="12" s="1"/>
  <c r="H69" i="12"/>
  <c r="M69" i="12" s="1"/>
  <c r="H70" i="12"/>
  <c r="M70" i="12" s="1"/>
  <c r="H72" i="12"/>
  <c r="M72" i="12" s="1"/>
  <c r="H74" i="12"/>
  <c r="M74" i="12" s="1"/>
  <c r="H75" i="12"/>
  <c r="M75" i="12" s="1"/>
  <c r="H76" i="12"/>
  <c r="M76" i="12" s="1"/>
  <c r="H77" i="12"/>
  <c r="M77" i="12" s="1"/>
  <c r="H78" i="12"/>
  <c r="M78" i="12" s="1"/>
  <c r="H79" i="12"/>
  <c r="M79" i="12" s="1"/>
  <c r="H80" i="12"/>
  <c r="M80" i="12" s="1"/>
  <c r="H81" i="12"/>
  <c r="M81" i="12" s="1"/>
  <c r="H82" i="12"/>
  <c r="M82" i="12" s="1"/>
  <c r="H83" i="12"/>
  <c r="M83" i="12" s="1"/>
  <c r="H84" i="12"/>
  <c r="M84" i="12" s="1"/>
  <c r="H86" i="12"/>
  <c r="M86" i="12" s="1"/>
  <c r="H87" i="12"/>
  <c r="M87" i="12" s="1"/>
  <c r="H88" i="12"/>
  <c r="M88" i="12" s="1"/>
  <c r="H89" i="12"/>
  <c r="M89" i="12" s="1"/>
  <c r="H90" i="12"/>
  <c r="M90" i="12" s="1"/>
  <c r="H91" i="12"/>
  <c r="M91" i="12" s="1"/>
  <c r="H92" i="12"/>
  <c r="M92" i="12" s="1"/>
  <c r="H93" i="12"/>
  <c r="M93" i="12" s="1"/>
  <c r="H94" i="12"/>
  <c r="M94" i="12" s="1"/>
  <c r="H95" i="12"/>
  <c r="M95" i="12" s="1"/>
  <c r="H96" i="12"/>
  <c r="M96" i="12" s="1"/>
  <c r="H98" i="12"/>
  <c r="M98" i="12" s="1"/>
  <c r="H99" i="12"/>
  <c r="M99" i="12" s="1"/>
  <c r="H100" i="12"/>
  <c r="M100" i="12" s="1"/>
  <c r="H101" i="12"/>
  <c r="M101" i="12" s="1"/>
  <c r="H102" i="12"/>
  <c r="M102" i="12" s="1"/>
  <c r="H103" i="12"/>
  <c r="M103" i="12" s="1"/>
  <c r="H104" i="12"/>
  <c r="M104" i="12" s="1"/>
  <c r="H107" i="12"/>
  <c r="M107" i="12" s="1"/>
  <c r="H108" i="12"/>
  <c r="M108" i="12" s="1"/>
  <c r="H109" i="12"/>
  <c r="M109" i="12" s="1"/>
  <c r="H110" i="12"/>
  <c r="M110" i="12" s="1"/>
  <c r="H111" i="12"/>
  <c r="M111" i="12" s="1"/>
  <c r="H112" i="12"/>
  <c r="M112" i="12" s="1"/>
  <c r="H113" i="12"/>
  <c r="M113" i="12" s="1"/>
  <c r="H115" i="12"/>
  <c r="M115" i="12" s="1"/>
  <c r="H119" i="12"/>
  <c r="M119" i="12" s="1"/>
  <c r="H120" i="12"/>
  <c r="M120" i="12" s="1"/>
  <c r="H121" i="12"/>
  <c r="M121" i="12" s="1"/>
  <c r="H122" i="12"/>
  <c r="M122" i="12" s="1"/>
  <c r="H123" i="12"/>
  <c r="M123" i="12" s="1"/>
  <c r="H124" i="12"/>
  <c r="M124" i="12" s="1"/>
  <c r="H125" i="12"/>
  <c r="M125" i="12" s="1"/>
  <c r="H127" i="12"/>
  <c r="M127" i="12" s="1"/>
  <c r="H128" i="12"/>
  <c r="M128" i="12" s="1"/>
  <c r="H129" i="12"/>
  <c r="M129" i="12" s="1"/>
  <c r="H130" i="12"/>
  <c r="M130" i="12" s="1"/>
  <c r="H131" i="12"/>
  <c r="M131" i="12" s="1"/>
  <c r="H132" i="12"/>
  <c r="M132" i="12" s="1"/>
  <c r="H133" i="12"/>
  <c r="M133" i="12" s="1"/>
  <c r="H134" i="12"/>
  <c r="M134" i="12" s="1"/>
  <c r="H137" i="12"/>
  <c r="M137" i="12" s="1"/>
  <c r="H138" i="12"/>
  <c r="M138" i="12" s="1"/>
  <c r="H139" i="12"/>
  <c r="M139" i="12" s="1"/>
  <c r="H145" i="12"/>
  <c r="M145" i="12" s="1"/>
  <c r="H147" i="12"/>
  <c r="M147" i="12" s="1"/>
  <c r="H151" i="12"/>
  <c r="M151" i="12" s="1"/>
  <c r="H156" i="12"/>
  <c r="M156" i="12" s="1"/>
  <c r="H157" i="12"/>
  <c r="M157" i="12" s="1"/>
  <c r="H158" i="12"/>
  <c r="M158" i="12" s="1"/>
  <c r="H159" i="12"/>
  <c r="M159" i="12" s="1"/>
  <c r="H160" i="12"/>
  <c r="M160" i="12" s="1"/>
  <c r="H162" i="12"/>
  <c r="M162" i="12" s="1"/>
  <c r="H174" i="12"/>
  <c r="M174" i="12" s="1"/>
  <c r="H180" i="12"/>
  <c r="M180" i="12" s="1"/>
  <c r="H184" i="12"/>
  <c r="M184" i="12" s="1"/>
  <c r="H185" i="12"/>
  <c r="M185" i="12" s="1"/>
  <c r="H186" i="12"/>
  <c r="M186" i="12" s="1"/>
  <c r="H187" i="12"/>
  <c r="M187" i="12" s="1"/>
  <c r="H189" i="12"/>
  <c r="M189" i="12" s="1"/>
  <c r="H190" i="12"/>
  <c r="M190" i="12" s="1"/>
  <c r="H192" i="12"/>
  <c r="M192" i="12" s="1"/>
  <c r="H193" i="12"/>
  <c r="M193" i="12" s="1"/>
  <c r="H194" i="12"/>
  <c r="M194" i="12" s="1"/>
  <c r="H195" i="12"/>
  <c r="M195" i="12" s="1"/>
  <c r="H198" i="12"/>
  <c r="M198" i="12" s="1"/>
  <c r="H199" i="12"/>
  <c r="M199" i="12" s="1"/>
  <c r="H200" i="12"/>
  <c r="M200" i="12" s="1"/>
  <c r="H201" i="12"/>
  <c r="M201" i="12" s="1"/>
  <c r="H202" i="12"/>
  <c r="M202" i="12" s="1"/>
  <c r="H214" i="12"/>
  <c r="M214" i="12" s="1"/>
  <c r="H215" i="12"/>
  <c r="M215" i="12" s="1"/>
  <c r="H218" i="12"/>
  <c r="M218" i="12" s="1"/>
  <c r="H219" i="12"/>
  <c r="M219" i="12" s="1"/>
  <c r="H220" i="12"/>
  <c r="M220" i="12" s="1"/>
  <c r="H255" i="12"/>
  <c r="M255" i="12" s="1"/>
  <c r="H256" i="12"/>
  <c r="M256" i="12" s="1"/>
  <c r="H257" i="12"/>
  <c r="M257" i="12" s="1"/>
  <c r="H258" i="12"/>
  <c r="M258" i="12" s="1"/>
  <c r="H259" i="12"/>
  <c r="M259" i="12" s="1"/>
  <c r="H260" i="12"/>
  <c r="M260" i="12" s="1"/>
  <c r="H276" i="12"/>
  <c r="M276" i="12" s="1"/>
  <c r="H277" i="12"/>
  <c r="M277" i="12" s="1"/>
  <c r="H279" i="12"/>
  <c r="M279" i="12" s="1"/>
  <c r="H280" i="12"/>
  <c r="M280" i="12" s="1"/>
  <c r="H281" i="12"/>
  <c r="M281" i="12" s="1"/>
  <c r="H282" i="12"/>
  <c r="M282" i="12" s="1"/>
  <c r="H283" i="12"/>
  <c r="M283" i="12" s="1"/>
  <c r="H284" i="12"/>
  <c r="M284" i="12" s="1"/>
  <c r="H286" i="12"/>
  <c r="M286" i="12" s="1"/>
  <c r="H287" i="12"/>
  <c r="M287" i="12" s="1"/>
  <c r="H291" i="12"/>
  <c r="M291" i="12" s="1"/>
  <c r="H292" i="12"/>
  <c r="M292" i="12" s="1"/>
  <c r="H293" i="12"/>
  <c r="M293" i="12" s="1"/>
  <c r="H294" i="12"/>
  <c r="M294" i="12" s="1"/>
  <c r="H296" i="12"/>
  <c r="M296" i="12" s="1"/>
  <c r="H297" i="12"/>
  <c r="M297" i="12" s="1"/>
  <c r="H298" i="12"/>
  <c r="M298" i="12" s="1"/>
  <c r="H299" i="12"/>
  <c r="M299" i="12" s="1"/>
  <c r="H300" i="12"/>
  <c r="M300" i="12" s="1"/>
  <c r="H301" i="12"/>
  <c r="M301" i="12" s="1"/>
  <c r="H302" i="12"/>
  <c r="M302" i="12" s="1"/>
  <c r="H303" i="12"/>
  <c r="M303" i="12" s="1"/>
  <c r="H304" i="12"/>
  <c r="M304" i="12" s="1"/>
  <c r="H305" i="12"/>
  <c r="M305" i="12" s="1"/>
  <c r="H306" i="12"/>
  <c r="M306" i="12" s="1"/>
  <c r="H307" i="12"/>
  <c r="M307" i="12" s="1"/>
  <c r="H308" i="12"/>
  <c r="M308" i="12" s="1"/>
  <c r="H309" i="12"/>
  <c r="M309" i="12" s="1"/>
  <c r="H310" i="12"/>
  <c r="M310" i="12" s="1"/>
  <c r="H311" i="12"/>
  <c r="M311" i="12" s="1"/>
  <c r="H312" i="12"/>
  <c r="M312" i="12" s="1"/>
  <c r="H313" i="12"/>
  <c r="M313" i="12" s="1"/>
  <c r="H314" i="12"/>
  <c r="M314" i="12" s="1"/>
  <c r="H315" i="12"/>
  <c r="M315" i="12" s="1"/>
  <c r="H316" i="12"/>
  <c r="M316" i="12" s="1"/>
  <c r="H317" i="12"/>
  <c r="M317" i="12" s="1"/>
  <c r="H318" i="12"/>
  <c r="M318" i="12" s="1"/>
  <c r="H319" i="12"/>
  <c r="M319" i="12" s="1"/>
  <c r="H320" i="12"/>
  <c r="M320" i="12" s="1"/>
  <c r="H321" i="12"/>
  <c r="M321" i="12" s="1"/>
  <c r="H322" i="12"/>
  <c r="M322" i="12" s="1"/>
  <c r="H323" i="12"/>
  <c r="M323" i="12" s="1"/>
  <c r="H324" i="12"/>
  <c r="M324" i="12" s="1"/>
  <c r="H325" i="12"/>
  <c r="M325" i="12" s="1"/>
  <c r="H326" i="12"/>
  <c r="M326" i="12" s="1"/>
  <c r="H327" i="12"/>
  <c r="M327" i="12" s="1"/>
  <c r="H338" i="12"/>
  <c r="M338" i="12" s="1"/>
  <c r="H339" i="12"/>
  <c r="M339" i="12" s="1"/>
  <c r="H340" i="12"/>
  <c r="M340" i="12" s="1"/>
  <c r="H341" i="12"/>
  <c r="M341" i="12" s="1"/>
  <c r="H342" i="12"/>
  <c r="M342" i="12" s="1"/>
  <c r="H343" i="12"/>
  <c r="M343" i="12" s="1"/>
  <c r="H344" i="12"/>
  <c r="M344" i="12" s="1"/>
  <c r="H345" i="12"/>
  <c r="M345" i="12" s="1"/>
  <c r="H346" i="12"/>
  <c r="M346" i="12" s="1"/>
  <c r="H353" i="12"/>
  <c r="M353" i="12" s="1"/>
  <c r="H354" i="12"/>
  <c r="M354" i="12" s="1"/>
  <c r="H355" i="12"/>
  <c r="M355" i="12" s="1"/>
  <c r="H356" i="12"/>
  <c r="M356" i="12" s="1"/>
  <c r="H357" i="12"/>
  <c r="M357" i="12" s="1"/>
  <c r="H358" i="12"/>
  <c r="M358" i="12" s="1"/>
  <c r="H359" i="12"/>
  <c r="M359" i="12" s="1"/>
  <c r="H360" i="12"/>
  <c r="M360" i="12" s="1"/>
  <c r="H361" i="12"/>
  <c r="M361" i="12" s="1"/>
  <c r="H362" i="12"/>
  <c r="M362" i="12" s="1"/>
  <c r="H364" i="12"/>
  <c r="M364" i="12" s="1"/>
  <c r="H365" i="12"/>
  <c r="M365" i="12" s="1"/>
  <c r="H366" i="12"/>
  <c r="M366" i="12" s="1"/>
  <c r="H367" i="12"/>
  <c r="M367" i="12" s="1"/>
  <c r="H370" i="12"/>
  <c r="M370" i="12" s="1"/>
  <c r="H371" i="12"/>
  <c r="M371" i="12" s="1"/>
  <c r="H372" i="12"/>
  <c r="M372" i="12" s="1"/>
  <c r="H373" i="12"/>
  <c r="M373" i="12" s="1"/>
  <c r="H374" i="12"/>
  <c r="M374" i="12" s="1"/>
  <c r="H375" i="12"/>
  <c r="M375" i="12" s="1"/>
  <c r="H376" i="12"/>
  <c r="M376" i="12" s="1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22" i="9"/>
  <c r="K9" i="10"/>
  <c r="G31" i="13"/>
  <c r="E31" i="13"/>
  <c r="H30" i="13"/>
  <c r="F31" i="13"/>
  <c r="F11" i="19" l="1"/>
  <c r="E12" i="19"/>
  <c r="F10" i="17"/>
  <c r="E11" i="17"/>
  <c r="N308" i="12"/>
  <c r="N189" i="12"/>
  <c r="N120" i="12"/>
  <c r="N89" i="12"/>
  <c r="N23" i="12"/>
  <c r="M305" i="16"/>
  <c r="N305" i="16" s="1"/>
  <c r="H310" i="15" s="1"/>
  <c r="I310" i="15" s="1"/>
  <c r="J310" i="15" s="1"/>
  <c r="M218" i="16"/>
  <c r="N218" i="16" s="1"/>
  <c r="H223" i="15" s="1"/>
  <c r="I223" i="15" s="1"/>
  <c r="J223" i="15" s="1"/>
  <c r="M134" i="16"/>
  <c r="N134" i="16" s="1"/>
  <c r="H139" i="15" s="1"/>
  <c r="I139" i="15" s="1"/>
  <c r="J139" i="15" s="1"/>
  <c r="M103" i="16"/>
  <c r="N103" i="16" s="1"/>
  <c r="H108" i="15" s="1"/>
  <c r="I108" i="15" s="1"/>
  <c r="J108" i="15" s="1"/>
  <c r="M59" i="16"/>
  <c r="N59" i="16" s="1"/>
  <c r="H64" i="15" s="1"/>
  <c r="I64" i="15" s="1"/>
  <c r="J64" i="15" s="1"/>
  <c r="N323" i="12"/>
  <c r="N199" i="12"/>
  <c r="N119" i="12"/>
  <c r="N61" i="12"/>
  <c r="M360" i="16"/>
  <c r="N360" i="16" s="1"/>
  <c r="H365" i="15" s="1"/>
  <c r="I365" i="15" s="1"/>
  <c r="J365" i="15" s="1"/>
  <c r="M283" i="16"/>
  <c r="N283" i="16" s="1"/>
  <c r="H288" i="15" s="1"/>
  <c r="I288" i="15" s="1"/>
  <c r="J288" i="15" s="1"/>
  <c r="M194" i="16"/>
  <c r="N194" i="16" s="1"/>
  <c r="H199" i="15" s="1"/>
  <c r="I199" i="15" s="1"/>
  <c r="J199" i="15" s="1"/>
  <c r="M124" i="16"/>
  <c r="N124" i="16" s="1"/>
  <c r="H129" i="15" s="1"/>
  <c r="I129" i="15" s="1"/>
  <c r="J129" i="15" s="1"/>
  <c r="M93" i="16"/>
  <c r="N93" i="16" s="1"/>
  <c r="H98" i="15" s="1"/>
  <c r="I98" i="15" s="1"/>
  <c r="J98" i="15" s="1"/>
  <c r="M16" i="16"/>
  <c r="N16" i="16" s="1"/>
  <c r="H21" i="15" s="1"/>
  <c r="I21" i="15" s="1"/>
  <c r="J21" i="15" s="1"/>
  <c r="K22" i="15" s="1"/>
  <c r="N373" i="12"/>
  <c r="N362" i="12"/>
  <c r="N354" i="12"/>
  <c r="N340" i="12"/>
  <c r="N322" i="12"/>
  <c r="N314" i="12"/>
  <c r="N306" i="12"/>
  <c r="N298" i="12"/>
  <c r="N286" i="12"/>
  <c r="N276" i="12"/>
  <c r="N219" i="12"/>
  <c r="N198" i="12"/>
  <c r="N186" i="12"/>
  <c r="N158" i="12"/>
  <c r="N137" i="12"/>
  <c r="N127" i="12"/>
  <c r="N115" i="12"/>
  <c r="N104" i="12"/>
  <c r="N95" i="12"/>
  <c r="N87" i="12"/>
  <c r="N78" i="12"/>
  <c r="N68" i="12"/>
  <c r="N60" i="12"/>
  <c r="N42" i="12"/>
  <c r="N29" i="12"/>
  <c r="N21" i="12"/>
  <c r="M370" i="16"/>
  <c r="N370" i="16" s="1"/>
  <c r="H375" i="15" s="1"/>
  <c r="I375" i="15" s="1"/>
  <c r="J375" i="15" s="1"/>
  <c r="M359" i="16"/>
  <c r="N359" i="16" s="1"/>
  <c r="H364" i="15" s="1"/>
  <c r="I364" i="15" s="1"/>
  <c r="J364" i="15" s="1"/>
  <c r="M345" i="16"/>
  <c r="N345" i="16" s="1"/>
  <c r="H350" i="15" s="1"/>
  <c r="I350" i="15" s="1"/>
  <c r="J350" i="15" s="1"/>
  <c r="M327" i="16"/>
  <c r="N327" i="16" s="1"/>
  <c r="H332" i="15" s="1"/>
  <c r="I332" i="15" s="1"/>
  <c r="J332" i="15" s="1"/>
  <c r="M319" i="16"/>
  <c r="N319" i="16" s="1"/>
  <c r="H324" i="15" s="1"/>
  <c r="I324" i="15" s="1"/>
  <c r="J324" i="15" s="1"/>
  <c r="M311" i="16"/>
  <c r="N311" i="16" s="1"/>
  <c r="H316" i="15" s="1"/>
  <c r="I316" i="15" s="1"/>
  <c r="J316" i="15" s="1"/>
  <c r="M303" i="16"/>
  <c r="N303" i="16" s="1"/>
  <c r="H308" i="15" s="1"/>
  <c r="I308" i="15" s="1"/>
  <c r="J308" i="15" s="1"/>
  <c r="M294" i="16"/>
  <c r="N294" i="16" s="1"/>
  <c r="H299" i="15" s="1"/>
  <c r="I299" i="15" s="1"/>
  <c r="J299" i="15" s="1"/>
  <c r="M282" i="16"/>
  <c r="N282" i="16" s="1"/>
  <c r="H287" i="15" s="1"/>
  <c r="I287" i="15" s="1"/>
  <c r="J287" i="15" s="1"/>
  <c r="M258" i="16"/>
  <c r="N258" i="16" s="1"/>
  <c r="H263" i="15" s="1"/>
  <c r="I263" i="15" s="1"/>
  <c r="J263" i="15" s="1"/>
  <c r="M214" i="16"/>
  <c r="N214" i="16" s="1"/>
  <c r="H219" i="15" s="1"/>
  <c r="I219" i="15" s="1"/>
  <c r="J219" i="15" s="1"/>
  <c r="M193" i="16"/>
  <c r="N193" i="16" s="1"/>
  <c r="H198" i="15" s="1"/>
  <c r="I198" i="15" s="1"/>
  <c r="J198" i="15" s="1"/>
  <c r="M180" i="16"/>
  <c r="N180" i="16" s="1"/>
  <c r="H185" i="15" s="1"/>
  <c r="I185" i="15" s="1"/>
  <c r="J185" i="15" s="1"/>
  <c r="M151" i="16"/>
  <c r="N151" i="16" s="1"/>
  <c r="H156" i="15" s="1"/>
  <c r="I156" i="15" s="1"/>
  <c r="J156" i="15" s="1"/>
  <c r="M132" i="16"/>
  <c r="N132" i="16" s="1"/>
  <c r="H137" i="15" s="1"/>
  <c r="I137" i="15" s="1"/>
  <c r="J137" i="15" s="1"/>
  <c r="M123" i="16"/>
  <c r="N123" i="16" s="1"/>
  <c r="H128" i="15" s="1"/>
  <c r="I128" i="15" s="1"/>
  <c r="J128" i="15" s="1"/>
  <c r="M111" i="16"/>
  <c r="N111" i="16" s="1"/>
  <c r="H116" i="15" s="1"/>
  <c r="I116" i="15" s="1"/>
  <c r="J116" i="15" s="1"/>
  <c r="M101" i="16"/>
  <c r="N101" i="16" s="1"/>
  <c r="H106" i="15" s="1"/>
  <c r="I106" i="15" s="1"/>
  <c r="J106" i="15" s="1"/>
  <c r="M92" i="16"/>
  <c r="N92" i="16" s="1"/>
  <c r="H97" i="15" s="1"/>
  <c r="I97" i="15" s="1"/>
  <c r="J97" i="15" s="1"/>
  <c r="M83" i="16"/>
  <c r="N83" i="16" s="1"/>
  <c r="H88" i="15" s="1"/>
  <c r="I88" i="15" s="1"/>
  <c r="J88" i="15" s="1"/>
  <c r="M75" i="16"/>
  <c r="N75" i="16" s="1"/>
  <c r="H80" i="15" s="1"/>
  <c r="I80" i="15" s="1"/>
  <c r="J80" i="15" s="1"/>
  <c r="M65" i="16"/>
  <c r="N65" i="16" s="1"/>
  <c r="H70" i="15" s="1"/>
  <c r="I70" i="15" s="1"/>
  <c r="J70" i="15" s="1"/>
  <c r="M57" i="16"/>
  <c r="N57" i="16" s="1"/>
  <c r="H62" i="15" s="1"/>
  <c r="I62" i="15" s="1"/>
  <c r="J62" i="15" s="1"/>
  <c r="M35" i="16"/>
  <c r="N35" i="16" s="1"/>
  <c r="H40" i="15" s="1"/>
  <c r="I40" i="15" s="1"/>
  <c r="J40" i="15" s="1"/>
  <c r="M26" i="16"/>
  <c r="N26" i="16" s="1"/>
  <c r="H31" i="15" s="1"/>
  <c r="I31" i="15" s="1"/>
  <c r="J31" i="15" s="1"/>
  <c r="N375" i="12"/>
  <c r="N324" i="12"/>
  <c r="N255" i="12"/>
  <c r="N139" i="12"/>
  <c r="N80" i="12"/>
  <c r="N47" i="12"/>
  <c r="M353" i="16"/>
  <c r="N353" i="16" s="1"/>
  <c r="H358" i="15" s="1"/>
  <c r="I358" i="15" s="1"/>
  <c r="J358" i="15" s="1"/>
  <c r="M297" i="16"/>
  <c r="N297" i="16" s="1"/>
  <c r="H302" i="15" s="1"/>
  <c r="I302" i="15" s="1"/>
  <c r="J302" i="15" s="1"/>
  <c r="M185" i="16"/>
  <c r="N185" i="16" s="1"/>
  <c r="H190" i="15" s="1"/>
  <c r="I190" i="15" s="1"/>
  <c r="J190" i="15" s="1"/>
  <c r="M28" i="16"/>
  <c r="N28" i="16" s="1"/>
  <c r="H33" i="15" s="1"/>
  <c r="I33" i="15" s="1"/>
  <c r="J33" i="15" s="1"/>
  <c r="N341" i="12"/>
  <c r="N277" i="12"/>
  <c r="N159" i="12"/>
  <c r="N107" i="12"/>
  <c r="N88" i="12"/>
  <c r="N22" i="12"/>
  <c r="M296" i="16"/>
  <c r="N296" i="16" s="1"/>
  <c r="H301" i="15" s="1"/>
  <c r="I301" i="15" s="1"/>
  <c r="J301" i="15" s="1"/>
  <c r="M36" i="16"/>
  <c r="N36" i="16" s="1"/>
  <c r="H41" i="15" s="1"/>
  <c r="I41" i="15" s="1"/>
  <c r="J41" i="15" s="1"/>
  <c r="N372" i="12"/>
  <c r="N361" i="12"/>
  <c r="N353" i="12"/>
  <c r="N339" i="12"/>
  <c r="N321" i="12"/>
  <c r="N313" i="12"/>
  <c r="N305" i="12"/>
  <c r="N297" i="12"/>
  <c r="N284" i="12"/>
  <c r="N260" i="12"/>
  <c r="N218" i="12"/>
  <c r="N195" i="12"/>
  <c r="N185" i="12"/>
  <c r="N157" i="12"/>
  <c r="N134" i="12"/>
  <c r="N125" i="12"/>
  <c r="N113" i="12"/>
  <c r="N103" i="12"/>
  <c r="N94" i="12"/>
  <c r="N86" i="12"/>
  <c r="N77" i="12"/>
  <c r="N67" i="12"/>
  <c r="N59" i="12"/>
  <c r="N37" i="12"/>
  <c r="N28" i="12"/>
  <c r="N17" i="12"/>
  <c r="M367" i="16"/>
  <c r="N367" i="16" s="1"/>
  <c r="H372" i="15" s="1"/>
  <c r="I372" i="15" s="1"/>
  <c r="J372" i="15" s="1"/>
  <c r="M358" i="16"/>
  <c r="N358" i="16" s="1"/>
  <c r="H363" i="15" s="1"/>
  <c r="I363" i="15" s="1"/>
  <c r="J363" i="15" s="1"/>
  <c r="M344" i="16"/>
  <c r="N344" i="16" s="1"/>
  <c r="H349" i="15" s="1"/>
  <c r="I349" i="15" s="1"/>
  <c r="J349" i="15" s="1"/>
  <c r="M326" i="16"/>
  <c r="N326" i="16" s="1"/>
  <c r="H331" i="15" s="1"/>
  <c r="I331" i="15" s="1"/>
  <c r="J331" i="15" s="1"/>
  <c r="M318" i="16"/>
  <c r="N318" i="16" s="1"/>
  <c r="H323" i="15" s="1"/>
  <c r="I323" i="15" s="1"/>
  <c r="J323" i="15" s="1"/>
  <c r="M310" i="16"/>
  <c r="N310" i="16" s="1"/>
  <c r="H315" i="15" s="1"/>
  <c r="I315" i="15" s="1"/>
  <c r="J315" i="15" s="1"/>
  <c r="M302" i="16"/>
  <c r="N302" i="16" s="1"/>
  <c r="H307" i="15" s="1"/>
  <c r="I307" i="15" s="1"/>
  <c r="J307" i="15" s="1"/>
  <c r="M293" i="16"/>
  <c r="N293" i="16" s="1"/>
  <c r="H298" i="15" s="1"/>
  <c r="I298" i="15" s="1"/>
  <c r="J298" i="15" s="1"/>
  <c r="M281" i="16"/>
  <c r="N281" i="16" s="1"/>
  <c r="H286" i="15" s="1"/>
  <c r="I286" i="15" s="1"/>
  <c r="J286" i="15" s="1"/>
  <c r="M257" i="16"/>
  <c r="N257" i="16" s="1"/>
  <c r="H262" i="15" s="1"/>
  <c r="I262" i="15" s="1"/>
  <c r="J262" i="15" s="1"/>
  <c r="M202" i="16"/>
  <c r="N202" i="16" s="1"/>
  <c r="H207" i="15" s="1"/>
  <c r="I207" i="15" s="1"/>
  <c r="J207" i="15" s="1"/>
  <c r="M192" i="16"/>
  <c r="N192" i="16" s="1"/>
  <c r="H197" i="15" s="1"/>
  <c r="I197" i="15" s="1"/>
  <c r="J197" i="15" s="1"/>
  <c r="M174" i="16"/>
  <c r="N174" i="16" s="1"/>
  <c r="H179" i="15" s="1"/>
  <c r="I179" i="15" s="1"/>
  <c r="J179" i="15" s="1"/>
  <c r="M147" i="16"/>
  <c r="N147" i="16" s="1"/>
  <c r="H152" i="15" s="1"/>
  <c r="I152" i="15" s="1"/>
  <c r="J152" i="15" s="1"/>
  <c r="M131" i="16"/>
  <c r="N131" i="16" s="1"/>
  <c r="H136" i="15" s="1"/>
  <c r="I136" i="15" s="1"/>
  <c r="J136" i="15" s="1"/>
  <c r="M122" i="16"/>
  <c r="N122" i="16" s="1"/>
  <c r="H127" i="15" s="1"/>
  <c r="I127" i="15" s="1"/>
  <c r="J127" i="15" s="1"/>
  <c r="M110" i="16"/>
  <c r="N110" i="16" s="1"/>
  <c r="H115" i="15" s="1"/>
  <c r="I115" i="15" s="1"/>
  <c r="J115" i="15" s="1"/>
  <c r="M100" i="16"/>
  <c r="N100" i="16" s="1"/>
  <c r="H105" i="15" s="1"/>
  <c r="I105" i="15" s="1"/>
  <c r="J105" i="15" s="1"/>
  <c r="M91" i="16"/>
  <c r="N91" i="16" s="1"/>
  <c r="H96" i="15" s="1"/>
  <c r="I96" i="15" s="1"/>
  <c r="J96" i="15" s="1"/>
  <c r="M82" i="16"/>
  <c r="N82" i="16" s="1"/>
  <c r="H87" i="15" s="1"/>
  <c r="I87" i="15" s="1"/>
  <c r="J87" i="15" s="1"/>
  <c r="M74" i="16"/>
  <c r="N74" i="16" s="1"/>
  <c r="H79" i="15" s="1"/>
  <c r="I79" i="15" s="1"/>
  <c r="J79" i="15" s="1"/>
  <c r="M64" i="16"/>
  <c r="N64" i="16" s="1"/>
  <c r="H69" i="15" s="1"/>
  <c r="I69" i="15" s="1"/>
  <c r="J69" i="15" s="1"/>
  <c r="M56" i="16"/>
  <c r="N56" i="16" s="1"/>
  <c r="H61" i="15" s="1"/>
  <c r="I61" i="15" s="1"/>
  <c r="J61" i="15" s="1"/>
  <c r="M34" i="16"/>
  <c r="N34" i="16" s="1"/>
  <c r="H39" i="15" s="1"/>
  <c r="I39" i="15" s="1"/>
  <c r="J39" i="15" s="1"/>
  <c r="M25" i="16"/>
  <c r="N25" i="16" s="1"/>
  <c r="H30" i="15" s="1"/>
  <c r="I30" i="15" s="1"/>
  <c r="J30" i="15" s="1"/>
  <c r="M67" i="16"/>
  <c r="N67" i="16" s="1"/>
  <c r="H72" i="15" s="1"/>
  <c r="I72" i="15" s="1"/>
  <c r="J72" i="15" s="1"/>
  <c r="N364" i="12"/>
  <c r="N299" i="12"/>
  <c r="N79" i="12"/>
  <c r="M371" i="16"/>
  <c r="N371" i="16" s="1"/>
  <c r="H376" i="15" s="1"/>
  <c r="I376" i="15" s="1"/>
  <c r="J376" i="15" s="1"/>
  <c r="M320" i="16"/>
  <c r="N320" i="16" s="1"/>
  <c r="H325" i="15" s="1"/>
  <c r="I325" i="15" s="1"/>
  <c r="J325" i="15" s="1"/>
  <c r="M215" i="16"/>
  <c r="N215" i="16" s="1"/>
  <c r="H220" i="15" s="1"/>
  <c r="I220" i="15" s="1"/>
  <c r="J220" i="15" s="1"/>
  <c r="M27" i="16"/>
  <c r="N27" i="16" s="1"/>
  <c r="H32" i="15" s="1"/>
  <c r="I32" i="15" s="1"/>
  <c r="J32" i="15" s="1"/>
  <c r="N371" i="12"/>
  <c r="N360" i="12"/>
  <c r="N346" i="12"/>
  <c r="N338" i="12"/>
  <c r="N320" i="12"/>
  <c r="N312" i="12"/>
  <c r="N304" i="12"/>
  <c r="N296" i="12"/>
  <c r="N283" i="12"/>
  <c r="N259" i="12"/>
  <c r="N215" i="12"/>
  <c r="N194" i="12"/>
  <c r="N184" i="12"/>
  <c r="N156" i="12"/>
  <c r="N133" i="12"/>
  <c r="N124" i="12"/>
  <c r="N112" i="12"/>
  <c r="N102" i="12"/>
  <c r="N93" i="12"/>
  <c r="N84" i="12"/>
  <c r="N76" i="12"/>
  <c r="N66" i="12"/>
  <c r="N58" i="12"/>
  <c r="N36" i="12"/>
  <c r="N27" i="12"/>
  <c r="M376" i="16"/>
  <c r="N376" i="16" s="1"/>
  <c r="H381" i="15" s="1"/>
  <c r="I381" i="15" s="1"/>
  <c r="J381" i="15" s="1"/>
  <c r="M366" i="16"/>
  <c r="N366" i="16" s="1"/>
  <c r="H371" i="15" s="1"/>
  <c r="I371" i="15" s="1"/>
  <c r="J371" i="15" s="1"/>
  <c r="M357" i="16"/>
  <c r="N357" i="16" s="1"/>
  <c r="H362" i="15" s="1"/>
  <c r="I362" i="15" s="1"/>
  <c r="J362" i="15" s="1"/>
  <c r="M343" i="16"/>
  <c r="N343" i="16" s="1"/>
  <c r="H348" i="15" s="1"/>
  <c r="I348" i="15" s="1"/>
  <c r="J348" i="15" s="1"/>
  <c r="M325" i="16"/>
  <c r="N325" i="16" s="1"/>
  <c r="H330" i="15" s="1"/>
  <c r="I330" i="15" s="1"/>
  <c r="J330" i="15" s="1"/>
  <c r="M317" i="16"/>
  <c r="N317" i="16" s="1"/>
  <c r="H322" i="15" s="1"/>
  <c r="I322" i="15" s="1"/>
  <c r="J322" i="15" s="1"/>
  <c r="M309" i="16"/>
  <c r="N309" i="16" s="1"/>
  <c r="H314" i="15" s="1"/>
  <c r="I314" i="15" s="1"/>
  <c r="J314" i="15" s="1"/>
  <c r="M301" i="16"/>
  <c r="N301" i="16" s="1"/>
  <c r="H306" i="15" s="1"/>
  <c r="I306" i="15" s="1"/>
  <c r="J306" i="15" s="1"/>
  <c r="M292" i="16"/>
  <c r="N292" i="16" s="1"/>
  <c r="H297" i="15" s="1"/>
  <c r="I297" i="15" s="1"/>
  <c r="J297" i="15" s="1"/>
  <c r="M280" i="16"/>
  <c r="N280" i="16" s="1"/>
  <c r="H285" i="15" s="1"/>
  <c r="I285" i="15" s="1"/>
  <c r="J285" i="15" s="1"/>
  <c r="M256" i="16"/>
  <c r="N256" i="16" s="1"/>
  <c r="H261" i="15" s="1"/>
  <c r="I261" i="15" s="1"/>
  <c r="J261" i="15" s="1"/>
  <c r="M201" i="16"/>
  <c r="N201" i="16" s="1"/>
  <c r="H206" i="15" s="1"/>
  <c r="I206" i="15" s="1"/>
  <c r="J206" i="15" s="1"/>
  <c r="M190" i="16"/>
  <c r="N190" i="16" s="1"/>
  <c r="H195" i="15" s="1"/>
  <c r="I195" i="15" s="1"/>
  <c r="J195" i="15" s="1"/>
  <c r="M162" i="16"/>
  <c r="N162" i="16" s="1"/>
  <c r="H167" i="15" s="1"/>
  <c r="I167" i="15" s="1"/>
  <c r="J167" i="15" s="1"/>
  <c r="M145" i="16"/>
  <c r="N145" i="16" s="1"/>
  <c r="H150" i="15" s="1"/>
  <c r="I150" i="15" s="1"/>
  <c r="J150" i="15" s="1"/>
  <c r="M130" i="16"/>
  <c r="N130" i="16" s="1"/>
  <c r="H135" i="15" s="1"/>
  <c r="I135" i="15" s="1"/>
  <c r="J135" i="15" s="1"/>
  <c r="M121" i="16"/>
  <c r="N121" i="16" s="1"/>
  <c r="H126" i="15" s="1"/>
  <c r="I126" i="15" s="1"/>
  <c r="J126" i="15" s="1"/>
  <c r="M109" i="16"/>
  <c r="N109" i="16" s="1"/>
  <c r="H114" i="15" s="1"/>
  <c r="I114" i="15" s="1"/>
  <c r="J114" i="15" s="1"/>
  <c r="M99" i="16"/>
  <c r="N99" i="16" s="1"/>
  <c r="H104" i="15" s="1"/>
  <c r="I104" i="15" s="1"/>
  <c r="J104" i="15" s="1"/>
  <c r="M90" i="16"/>
  <c r="N90" i="16" s="1"/>
  <c r="H95" i="15" s="1"/>
  <c r="I95" i="15" s="1"/>
  <c r="J95" i="15" s="1"/>
  <c r="M81" i="16"/>
  <c r="N81" i="16" s="1"/>
  <c r="H86" i="15" s="1"/>
  <c r="I86" i="15" s="1"/>
  <c r="J86" i="15" s="1"/>
  <c r="M72" i="16"/>
  <c r="N72" i="16" s="1"/>
  <c r="H77" i="15" s="1"/>
  <c r="I77" i="15" s="1"/>
  <c r="J77" i="15" s="1"/>
  <c r="M63" i="16"/>
  <c r="N63" i="16" s="1"/>
  <c r="H68" i="15" s="1"/>
  <c r="I68" i="15" s="1"/>
  <c r="J68" i="15" s="1"/>
  <c r="M55" i="16"/>
  <c r="N55" i="16" s="1"/>
  <c r="H60" i="15" s="1"/>
  <c r="I60" i="15" s="1"/>
  <c r="J60" i="15" s="1"/>
  <c r="M33" i="16"/>
  <c r="N33" i="16" s="1"/>
  <c r="H38" i="15" s="1"/>
  <c r="I38" i="15" s="1"/>
  <c r="J38" i="15" s="1"/>
  <c r="M24" i="16"/>
  <c r="N24" i="16" s="1"/>
  <c r="H29" i="15" s="1"/>
  <c r="I29" i="15" s="1"/>
  <c r="J29" i="15" s="1"/>
  <c r="N356" i="12"/>
  <c r="N279" i="12"/>
  <c r="N108" i="12"/>
  <c r="N31" i="12"/>
  <c r="M321" i="16"/>
  <c r="N321" i="16" s="1"/>
  <c r="H326" i="15" s="1"/>
  <c r="I326" i="15" s="1"/>
  <c r="J326" i="15" s="1"/>
  <c r="M284" i="16"/>
  <c r="N284" i="16" s="1"/>
  <c r="H289" i="15" s="1"/>
  <c r="I289" i="15" s="1"/>
  <c r="J289" i="15" s="1"/>
  <c r="M157" i="16"/>
  <c r="N157" i="16" s="1"/>
  <c r="H162" i="15" s="1"/>
  <c r="I162" i="15" s="1"/>
  <c r="J162" i="15" s="1"/>
  <c r="M94" i="16"/>
  <c r="N94" i="16" s="1"/>
  <c r="H99" i="15" s="1"/>
  <c r="I99" i="15" s="1"/>
  <c r="J99" i="15" s="1"/>
  <c r="M77" i="16"/>
  <c r="N77" i="16" s="1"/>
  <c r="H82" i="15" s="1"/>
  <c r="I82" i="15" s="1"/>
  <c r="J82" i="15" s="1"/>
  <c r="N287" i="12"/>
  <c r="N138" i="12"/>
  <c r="N46" i="12"/>
  <c r="M338" i="16"/>
  <c r="N338" i="16" s="1"/>
  <c r="H343" i="15" s="1"/>
  <c r="I343" i="15" s="1"/>
  <c r="J343" i="15" s="1"/>
  <c r="M259" i="16"/>
  <c r="N259" i="16" s="1"/>
  <c r="H264" i="15" s="1"/>
  <c r="I264" i="15" s="1"/>
  <c r="J264" i="15" s="1"/>
  <c r="M156" i="16"/>
  <c r="N156" i="16" s="1"/>
  <c r="H161" i="15" s="1"/>
  <c r="I161" i="15" s="1"/>
  <c r="J161" i="15" s="1"/>
  <c r="M112" i="16"/>
  <c r="N112" i="16" s="1"/>
  <c r="H117" i="15" s="1"/>
  <c r="I117" i="15" s="1"/>
  <c r="J117" i="15" s="1"/>
  <c r="M84" i="16"/>
  <c r="N84" i="16" s="1"/>
  <c r="H89" i="15" s="1"/>
  <c r="I89" i="15" s="1"/>
  <c r="J89" i="15" s="1"/>
  <c r="M66" i="16"/>
  <c r="N66" i="16" s="1"/>
  <c r="H71" i="15" s="1"/>
  <c r="I71" i="15" s="1"/>
  <c r="J71" i="15" s="1"/>
  <c r="N370" i="12"/>
  <c r="N359" i="12"/>
  <c r="N345" i="12"/>
  <c r="N327" i="12"/>
  <c r="N319" i="12"/>
  <c r="N311" i="12"/>
  <c r="N303" i="12"/>
  <c r="N294" i="12"/>
  <c r="N282" i="12"/>
  <c r="N258" i="12"/>
  <c r="N214" i="12"/>
  <c r="N193" i="12"/>
  <c r="N180" i="12"/>
  <c r="N151" i="12"/>
  <c r="N132" i="12"/>
  <c r="N123" i="12"/>
  <c r="N111" i="12"/>
  <c r="N101" i="12"/>
  <c r="N92" i="12"/>
  <c r="N83" i="12"/>
  <c r="N75" i="12"/>
  <c r="N65" i="12"/>
  <c r="N57" i="12"/>
  <c r="N35" i="12"/>
  <c r="N26" i="12"/>
  <c r="M375" i="16"/>
  <c r="N375" i="16" s="1"/>
  <c r="H380" i="15" s="1"/>
  <c r="I380" i="15" s="1"/>
  <c r="J380" i="15" s="1"/>
  <c r="M365" i="16"/>
  <c r="N365" i="16" s="1"/>
  <c r="H370" i="15" s="1"/>
  <c r="I370" i="15" s="1"/>
  <c r="J370" i="15" s="1"/>
  <c r="M356" i="16"/>
  <c r="N356" i="16" s="1"/>
  <c r="H361" i="15" s="1"/>
  <c r="I361" i="15" s="1"/>
  <c r="J361" i="15" s="1"/>
  <c r="M342" i="16"/>
  <c r="N342" i="16" s="1"/>
  <c r="H347" i="15" s="1"/>
  <c r="I347" i="15" s="1"/>
  <c r="J347" i="15" s="1"/>
  <c r="M324" i="16"/>
  <c r="N324" i="16" s="1"/>
  <c r="H329" i="15" s="1"/>
  <c r="I329" i="15" s="1"/>
  <c r="J329" i="15" s="1"/>
  <c r="M316" i="16"/>
  <c r="N316" i="16" s="1"/>
  <c r="H321" i="15" s="1"/>
  <c r="I321" i="15" s="1"/>
  <c r="J321" i="15" s="1"/>
  <c r="M308" i="16"/>
  <c r="N308" i="16" s="1"/>
  <c r="H313" i="15" s="1"/>
  <c r="I313" i="15" s="1"/>
  <c r="J313" i="15" s="1"/>
  <c r="M300" i="16"/>
  <c r="N300" i="16" s="1"/>
  <c r="H305" i="15" s="1"/>
  <c r="I305" i="15" s="1"/>
  <c r="J305" i="15" s="1"/>
  <c r="M291" i="16"/>
  <c r="N291" i="16" s="1"/>
  <c r="H296" i="15" s="1"/>
  <c r="I296" i="15" s="1"/>
  <c r="J296" i="15" s="1"/>
  <c r="M279" i="16"/>
  <c r="N279" i="16" s="1"/>
  <c r="H284" i="15" s="1"/>
  <c r="I284" i="15" s="1"/>
  <c r="J284" i="15" s="1"/>
  <c r="M255" i="16"/>
  <c r="N255" i="16" s="1"/>
  <c r="H260" i="15" s="1"/>
  <c r="I260" i="15" s="1"/>
  <c r="J260" i="15" s="1"/>
  <c r="M200" i="16"/>
  <c r="N200" i="16" s="1"/>
  <c r="H205" i="15" s="1"/>
  <c r="I205" i="15" s="1"/>
  <c r="J205" i="15" s="1"/>
  <c r="M189" i="16"/>
  <c r="N189" i="16" s="1"/>
  <c r="H194" i="15" s="1"/>
  <c r="I194" i="15" s="1"/>
  <c r="J194" i="15" s="1"/>
  <c r="M160" i="16"/>
  <c r="N160" i="16" s="1"/>
  <c r="H165" i="15" s="1"/>
  <c r="I165" i="15" s="1"/>
  <c r="J165" i="15" s="1"/>
  <c r="M139" i="16"/>
  <c r="N139" i="16" s="1"/>
  <c r="H144" i="15" s="1"/>
  <c r="I144" i="15" s="1"/>
  <c r="J144" i="15" s="1"/>
  <c r="M129" i="16"/>
  <c r="N129" i="16" s="1"/>
  <c r="H134" i="15" s="1"/>
  <c r="I134" i="15" s="1"/>
  <c r="J134" i="15" s="1"/>
  <c r="M120" i="16"/>
  <c r="N120" i="16" s="1"/>
  <c r="H125" i="15" s="1"/>
  <c r="I125" i="15" s="1"/>
  <c r="J125" i="15" s="1"/>
  <c r="M108" i="16"/>
  <c r="N108" i="16" s="1"/>
  <c r="H113" i="15" s="1"/>
  <c r="I113" i="15" s="1"/>
  <c r="J113" i="15" s="1"/>
  <c r="M98" i="16"/>
  <c r="N98" i="16" s="1"/>
  <c r="H103" i="15" s="1"/>
  <c r="I103" i="15" s="1"/>
  <c r="J103" i="15" s="1"/>
  <c r="M89" i="16"/>
  <c r="N89" i="16" s="1"/>
  <c r="H94" i="15" s="1"/>
  <c r="I94" i="15" s="1"/>
  <c r="J94" i="15" s="1"/>
  <c r="M80" i="16"/>
  <c r="N80" i="16" s="1"/>
  <c r="H85" i="15" s="1"/>
  <c r="I85" i="15" s="1"/>
  <c r="J85" i="15" s="1"/>
  <c r="M70" i="16"/>
  <c r="N70" i="16" s="1"/>
  <c r="H75" i="15" s="1"/>
  <c r="I75" i="15" s="1"/>
  <c r="J75" i="15" s="1"/>
  <c r="M62" i="16"/>
  <c r="N62" i="16" s="1"/>
  <c r="H67" i="15" s="1"/>
  <c r="I67" i="15" s="1"/>
  <c r="J67" i="15" s="1"/>
  <c r="M47" i="16"/>
  <c r="N47" i="16" s="1"/>
  <c r="H52" i="15" s="1"/>
  <c r="I52" i="15" s="1"/>
  <c r="J52" i="15" s="1"/>
  <c r="M31" i="16"/>
  <c r="N31" i="16" s="1"/>
  <c r="H36" i="15" s="1"/>
  <c r="I36" i="15" s="1"/>
  <c r="J36" i="15" s="1"/>
  <c r="M23" i="16"/>
  <c r="N23" i="16" s="1"/>
  <c r="H28" i="15" s="1"/>
  <c r="I28" i="15" s="1"/>
  <c r="J28" i="15" s="1"/>
  <c r="N342" i="12"/>
  <c r="N300" i="12"/>
  <c r="N200" i="12"/>
  <c r="N160" i="12"/>
  <c r="N98" i="12"/>
  <c r="N70" i="12"/>
  <c r="M372" i="16"/>
  <c r="N372" i="16" s="1"/>
  <c r="H377" i="15" s="1"/>
  <c r="I377" i="15" s="1"/>
  <c r="J377" i="15" s="1"/>
  <c r="M313" i="16"/>
  <c r="N313" i="16" s="1"/>
  <c r="H318" i="15" s="1"/>
  <c r="I318" i="15" s="1"/>
  <c r="J318" i="15" s="1"/>
  <c r="M195" i="16"/>
  <c r="N195" i="16" s="1"/>
  <c r="H200" i="15" s="1"/>
  <c r="I200" i="15" s="1"/>
  <c r="J200" i="15" s="1"/>
  <c r="M125" i="16"/>
  <c r="N125" i="16" s="1"/>
  <c r="H130" i="15" s="1"/>
  <c r="I130" i="15" s="1"/>
  <c r="J130" i="15" s="1"/>
  <c r="M86" i="16"/>
  <c r="N86" i="16" s="1"/>
  <c r="H91" i="15" s="1"/>
  <c r="I91" i="15" s="1"/>
  <c r="J91" i="15" s="1"/>
  <c r="M37" i="16"/>
  <c r="N37" i="16" s="1"/>
  <c r="H42" i="15" s="1"/>
  <c r="I42" i="15" s="1"/>
  <c r="J42" i="15" s="1"/>
  <c r="N374" i="12"/>
  <c r="N315" i="12"/>
  <c r="N220" i="12"/>
  <c r="N128" i="12"/>
  <c r="N96" i="12"/>
  <c r="N69" i="12"/>
  <c r="M346" i="16"/>
  <c r="N346" i="16" s="1"/>
  <c r="H351" i="15" s="1"/>
  <c r="I351" i="15" s="1"/>
  <c r="J351" i="15" s="1"/>
  <c r="M304" i="16"/>
  <c r="N304" i="16" s="1"/>
  <c r="H309" i="15" s="1"/>
  <c r="I309" i="15" s="1"/>
  <c r="J309" i="15" s="1"/>
  <c r="M184" i="16"/>
  <c r="N184" i="16" s="1"/>
  <c r="H189" i="15" s="1"/>
  <c r="I189" i="15" s="1"/>
  <c r="J189" i="15" s="1"/>
  <c r="M133" i="16"/>
  <c r="N133" i="16" s="1"/>
  <c r="H138" i="15" s="1"/>
  <c r="I138" i="15" s="1"/>
  <c r="J138" i="15" s="1"/>
  <c r="M102" i="16"/>
  <c r="N102" i="16" s="1"/>
  <c r="H107" i="15" s="1"/>
  <c r="I107" i="15" s="1"/>
  <c r="J107" i="15" s="1"/>
  <c r="M58" i="16"/>
  <c r="N58" i="16" s="1"/>
  <c r="H63" i="15" s="1"/>
  <c r="I63" i="15" s="1"/>
  <c r="J63" i="15" s="1"/>
  <c r="N367" i="12"/>
  <c r="N358" i="12"/>
  <c r="N344" i="12"/>
  <c r="N326" i="12"/>
  <c r="N318" i="12"/>
  <c r="N310" i="12"/>
  <c r="N302" i="12"/>
  <c r="N293" i="12"/>
  <c r="N281" i="12"/>
  <c r="N257" i="12"/>
  <c r="N202" i="12"/>
  <c r="N192" i="12"/>
  <c r="N174" i="12"/>
  <c r="N147" i="12"/>
  <c r="N131" i="12"/>
  <c r="N122" i="12"/>
  <c r="N110" i="12"/>
  <c r="N100" i="12"/>
  <c r="N91" i="12"/>
  <c r="N82" i="12"/>
  <c r="N74" i="12"/>
  <c r="N64" i="12"/>
  <c r="N56" i="12"/>
  <c r="N34" i="12"/>
  <c r="N25" i="12"/>
  <c r="M374" i="16"/>
  <c r="N374" i="16" s="1"/>
  <c r="H379" i="15" s="1"/>
  <c r="I379" i="15" s="1"/>
  <c r="J379" i="15" s="1"/>
  <c r="M364" i="16"/>
  <c r="N364" i="16" s="1"/>
  <c r="H369" i="15" s="1"/>
  <c r="I369" i="15" s="1"/>
  <c r="J369" i="15" s="1"/>
  <c r="M355" i="16"/>
  <c r="N355" i="16" s="1"/>
  <c r="H360" i="15" s="1"/>
  <c r="I360" i="15" s="1"/>
  <c r="J360" i="15" s="1"/>
  <c r="M341" i="16"/>
  <c r="N341" i="16" s="1"/>
  <c r="H346" i="15" s="1"/>
  <c r="I346" i="15" s="1"/>
  <c r="J346" i="15" s="1"/>
  <c r="M323" i="16"/>
  <c r="N323" i="16" s="1"/>
  <c r="H328" i="15" s="1"/>
  <c r="I328" i="15" s="1"/>
  <c r="J328" i="15" s="1"/>
  <c r="M315" i="16"/>
  <c r="N315" i="16" s="1"/>
  <c r="H320" i="15" s="1"/>
  <c r="I320" i="15" s="1"/>
  <c r="J320" i="15" s="1"/>
  <c r="M307" i="16"/>
  <c r="N307" i="16" s="1"/>
  <c r="H312" i="15" s="1"/>
  <c r="I312" i="15" s="1"/>
  <c r="J312" i="15" s="1"/>
  <c r="M299" i="16"/>
  <c r="N299" i="16" s="1"/>
  <c r="H304" i="15" s="1"/>
  <c r="I304" i="15" s="1"/>
  <c r="J304" i="15" s="1"/>
  <c r="M287" i="16"/>
  <c r="N287" i="16" s="1"/>
  <c r="H292" i="15" s="1"/>
  <c r="I292" i="15" s="1"/>
  <c r="J292" i="15" s="1"/>
  <c r="M277" i="16"/>
  <c r="N277" i="16" s="1"/>
  <c r="H282" i="15" s="1"/>
  <c r="I282" i="15" s="1"/>
  <c r="J282" i="15" s="1"/>
  <c r="M220" i="16"/>
  <c r="N220" i="16" s="1"/>
  <c r="H225" i="15" s="1"/>
  <c r="I225" i="15" s="1"/>
  <c r="J225" i="15" s="1"/>
  <c r="M199" i="16"/>
  <c r="N199" i="16" s="1"/>
  <c r="H204" i="15" s="1"/>
  <c r="I204" i="15" s="1"/>
  <c r="J204" i="15" s="1"/>
  <c r="M187" i="16"/>
  <c r="N187" i="16" s="1"/>
  <c r="H192" i="15" s="1"/>
  <c r="I192" i="15" s="1"/>
  <c r="J192" i="15" s="1"/>
  <c r="M159" i="16"/>
  <c r="N159" i="16" s="1"/>
  <c r="H164" i="15" s="1"/>
  <c r="I164" i="15" s="1"/>
  <c r="J164" i="15" s="1"/>
  <c r="M138" i="16"/>
  <c r="N138" i="16" s="1"/>
  <c r="H143" i="15" s="1"/>
  <c r="I143" i="15" s="1"/>
  <c r="J143" i="15" s="1"/>
  <c r="M128" i="16"/>
  <c r="N128" i="16" s="1"/>
  <c r="H133" i="15" s="1"/>
  <c r="I133" i="15" s="1"/>
  <c r="J133" i="15" s="1"/>
  <c r="M119" i="16"/>
  <c r="N119" i="16" s="1"/>
  <c r="H124" i="15" s="1"/>
  <c r="I124" i="15" s="1"/>
  <c r="J124" i="15" s="1"/>
  <c r="M107" i="16"/>
  <c r="N107" i="16" s="1"/>
  <c r="H112" i="15" s="1"/>
  <c r="I112" i="15" s="1"/>
  <c r="J112" i="15" s="1"/>
  <c r="M96" i="16"/>
  <c r="N96" i="16" s="1"/>
  <c r="H101" i="15" s="1"/>
  <c r="I101" i="15" s="1"/>
  <c r="J101" i="15" s="1"/>
  <c r="M88" i="16"/>
  <c r="N88" i="16" s="1"/>
  <c r="H93" i="15" s="1"/>
  <c r="I93" i="15" s="1"/>
  <c r="J93" i="15" s="1"/>
  <c r="M79" i="16"/>
  <c r="N79" i="16" s="1"/>
  <c r="H84" i="15" s="1"/>
  <c r="I84" i="15" s="1"/>
  <c r="J84" i="15" s="1"/>
  <c r="M69" i="16"/>
  <c r="N69" i="16" s="1"/>
  <c r="H74" i="15" s="1"/>
  <c r="I74" i="15" s="1"/>
  <c r="J74" i="15" s="1"/>
  <c r="M61" i="16"/>
  <c r="N61" i="16" s="1"/>
  <c r="H66" i="15" s="1"/>
  <c r="I66" i="15" s="1"/>
  <c r="J66" i="15" s="1"/>
  <c r="M46" i="16"/>
  <c r="N46" i="16" s="1"/>
  <c r="H51" i="15" s="1"/>
  <c r="I51" i="15" s="1"/>
  <c r="J51" i="15" s="1"/>
  <c r="M30" i="16"/>
  <c r="N30" i="16" s="1"/>
  <c r="H35" i="15" s="1"/>
  <c r="I35" i="15" s="1"/>
  <c r="J35" i="15" s="1"/>
  <c r="M22" i="16"/>
  <c r="N22" i="16" s="1"/>
  <c r="H27" i="15" s="1"/>
  <c r="I27" i="15" s="1"/>
  <c r="J27" i="15" s="1"/>
  <c r="N16" i="12"/>
  <c r="N365" i="12"/>
  <c r="N316" i="12"/>
  <c r="N291" i="12"/>
  <c r="N129" i="12"/>
  <c r="N62" i="12"/>
  <c r="M361" i="16"/>
  <c r="N361" i="16" s="1"/>
  <c r="H366" i="15" s="1"/>
  <c r="I366" i="15" s="1"/>
  <c r="J366" i="15" s="1"/>
  <c r="M339" i="16"/>
  <c r="N339" i="16" s="1"/>
  <c r="H344" i="15" s="1"/>
  <c r="I344" i="15" s="1"/>
  <c r="J344" i="15" s="1"/>
  <c r="M260" i="16"/>
  <c r="N260" i="16" s="1"/>
  <c r="H265" i="15" s="1"/>
  <c r="I265" i="15" s="1"/>
  <c r="J265" i="15" s="1"/>
  <c r="M113" i="16"/>
  <c r="N113" i="16" s="1"/>
  <c r="H118" i="15" s="1"/>
  <c r="I118" i="15" s="1"/>
  <c r="J118" i="15" s="1"/>
  <c r="M17" i="16"/>
  <c r="N17" i="16" s="1"/>
  <c r="H22" i="15" s="1"/>
  <c r="I22" i="15" s="1"/>
  <c r="J22" i="15" s="1"/>
  <c r="N355" i="12"/>
  <c r="N307" i="12"/>
  <c r="N187" i="12"/>
  <c r="N30" i="12"/>
  <c r="M312" i="16"/>
  <c r="N312" i="16" s="1"/>
  <c r="H317" i="15" s="1"/>
  <c r="I317" i="15" s="1"/>
  <c r="J317" i="15" s="1"/>
  <c r="M76" i="16"/>
  <c r="N76" i="16" s="1"/>
  <c r="H81" i="15" s="1"/>
  <c r="I81" i="15" s="1"/>
  <c r="J81" i="15" s="1"/>
  <c r="N376" i="12"/>
  <c r="N366" i="12"/>
  <c r="N357" i="12"/>
  <c r="N343" i="12"/>
  <c r="N325" i="12"/>
  <c r="N317" i="12"/>
  <c r="N309" i="12"/>
  <c r="N301" i="12"/>
  <c r="N292" i="12"/>
  <c r="N280" i="12"/>
  <c r="N256" i="12"/>
  <c r="N201" i="12"/>
  <c r="N190" i="12"/>
  <c r="N162" i="12"/>
  <c r="N145" i="12"/>
  <c r="N130" i="12"/>
  <c r="N121" i="12"/>
  <c r="N109" i="12"/>
  <c r="N99" i="12"/>
  <c r="N90" i="12"/>
  <c r="N81" i="12"/>
  <c r="N72" i="12"/>
  <c r="N63" i="12"/>
  <c r="N55" i="12"/>
  <c r="N33" i="12"/>
  <c r="N24" i="12"/>
  <c r="M373" i="16"/>
  <c r="N373" i="16" s="1"/>
  <c r="H378" i="15" s="1"/>
  <c r="I378" i="15" s="1"/>
  <c r="J378" i="15" s="1"/>
  <c r="M362" i="16"/>
  <c r="N362" i="16" s="1"/>
  <c r="H367" i="15" s="1"/>
  <c r="I367" i="15" s="1"/>
  <c r="J367" i="15" s="1"/>
  <c r="M354" i="16"/>
  <c r="N354" i="16" s="1"/>
  <c r="H359" i="15" s="1"/>
  <c r="I359" i="15" s="1"/>
  <c r="J359" i="15" s="1"/>
  <c r="M340" i="16"/>
  <c r="N340" i="16" s="1"/>
  <c r="H345" i="15" s="1"/>
  <c r="I345" i="15" s="1"/>
  <c r="J345" i="15" s="1"/>
  <c r="M322" i="16"/>
  <c r="N322" i="16" s="1"/>
  <c r="H327" i="15" s="1"/>
  <c r="I327" i="15" s="1"/>
  <c r="J327" i="15" s="1"/>
  <c r="M314" i="16"/>
  <c r="N314" i="16" s="1"/>
  <c r="H319" i="15" s="1"/>
  <c r="I319" i="15" s="1"/>
  <c r="J319" i="15" s="1"/>
  <c r="M306" i="16"/>
  <c r="N306" i="16" s="1"/>
  <c r="H311" i="15" s="1"/>
  <c r="I311" i="15" s="1"/>
  <c r="J311" i="15" s="1"/>
  <c r="M298" i="16"/>
  <c r="N298" i="16" s="1"/>
  <c r="H303" i="15" s="1"/>
  <c r="I303" i="15" s="1"/>
  <c r="J303" i="15" s="1"/>
  <c r="M286" i="16"/>
  <c r="N286" i="16" s="1"/>
  <c r="H291" i="15" s="1"/>
  <c r="I291" i="15" s="1"/>
  <c r="J291" i="15" s="1"/>
  <c r="M276" i="16"/>
  <c r="N276" i="16" s="1"/>
  <c r="H281" i="15" s="1"/>
  <c r="I281" i="15" s="1"/>
  <c r="J281" i="15" s="1"/>
  <c r="M219" i="16"/>
  <c r="N219" i="16" s="1"/>
  <c r="H224" i="15" s="1"/>
  <c r="I224" i="15" s="1"/>
  <c r="J224" i="15" s="1"/>
  <c r="M198" i="16"/>
  <c r="N198" i="16" s="1"/>
  <c r="H203" i="15" s="1"/>
  <c r="I203" i="15" s="1"/>
  <c r="J203" i="15" s="1"/>
  <c r="M186" i="16"/>
  <c r="N186" i="16" s="1"/>
  <c r="H191" i="15" s="1"/>
  <c r="I191" i="15" s="1"/>
  <c r="J191" i="15" s="1"/>
  <c r="M158" i="16"/>
  <c r="N158" i="16" s="1"/>
  <c r="H163" i="15" s="1"/>
  <c r="I163" i="15" s="1"/>
  <c r="J163" i="15" s="1"/>
  <c r="M137" i="16"/>
  <c r="N137" i="16" s="1"/>
  <c r="H142" i="15" s="1"/>
  <c r="I142" i="15" s="1"/>
  <c r="J142" i="15" s="1"/>
  <c r="M127" i="16"/>
  <c r="N127" i="16" s="1"/>
  <c r="H132" i="15" s="1"/>
  <c r="I132" i="15" s="1"/>
  <c r="J132" i="15" s="1"/>
  <c r="M115" i="16"/>
  <c r="N115" i="16" s="1"/>
  <c r="H120" i="15" s="1"/>
  <c r="I120" i="15" s="1"/>
  <c r="J120" i="15" s="1"/>
  <c r="M104" i="16"/>
  <c r="N104" i="16" s="1"/>
  <c r="H109" i="15" s="1"/>
  <c r="I109" i="15" s="1"/>
  <c r="J109" i="15" s="1"/>
  <c r="M95" i="16"/>
  <c r="N95" i="16" s="1"/>
  <c r="H100" i="15" s="1"/>
  <c r="I100" i="15" s="1"/>
  <c r="J100" i="15" s="1"/>
  <c r="M87" i="16"/>
  <c r="N87" i="16" s="1"/>
  <c r="H92" i="15" s="1"/>
  <c r="I92" i="15" s="1"/>
  <c r="J92" i="15" s="1"/>
  <c r="M78" i="16"/>
  <c r="N78" i="16" s="1"/>
  <c r="H83" i="15" s="1"/>
  <c r="I83" i="15" s="1"/>
  <c r="J83" i="15" s="1"/>
  <c r="M68" i="16"/>
  <c r="N68" i="16" s="1"/>
  <c r="H73" i="15" s="1"/>
  <c r="I73" i="15" s="1"/>
  <c r="J73" i="15" s="1"/>
  <c r="M60" i="16"/>
  <c r="N60" i="16" s="1"/>
  <c r="H65" i="15" s="1"/>
  <c r="I65" i="15" s="1"/>
  <c r="J65" i="15" s="1"/>
  <c r="M42" i="16"/>
  <c r="N42" i="16" s="1"/>
  <c r="H47" i="15" s="1"/>
  <c r="I47" i="15" s="1"/>
  <c r="J47" i="15" s="1"/>
  <c r="M29" i="16"/>
  <c r="N29" i="16" s="1"/>
  <c r="H34" i="15" s="1"/>
  <c r="I34" i="15" s="1"/>
  <c r="J34" i="15" s="1"/>
  <c r="M21" i="16"/>
  <c r="N21" i="16" s="1"/>
  <c r="H26" i="15" s="1"/>
  <c r="I26" i="15" s="1"/>
  <c r="J26" i="15" s="1"/>
  <c r="E20" i="12"/>
  <c r="O19" i="12"/>
  <c r="F32" i="13"/>
  <c r="E32" i="13"/>
  <c r="H31" i="13"/>
  <c r="F12" i="19" l="1"/>
  <c r="E13" i="19"/>
  <c r="F11" i="17"/>
  <c r="E12" i="17"/>
  <c r="R13" i="12"/>
  <c r="K23" i="15"/>
  <c r="K24" i="15" s="1"/>
  <c r="L22" i="15"/>
  <c r="E21" i="12"/>
  <c r="O20" i="12"/>
  <c r="E33" i="13"/>
  <c r="F33" i="13"/>
  <c r="F13" i="19" l="1"/>
  <c r="E14" i="19"/>
  <c r="T13" i="12"/>
  <c r="H29" i="4"/>
  <c r="I29" i="4" s="1"/>
  <c r="I31" i="4" s="1"/>
  <c r="B21" i="4" s="1"/>
  <c r="D12" i="10" s="1"/>
  <c r="I12" i="10" s="1"/>
  <c r="J12" i="10" s="1"/>
  <c r="L20" i="14"/>
  <c r="L21" i="14"/>
  <c r="L13" i="13" s="1"/>
  <c r="F12" i="17"/>
  <c r="E13" i="17"/>
  <c r="L23" i="15"/>
  <c r="E22" i="12"/>
  <c r="O21" i="12"/>
  <c r="K25" i="15"/>
  <c r="L24" i="15"/>
  <c r="G34" i="13"/>
  <c r="F34" i="13"/>
  <c r="E34" i="13"/>
  <c r="N21" i="14" l="1"/>
  <c r="F14" i="19"/>
  <c r="E15" i="19"/>
  <c r="L12" i="13"/>
  <c r="F2" i="4"/>
  <c r="B7" i="4" s="1"/>
  <c r="F7" i="4" s="1"/>
  <c r="F13" i="17"/>
  <c r="E14" i="17"/>
  <c r="N20" i="14"/>
  <c r="E23" i="12"/>
  <c r="O22" i="12"/>
  <c r="B25" i="9"/>
  <c r="K26" i="15"/>
  <c r="L25" i="15"/>
  <c r="F25" i="9"/>
  <c r="K12" i="10"/>
  <c r="G35" i="13"/>
  <c r="E35" i="13"/>
  <c r="H34" i="13"/>
  <c r="F35" i="13"/>
  <c r="F15" i="19" l="1"/>
  <c r="E16" i="19"/>
  <c r="F14" i="17"/>
  <c r="E15" i="17"/>
  <c r="E24" i="12"/>
  <c r="O23" i="12"/>
  <c r="K27" i="15"/>
  <c r="L26" i="15"/>
  <c r="G36" i="13"/>
  <c r="F36" i="13"/>
  <c r="E36" i="13"/>
  <c r="H35" i="13"/>
  <c r="F16" i="19" l="1"/>
  <c r="E17" i="19"/>
  <c r="F15" i="17"/>
  <c r="E16" i="17"/>
  <c r="E25" i="12"/>
  <c r="O24" i="12"/>
  <c r="K28" i="15"/>
  <c r="L27" i="15"/>
  <c r="G37" i="13"/>
  <c r="E37" i="13"/>
  <c r="H36" i="13"/>
  <c r="F37" i="13"/>
  <c r="F17" i="19" l="1"/>
  <c r="E18" i="19"/>
  <c r="E17" i="17"/>
  <c r="F16" i="17"/>
  <c r="E26" i="12"/>
  <c r="O25" i="12"/>
  <c r="K29" i="15"/>
  <c r="L28" i="15"/>
  <c r="G38" i="13"/>
  <c r="F38" i="13"/>
  <c r="E38" i="13"/>
  <c r="H37" i="13"/>
  <c r="F18" i="19" l="1"/>
  <c r="E19" i="19"/>
  <c r="E18" i="17"/>
  <c r="F17" i="17"/>
  <c r="E27" i="12"/>
  <c r="O26" i="12"/>
  <c r="K30" i="15"/>
  <c r="L29" i="15"/>
  <c r="G39" i="13"/>
  <c r="E39" i="13"/>
  <c r="H38" i="13"/>
  <c r="F39" i="13"/>
  <c r="F19" i="19" l="1"/>
  <c r="E20" i="19"/>
  <c r="E19" i="17"/>
  <c r="F18" i="17"/>
  <c r="E28" i="12"/>
  <c r="O27" i="12"/>
  <c r="K31" i="15"/>
  <c r="L30" i="15"/>
  <c r="G40" i="13"/>
  <c r="F40" i="13"/>
  <c r="E40" i="13"/>
  <c r="H39" i="13"/>
  <c r="F20" i="19" l="1"/>
  <c r="E21" i="19"/>
  <c r="E20" i="17"/>
  <c r="F19" i="17"/>
  <c r="E29" i="12"/>
  <c r="O28" i="12"/>
  <c r="K32" i="15"/>
  <c r="L31" i="15"/>
  <c r="G41" i="13"/>
  <c r="E41" i="13"/>
  <c r="H40" i="13"/>
  <c r="F41" i="13"/>
  <c r="F21" i="19" l="1"/>
  <c r="E22" i="19"/>
  <c r="F20" i="17"/>
  <c r="E21" i="17"/>
  <c r="E30" i="12"/>
  <c r="O29" i="12"/>
  <c r="K33" i="15"/>
  <c r="L32" i="15"/>
  <c r="G42" i="13"/>
  <c r="F42" i="13"/>
  <c r="E42" i="13"/>
  <c r="H41" i="13"/>
  <c r="F22" i="19" l="1"/>
  <c r="E23" i="19"/>
  <c r="F21" i="17"/>
  <c r="E22" i="17"/>
  <c r="E31" i="12"/>
  <c r="O30" i="12"/>
  <c r="K34" i="15"/>
  <c r="L33" i="15"/>
  <c r="G43" i="13"/>
  <c r="E43" i="13"/>
  <c r="H42" i="13"/>
  <c r="F43" i="13"/>
  <c r="F23" i="19" l="1"/>
  <c r="E24" i="19"/>
  <c r="F22" i="17"/>
  <c r="E23" i="17"/>
  <c r="E32" i="12"/>
  <c r="O31" i="12"/>
  <c r="K35" i="15"/>
  <c r="L34" i="15"/>
  <c r="G44" i="13"/>
  <c r="F44" i="13"/>
  <c r="E44" i="13"/>
  <c r="H43" i="13"/>
  <c r="F24" i="19" l="1"/>
  <c r="E25" i="19"/>
  <c r="F23" i="17"/>
  <c r="E24" i="17"/>
  <c r="E33" i="12"/>
  <c r="O32" i="12"/>
  <c r="K36" i="15"/>
  <c r="L35" i="15"/>
  <c r="G45" i="13"/>
  <c r="E45" i="13"/>
  <c r="H44" i="13"/>
  <c r="F45" i="13"/>
  <c r="F25" i="19" l="1"/>
  <c r="E26" i="19"/>
  <c r="E25" i="17"/>
  <c r="F24" i="17"/>
  <c r="E34" i="12"/>
  <c r="O33" i="12"/>
  <c r="K37" i="15"/>
  <c r="L36" i="15"/>
  <c r="G46" i="13"/>
  <c r="F46" i="13"/>
  <c r="E46" i="13"/>
  <c r="H45" i="13"/>
  <c r="F26" i="19" l="1"/>
  <c r="E27" i="19"/>
  <c r="E26" i="17"/>
  <c r="F25" i="17"/>
  <c r="E35" i="12"/>
  <c r="O34" i="12"/>
  <c r="K38" i="15"/>
  <c r="L37" i="15"/>
  <c r="G47" i="13"/>
  <c r="E47" i="13"/>
  <c r="H46" i="13"/>
  <c r="F47" i="13"/>
  <c r="F27" i="19" l="1"/>
  <c r="E28" i="19"/>
  <c r="F26" i="17"/>
  <c r="E27" i="17"/>
  <c r="E36" i="12"/>
  <c r="O35" i="12"/>
  <c r="K39" i="15"/>
  <c r="L38" i="15"/>
  <c r="G48" i="13"/>
  <c r="F48" i="13"/>
  <c r="E48" i="13"/>
  <c r="H47" i="13"/>
  <c r="F28" i="19" l="1"/>
  <c r="E29" i="19"/>
  <c r="E28" i="17"/>
  <c r="F27" i="17"/>
  <c r="E37" i="12"/>
  <c r="O36" i="12"/>
  <c r="K40" i="15"/>
  <c r="L39" i="15"/>
  <c r="G49" i="13"/>
  <c r="E49" i="13"/>
  <c r="H48" i="13"/>
  <c r="F49" i="13"/>
  <c r="F29" i="19" l="1"/>
  <c r="E30" i="19"/>
  <c r="E29" i="17"/>
  <c r="F28" i="17"/>
  <c r="E38" i="12"/>
  <c r="O37" i="12"/>
  <c r="K41" i="15"/>
  <c r="L40" i="15"/>
  <c r="G50" i="13"/>
  <c r="F50" i="13"/>
  <c r="E50" i="13"/>
  <c r="H49" i="13"/>
  <c r="F30" i="19" l="1"/>
  <c r="E31" i="19"/>
  <c r="E30" i="17"/>
  <c r="F29" i="17"/>
  <c r="E39" i="12"/>
  <c r="O38" i="12"/>
  <c r="K42" i="15"/>
  <c r="L41" i="15"/>
  <c r="G51" i="13"/>
  <c r="E51" i="13"/>
  <c r="H50" i="13"/>
  <c r="F51" i="13"/>
  <c r="F31" i="19" l="1"/>
  <c r="E32" i="19"/>
  <c r="E31" i="17"/>
  <c r="F30" i="17"/>
  <c r="E40" i="12"/>
  <c r="O39" i="12"/>
  <c r="K43" i="15"/>
  <c r="L42" i="15"/>
  <c r="G52" i="13"/>
  <c r="F52" i="13"/>
  <c r="E52" i="13"/>
  <c r="H51" i="13"/>
  <c r="F32" i="19" l="1"/>
  <c r="E33" i="19"/>
  <c r="F31" i="17"/>
  <c r="E32" i="17"/>
  <c r="E41" i="12"/>
  <c r="O40" i="12"/>
  <c r="K44" i="15"/>
  <c r="L43" i="15"/>
  <c r="G53" i="13"/>
  <c r="E53" i="13"/>
  <c r="H52" i="13"/>
  <c r="F53" i="13"/>
  <c r="F33" i="19" l="1"/>
  <c r="E34" i="19"/>
  <c r="E33" i="17"/>
  <c r="F32" i="17"/>
  <c r="E42" i="12"/>
  <c r="O41" i="12"/>
  <c r="K45" i="15"/>
  <c r="L44" i="15"/>
  <c r="G54" i="13"/>
  <c r="F54" i="13"/>
  <c r="E54" i="13"/>
  <c r="H53" i="13"/>
  <c r="F34" i="19" l="1"/>
  <c r="E35" i="19"/>
  <c r="E34" i="17"/>
  <c r="F33" i="17"/>
  <c r="E43" i="12"/>
  <c r="O42" i="12"/>
  <c r="K46" i="15"/>
  <c r="L45" i="15"/>
  <c r="G55" i="13"/>
  <c r="E55" i="13"/>
  <c r="H54" i="13"/>
  <c r="F55" i="13"/>
  <c r="F35" i="19" l="1"/>
  <c r="E36" i="19"/>
  <c r="E35" i="17"/>
  <c r="F34" i="17"/>
  <c r="E44" i="12"/>
  <c r="O43" i="12"/>
  <c r="K47" i="15"/>
  <c r="L46" i="15"/>
  <c r="G56" i="13"/>
  <c r="F56" i="13"/>
  <c r="E56" i="13"/>
  <c r="H55" i="13"/>
  <c r="F36" i="19" l="1"/>
  <c r="E37" i="19"/>
  <c r="E36" i="17"/>
  <c r="F35" i="17"/>
  <c r="E45" i="12"/>
  <c r="O44" i="12"/>
  <c r="K48" i="15"/>
  <c r="L47" i="15"/>
  <c r="G57" i="13"/>
  <c r="E57" i="13"/>
  <c r="H56" i="13"/>
  <c r="F57" i="13"/>
  <c r="F37" i="19" l="1"/>
  <c r="E38" i="19"/>
  <c r="E37" i="17"/>
  <c r="F36" i="17"/>
  <c r="E46" i="12"/>
  <c r="O45" i="12"/>
  <c r="K49" i="15"/>
  <c r="L48" i="15"/>
  <c r="G58" i="13"/>
  <c r="F58" i="13"/>
  <c r="E58" i="13"/>
  <c r="H57" i="13"/>
  <c r="F38" i="19" l="1"/>
  <c r="E39" i="19"/>
  <c r="E38" i="17"/>
  <c r="F37" i="17"/>
  <c r="E47" i="12"/>
  <c r="O46" i="12"/>
  <c r="K50" i="15"/>
  <c r="L49" i="15"/>
  <c r="G59" i="13"/>
  <c r="E59" i="13"/>
  <c r="H58" i="13"/>
  <c r="F59" i="13"/>
  <c r="F39" i="19" l="1"/>
  <c r="E40" i="19"/>
  <c r="E39" i="17"/>
  <c r="F38" i="17"/>
  <c r="E48" i="12"/>
  <c r="O47" i="12"/>
  <c r="K51" i="15"/>
  <c r="L50" i="15"/>
  <c r="G60" i="13"/>
  <c r="F60" i="13"/>
  <c r="E60" i="13"/>
  <c r="H59" i="13"/>
  <c r="F40" i="19" l="1"/>
  <c r="E41" i="19"/>
  <c r="E40" i="17"/>
  <c r="F39" i="17"/>
  <c r="E49" i="12"/>
  <c r="O48" i="12"/>
  <c r="K52" i="15"/>
  <c r="L51" i="15"/>
  <c r="G61" i="13"/>
  <c r="E61" i="13"/>
  <c r="H60" i="13"/>
  <c r="F61" i="13"/>
  <c r="F41" i="19" l="1"/>
  <c r="E42" i="19"/>
  <c r="F40" i="17"/>
  <c r="E41" i="17"/>
  <c r="E50" i="12"/>
  <c r="O49" i="12"/>
  <c r="K53" i="15"/>
  <c r="L52" i="15"/>
  <c r="G62" i="13"/>
  <c r="F62" i="13"/>
  <c r="E62" i="13"/>
  <c r="H61" i="13"/>
  <c r="F42" i="19" l="1"/>
  <c r="E43" i="19"/>
  <c r="F41" i="17"/>
  <c r="E42" i="17"/>
  <c r="E51" i="12"/>
  <c r="O50" i="12"/>
  <c r="K54" i="15"/>
  <c r="L53" i="15"/>
  <c r="G63" i="13"/>
  <c r="E63" i="13"/>
  <c r="H62" i="13"/>
  <c r="F63" i="13"/>
  <c r="F43" i="19" l="1"/>
  <c r="E44" i="19"/>
  <c r="F42" i="17"/>
  <c r="E43" i="17"/>
  <c r="E52" i="12"/>
  <c r="O51" i="12"/>
  <c r="K55" i="15"/>
  <c r="L54" i="15"/>
  <c r="G64" i="13"/>
  <c r="F64" i="13"/>
  <c r="E64" i="13"/>
  <c r="H63" i="13"/>
  <c r="F44" i="19" l="1"/>
  <c r="E45" i="19"/>
  <c r="E44" i="17"/>
  <c r="F43" i="17"/>
  <c r="E53" i="12"/>
  <c r="O52" i="12"/>
  <c r="K56" i="15"/>
  <c r="L55" i="15"/>
  <c r="G65" i="13"/>
  <c r="E65" i="13"/>
  <c r="H64" i="13"/>
  <c r="F65" i="13"/>
  <c r="F45" i="19" l="1"/>
  <c r="E46" i="19"/>
  <c r="E45" i="17"/>
  <c r="F44" i="17"/>
  <c r="E54" i="12"/>
  <c r="O53" i="12"/>
  <c r="K57" i="15"/>
  <c r="L56" i="15"/>
  <c r="G66" i="13"/>
  <c r="F66" i="13"/>
  <c r="E66" i="13"/>
  <c r="H65" i="13"/>
  <c r="F46" i="19" l="1"/>
  <c r="E47" i="19"/>
  <c r="E46" i="17"/>
  <c r="F45" i="17"/>
  <c r="E55" i="12"/>
  <c r="O54" i="12"/>
  <c r="K58" i="15"/>
  <c r="L57" i="15"/>
  <c r="G67" i="13"/>
  <c r="E67" i="13"/>
  <c r="H66" i="13"/>
  <c r="F67" i="13"/>
  <c r="F47" i="19" l="1"/>
  <c r="E48" i="19"/>
  <c r="E47" i="17"/>
  <c r="F46" i="17"/>
  <c r="E56" i="12"/>
  <c r="O55" i="12"/>
  <c r="K59" i="15"/>
  <c r="L58" i="15"/>
  <c r="G68" i="13"/>
  <c r="F68" i="13"/>
  <c r="E68" i="13"/>
  <c r="H67" i="13"/>
  <c r="F48" i="19" l="1"/>
  <c r="E49" i="19"/>
  <c r="E48" i="17"/>
  <c r="F47" i="17"/>
  <c r="E57" i="12"/>
  <c r="O56" i="12"/>
  <c r="K60" i="15"/>
  <c r="L59" i="15"/>
  <c r="G69" i="13"/>
  <c r="E69" i="13"/>
  <c r="H68" i="13"/>
  <c r="F69" i="13"/>
  <c r="F49" i="19" l="1"/>
  <c r="E50" i="19"/>
  <c r="F48" i="17"/>
  <c r="E49" i="17"/>
  <c r="E50" i="17" s="1"/>
  <c r="E58" i="12"/>
  <c r="O57" i="12"/>
  <c r="K61" i="15"/>
  <c r="L60" i="15"/>
  <c r="G70" i="13"/>
  <c r="F70" i="13"/>
  <c r="E70" i="13"/>
  <c r="H69" i="13"/>
  <c r="F50" i="19" l="1"/>
  <c r="E51" i="19"/>
  <c r="F49" i="17"/>
  <c r="E59" i="12"/>
  <c r="O58" i="12"/>
  <c r="K62" i="15"/>
  <c r="L61" i="15"/>
  <c r="G71" i="13"/>
  <c r="E71" i="13"/>
  <c r="H70" i="13"/>
  <c r="F71" i="13"/>
  <c r="F51" i="19" l="1"/>
  <c r="E52" i="19"/>
  <c r="F50" i="17"/>
  <c r="E51" i="17"/>
  <c r="E60" i="12"/>
  <c r="O59" i="12"/>
  <c r="K63" i="15"/>
  <c r="L62" i="15"/>
  <c r="G72" i="13"/>
  <c r="F72" i="13"/>
  <c r="E72" i="13"/>
  <c r="H71" i="13"/>
  <c r="F52" i="19" l="1"/>
  <c r="E53" i="19"/>
  <c r="E52" i="17"/>
  <c r="F51" i="17"/>
  <c r="E61" i="12"/>
  <c r="O60" i="12"/>
  <c r="K64" i="15"/>
  <c r="L63" i="15"/>
  <c r="G73" i="13"/>
  <c r="E73" i="13"/>
  <c r="H72" i="13"/>
  <c r="F73" i="13"/>
  <c r="F53" i="19" l="1"/>
  <c r="E54" i="19"/>
  <c r="E53" i="17"/>
  <c r="F52" i="17"/>
  <c r="E62" i="12"/>
  <c r="O61" i="12"/>
  <c r="K65" i="15"/>
  <c r="L64" i="15"/>
  <c r="G74" i="13"/>
  <c r="F74" i="13"/>
  <c r="E74" i="13"/>
  <c r="H73" i="13"/>
  <c r="F54" i="19" l="1"/>
  <c r="E55" i="19"/>
  <c r="E54" i="17"/>
  <c r="F53" i="17"/>
  <c r="E63" i="12"/>
  <c r="O62" i="12"/>
  <c r="K66" i="15"/>
  <c r="L65" i="15"/>
  <c r="G75" i="13"/>
  <c r="E75" i="13"/>
  <c r="H74" i="13"/>
  <c r="F75" i="13"/>
  <c r="F55" i="19" l="1"/>
  <c r="E56" i="19"/>
  <c r="E55" i="17"/>
  <c r="F54" i="17"/>
  <c r="E64" i="12"/>
  <c r="O63" i="12"/>
  <c r="K67" i="15"/>
  <c r="L66" i="15"/>
  <c r="G76" i="13"/>
  <c r="F76" i="13"/>
  <c r="E76" i="13"/>
  <c r="H75" i="13"/>
  <c r="F56" i="19" l="1"/>
  <c r="E57" i="19"/>
  <c r="E56" i="17"/>
  <c r="F55" i="17"/>
  <c r="E65" i="12"/>
  <c r="O64" i="12"/>
  <c r="K68" i="15"/>
  <c r="L67" i="15"/>
  <c r="G77" i="13"/>
  <c r="E77" i="13"/>
  <c r="H76" i="13"/>
  <c r="F77" i="13"/>
  <c r="F57" i="19" l="1"/>
  <c r="E58" i="19"/>
  <c r="F56" i="17"/>
  <c r="E57" i="17"/>
  <c r="E66" i="12"/>
  <c r="O65" i="12"/>
  <c r="K69" i="15"/>
  <c r="L68" i="15"/>
  <c r="G78" i="13"/>
  <c r="F78" i="13"/>
  <c r="E78" i="13"/>
  <c r="H77" i="13"/>
  <c r="F58" i="19" l="1"/>
  <c r="E59" i="19"/>
  <c r="F57" i="17"/>
  <c r="E58" i="17"/>
  <c r="E67" i="12"/>
  <c r="O66" i="12"/>
  <c r="K70" i="15"/>
  <c r="L69" i="15"/>
  <c r="G79" i="13"/>
  <c r="E79" i="13"/>
  <c r="H78" i="13"/>
  <c r="F79" i="13"/>
  <c r="F59" i="19" l="1"/>
  <c r="E60" i="19"/>
  <c r="F58" i="17"/>
  <c r="E59" i="17"/>
  <c r="E68" i="12"/>
  <c r="O67" i="12"/>
  <c r="K71" i="15"/>
  <c r="L70" i="15"/>
  <c r="G80" i="13"/>
  <c r="F80" i="13"/>
  <c r="E80" i="13"/>
  <c r="H79" i="13"/>
  <c r="F60" i="19" l="1"/>
  <c r="E61" i="19"/>
  <c r="E60" i="17"/>
  <c r="F59" i="17"/>
  <c r="E69" i="12"/>
  <c r="O68" i="12"/>
  <c r="K72" i="15"/>
  <c r="L71" i="15"/>
  <c r="G81" i="13"/>
  <c r="E81" i="13"/>
  <c r="H80" i="13"/>
  <c r="F81" i="13"/>
  <c r="F61" i="19" l="1"/>
  <c r="E62" i="19"/>
  <c r="E61" i="17"/>
  <c r="F60" i="17"/>
  <c r="E70" i="12"/>
  <c r="O69" i="12"/>
  <c r="K73" i="15"/>
  <c r="L72" i="15"/>
  <c r="G82" i="13"/>
  <c r="F82" i="13"/>
  <c r="E82" i="13"/>
  <c r="H81" i="13"/>
  <c r="F62" i="19" l="1"/>
  <c r="E63" i="19"/>
  <c r="E62" i="17"/>
  <c r="F61" i="17"/>
  <c r="E71" i="12"/>
  <c r="O70" i="12"/>
  <c r="K74" i="15"/>
  <c r="L73" i="15"/>
  <c r="G83" i="13"/>
  <c r="E83" i="13"/>
  <c r="H82" i="13"/>
  <c r="F83" i="13"/>
  <c r="F63" i="19" l="1"/>
  <c r="E64" i="19"/>
  <c r="E63" i="17"/>
  <c r="F62" i="17"/>
  <c r="E72" i="12"/>
  <c r="O71" i="12"/>
  <c r="K75" i="15"/>
  <c r="L74" i="15"/>
  <c r="G84" i="13"/>
  <c r="F84" i="13"/>
  <c r="E84" i="13"/>
  <c r="H83" i="13"/>
  <c r="F64" i="19" l="1"/>
  <c r="E65" i="19"/>
  <c r="E64" i="17"/>
  <c r="F63" i="17"/>
  <c r="E73" i="12"/>
  <c r="O72" i="12"/>
  <c r="K76" i="15"/>
  <c r="L75" i="15"/>
  <c r="G85" i="13"/>
  <c r="E85" i="13"/>
  <c r="H84" i="13"/>
  <c r="F85" i="13"/>
  <c r="F65" i="19" l="1"/>
  <c r="E66" i="19"/>
  <c r="F64" i="17"/>
  <c r="E65" i="17"/>
  <c r="E74" i="12"/>
  <c r="O73" i="12"/>
  <c r="K77" i="15"/>
  <c r="L76" i="15"/>
  <c r="G86" i="13"/>
  <c r="F86" i="13"/>
  <c r="E86" i="13"/>
  <c r="H85" i="13"/>
  <c r="F66" i="19" l="1"/>
  <c r="E67" i="19"/>
  <c r="F65" i="17"/>
  <c r="E66" i="17"/>
  <c r="E75" i="12"/>
  <c r="O74" i="12"/>
  <c r="K78" i="15"/>
  <c r="L77" i="15"/>
  <c r="G87" i="13"/>
  <c r="E87" i="13"/>
  <c r="H86" i="13"/>
  <c r="F87" i="13"/>
  <c r="F67" i="19" l="1"/>
  <c r="E68" i="19"/>
  <c r="F66" i="17"/>
  <c r="E67" i="17"/>
  <c r="E76" i="12"/>
  <c r="O75" i="12"/>
  <c r="K79" i="15"/>
  <c r="L78" i="15"/>
  <c r="G88" i="13"/>
  <c r="F88" i="13"/>
  <c r="E88" i="13"/>
  <c r="H87" i="13"/>
  <c r="F68" i="19" l="1"/>
  <c r="E69" i="19"/>
  <c r="E68" i="17"/>
  <c r="F67" i="17"/>
  <c r="E77" i="12"/>
  <c r="O76" i="12"/>
  <c r="K80" i="15"/>
  <c r="L79" i="15"/>
  <c r="G89" i="13"/>
  <c r="E89" i="13"/>
  <c r="H88" i="13"/>
  <c r="F89" i="13"/>
  <c r="F69" i="19" l="1"/>
  <c r="E70" i="19"/>
  <c r="E69" i="17"/>
  <c r="F68" i="17"/>
  <c r="E78" i="12"/>
  <c r="O77" i="12"/>
  <c r="K81" i="15"/>
  <c r="L80" i="15"/>
  <c r="G90" i="13"/>
  <c r="F90" i="13"/>
  <c r="E90" i="13"/>
  <c r="H89" i="13"/>
  <c r="F70" i="19" l="1"/>
  <c r="E71" i="19"/>
  <c r="E70" i="17"/>
  <c r="F69" i="17"/>
  <c r="E79" i="12"/>
  <c r="O78" i="12"/>
  <c r="K82" i="15"/>
  <c r="L81" i="15"/>
  <c r="G91" i="13"/>
  <c r="E91" i="13"/>
  <c r="H90" i="13"/>
  <c r="F91" i="13"/>
  <c r="F71" i="19" l="1"/>
  <c r="E72" i="19"/>
  <c r="E71" i="17"/>
  <c r="F70" i="17"/>
  <c r="E80" i="12"/>
  <c r="O79" i="12"/>
  <c r="K83" i="15"/>
  <c r="L82" i="15"/>
  <c r="G92" i="13"/>
  <c r="F92" i="13"/>
  <c r="E92" i="13"/>
  <c r="H91" i="13"/>
  <c r="F72" i="19" l="1"/>
  <c r="E73" i="19"/>
  <c r="E72" i="17"/>
  <c r="F71" i="17"/>
  <c r="E81" i="12"/>
  <c r="O80" i="12"/>
  <c r="K84" i="15"/>
  <c r="L83" i="15"/>
  <c r="G93" i="13"/>
  <c r="E93" i="13"/>
  <c r="H92" i="13"/>
  <c r="F93" i="13"/>
  <c r="F73" i="19" l="1"/>
  <c r="E74" i="19"/>
  <c r="F72" i="17"/>
  <c r="E73" i="17"/>
  <c r="E82" i="12"/>
  <c r="O81" i="12"/>
  <c r="K85" i="15"/>
  <c r="L84" i="15"/>
  <c r="G94" i="13"/>
  <c r="F94" i="13"/>
  <c r="E94" i="13"/>
  <c r="H93" i="13"/>
  <c r="F74" i="19" l="1"/>
  <c r="E75" i="19"/>
  <c r="F73" i="17"/>
  <c r="E74" i="17"/>
  <c r="E83" i="12"/>
  <c r="O82" i="12"/>
  <c r="K86" i="15"/>
  <c r="L85" i="15"/>
  <c r="G95" i="13"/>
  <c r="E95" i="13"/>
  <c r="H94" i="13"/>
  <c r="F95" i="13"/>
  <c r="F75" i="19" l="1"/>
  <c r="E76" i="19"/>
  <c r="F74" i="17"/>
  <c r="E75" i="17"/>
  <c r="E84" i="12"/>
  <c r="O83" i="12"/>
  <c r="K87" i="15"/>
  <c r="L86" i="15"/>
  <c r="G96" i="13"/>
  <c r="F96" i="13"/>
  <c r="E96" i="13"/>
  <c r="H95" i="13"/>
  <c r="F76" i="19" l="1"/>
  <c r="E77" i="19"/>
  <c r="E76" i="17"/>
  <c r="F75" i="17"/>
  <c r="E85" i="12"/>
  <c r="O84" i="12"/>
  <c r="K88" i="15"/>
  <c r="L87" i="15"/>
  <c r="G97" i="13"/>
  <c r="E97" i="13"/>
  <c r="H96" i="13"/>
  <c r="F97" i="13"/>
  <c r="F77" i="19" l="1"/>
  <c r="E78" i="19"/>
  <c r="E77" i="17"/>
  <c r="F76" i="17"/>
  <c r="E86" i="12"/>
  <c r="O85" i="12"/>
  <c r="K89" i="15"/>
  <c r="L88" i="15"/>
  <c r="G98" i="13"/>
  <c r="F98" i="13"/>
  <c r="E98" i="13"/>
  <c r="H97" i="13"/>
  <c r="F78" i="19" l="1"/>
  <c r="E79" i="19"/>
  <c r="E78" i="17"/>
  <c r="F77" i="17"/>
  <c r="E87" i="12"/>
  <c r="O86" i="12"/>
  <c r="K90" i="15"/>
  <c r="L89" i="15"/>
  <c r="G99" i="13"/>
  <c r="E99" i="13"/>
  <c r="H98" i="13"/>
  <c r="F99" i="13"/>
  <c r="F79" i="19" l="1"/>
  <c r="E80" i="19"/>
  <c r="E79" i="17"/>
  <c r="F78" i="17"/>
  <c r="E88" i="12"/>
  <c r="O87" i="12"/>
  <c r="K91" i="15"/>
  <c r="L90" i="15"/>
  <c r="G100" i="13"/>
  <c r="F100" i="13"/>
  <c r="E100" i="13"/>
  <c r="H99" i="13"/>
  <c r="F80" i="19" l="1"/>
  <c r="E81" i="19"/>
  <c r="E80" i="17"/>
  <c r="F79" i="17"/>
  <c r="E89" i="12"/>
  <c r="O88" i="12"/>
  <c r="K92" i="15"/>
  <c r="L91" i="15"/>
  <c r="G101" i="13"/>
  <c r="E101" i="13"/>
  <c r="H100" i="13"/>
  <c r="F101" i="13"/>
  <c r="F81" i="19" l="1"/>
  <c r="E82" i="19"/>
  <c r="F80" i="17"/>
  <c r="E81" i="17"/>
  <c r="E90" i="12"/>
  <c r="O89" i="12"/>
  <c r="K93" i="15"/>
  <c r="L92" i="15"/>
  <c r="G102" i="13"/>
  <c r="F102" i="13"/>
  <c r="E102" i="13"/>
  <c r="H101" i="13"/>
  <c r="F82" i="19" l="1"/>
  <c r="E83" i="19"/>
  <c r="F81" i="17"/>
  <c r="E82" i="17"/>
  <c r="E91" i="12"/>
  <c r="O90" i="12"/>
  <c r="K94" i="15"/>
  <c r="L93" i="15"/>
  <c r="G103" i="13"/>
  <c r="E103" i="13"/>
  <c r="H102" i="13"/>
  <c r="F103" i="13"/>
  <c r="F83" i="19" l="1"/>
  <c r="E84" i="19"/>
  <c r="F82" i="17"/>
  <c r="E83" i="17"/>
  <c r="E92" i="12"/>
  <c r="O91" i="12"/>
  <c r="K95" i="15"/>
  <c r="L94" i="15"/>
  <c r="G104" i="13"/>
  <c r="F104" i="13"/>
  <c r="E104" i="13"/>
  <c r="H103" i="13"/>
  <c r="F84" i="19" l="1"/>
  <c r="E85" i="19"/>
  <c r="E84" i="17"/>
  <c r="F83" i="17"/>
  <c r="E93" i="12"/>
  <c r="O92" i="12"/>
  <c r="K96" i="15"/>
  <c r="L95" i="15"/>
  <c r="G105" i="13"/>
  <c r="E105" i="13"/>
  <c r="H104" i="13"/>
  <c r="F105" i="13"/>
  <c r="F85" i="19" l="1"/>
  <c r="E86" i="19"/>
  <c r="E85" i="17"/>
  <c r="F84" i="17"/>
  <c r="E94" i="12"/>
  <c r="O93" i="12"/>
  <c r="K97" i="15"/>
  <c r="L96" i="15"/>
  <c r="G106" i="13"/>
  <c r="F106" i="13"/>
  <c r="E106" i="13"/>
  <c r="H105" i="13"/>
  <c r="F86" i="19" l="1"/>
  <c r="E87" i="19"/>
  <c r="E86" i="17"/>
  <c r="F85" i="17"/>
  <c r="E95" i="12"/>
  <c r="O94" i="12"/>
  <c r="K98" i="15"/>
  <c r="L97" i="15"/>
  <c r="G107" i="13"/>
  <c r="E107" i="13"/>
  <c r="H106" i="13"/>
  <c r="F107" i="13"/>
  <c r="F87" i="19" l="1"/>
  <c r="E88" i="19"/>
  <c r="E87" i="17"/>
  <c r="F86" i="17"/>
  <c r="E96" i="12"/>
  <c r="O95" i="12"/>
  <c r="K99" i="15"/>
  <c r="L98" i="15"/>
  <c r="G108" i="13"/>
  <c r="F108" i="13"/>
  <c r="E108" i="13"/>
  <c r="H107" i="13"/>
  <c r="F88" i="19" l="1"/>
  <c r="E89" i="19"/>
  <c r="E88" i="17"/>
  <c r="F87" i="17"/>
  <c r="E97" i="12"/>
  <c r="O96" i="12"/>
  <c r="K100" i="15"/>
  <c r="L99" i="15"/>
  <c r="G109" i="13"/>
  <c r="E109" i="13"/>
  <c r="H108" i="13"/>
  <c r="F109" i="13"/>
  <c r="F89" i="19" l="1"/>
  <c r="E90" i="19"/>
  <c r="F88" i="17"/>
  <c r="E89" i="17"/>
  <c r="E98" i="12"/>
  <c r="O97" i="12"/>
  <c r="K101" i="15"/>
  <c r="L100" i="15"/>
  <c r="G110" i="13"/>
  <c r="F110" i="13"/>
  <c r="E110" i="13"/>
  <c r="H109" i="13"/>
  <c r="F90" i="19" l="1"/>
  <c r="E91" i="19"/>
  <c r="F89" i="17"/>
  <c r="E90" i="17"/>
  <c r="E99" i="12"/>
  <c r="O98" i="12"/>
  <c r="K102" i="15"/>
  <c r="L101" i="15"/>
  <c r="G111" i="13"/>
  <c r="E111" i="13"/>
  <c r="H110" i="13"/>
  <c r="F111" i="13"/>
  <c r="F91" i="19" l="1"/>
  <c r="E92" i="19"/>
  <c r="F90" i="17"/>
  <c r="E91" i="17"/>
  <c r="E100" i="12"/>
  <c r="O99" i="12"/>
  <c r="K103" i="15"/>
  <c r="L102" i="15"/>
  <c r="G112" i="13"/>
  <c r="F112" i="13"/>
  <c r="E112" i="13"/>
  <c r="H111" i="13"/>
  <c r="F92" i="19" l="1"/>
  <c r="E93" i="19"/>
  <c r="E92" i="17"/>
  <c r="F91" i="17"/>
  <c r="E101" i="12"/>
  <c r="O100" i="12"/>
  <c r="K104" i="15"/>
  <c r="L103" i="15"/>
  <c r="G113" i="13"/>
  <c r="E113" i="13"/>
  <c r="H112" i="13"/>
  <c r="F113" i="13"/>
  <c r="F93" i="19" l="1"/>
  <c r="E94" i="19"/>
  <c r="E93" i="17"/>
  <c r="F92" i="17"/>
  <c r="E102" i="12"/>
  <c r="O101" i="12"/>
  <c r="K105" i="15"/>
  <c r="L104" i="15"/>
  <c r="G114" i="13"/>
  <c r="F114" i="13"/>
  <c r="E114" i="13"/>
  <c r="H113" i="13"/>
  <c r="F94" i="19" l="1"/>
  <c r="E95" i="19"/>
  <c r="E94" i="17"/>
  <c r="F93" i="17"/>
  <c r="E103" i="12"/>
  <c r="O102" i="12"/>
  <c r="K106" i="15"/>
  <c r="L105" i="15"/>
  <c r="G115" i="13"/>
  <c r="E115" i="13"/>
  <c r="H114" i="13"/>
  <c r="F115" i="13"/>
  <c r="F95" i="19" l="1"/>
  <c r="E96" i="19"/>
  <c r="E95" i="17"/>
  <c r="F94" i="17"/>
  <c r="E104" i="12"/>
  <c r="O103" i="12"/>
  <c r="K107" i="15"/>
  <c r="L106" i="15"/>
  <c r="G116" i="13"/>
  <c r="F116" i="13"/>
  <c r="E116" i="13"/>
  <c r="H115" i="13"/>
  <c r="F96" i="19" l="1"/>
  <c r="E97" i="19"/>
  <c r="E96" i="17"/>
  <c r="F95" i="17"/>
  <c r="E105" i="12"/>
  <c r="O104" i="12"/>
  <c r="K108" i="15"/>
  <c r="L107" i="15"/>
  <c r="G117" i="13"/>
  <c r="E117" i="13"/>
  <c r="H116" i="13"/>
  <c r="F117" i="13"/>
  <c r="F97" i="19" l="1"/>
  <c r="E98" i="19"/>
  <c r="F96" i="17"/>
  <c r="E97" i="17"/>
  <c r="E106" i="12"/>
  <c r="O105" i="12"/>
  <c r="K109" i="15"/>
  <c r="L108" i="15"/>
  <c r="G118" i="13"/>
  <c r="F118" i="13"/>
  <c r="E118" i="13"/>
  <c r="H117" i="13"/>
  <c r="F98" i="19" l="1"/>
  <c r="E99" i="19"/>
  <c r="F97" i="17"/>
  <c r="E98" i="17"/>
  <c r="E107" i="12"/>
  <c r="O106" i="12"/>
  <c r="K110" i="15"/>
  <c r="L109" i="15"/>
  <c r="G119" i="13"/>
  <c r="E119" i="13"/>
  <c r="H118" i="13"/>
  <c r="F119" i="13"/>
  <c r="F99" i="19" l="1"/>
  <c r="E100" i="19"/>
  <c r="F98" i="17"/>
  <c r="E99" i="17"/>
  <c r="E108" i="12"/>
  <c r="O107" i="12"/>
  <c r="K111" i="15"/>
  <c r="L110" i="15"/>
  <c r="G120" i="13"/>
  <c r="F120" i="13"/>
  <c r="E120" i="13"/>
  <c r="H119" i="13"/>
  <c r="F100" i="19" l="1"/>
  <c r="E101" i="19"/>
  <c r="E100" i="17"/>
  <c r="F99" i="17"/>
  <c r="E109" i="12"/>
  <c r="O108" i="12"/>
  <c r="K112" i="15"/>
  <c r="L111" i="15"/>
  <c r="G121" i="13"/>
  <c r="H120" i="13"/>
  <c r="E121" i="13"/>
  <c r="F121" i="13"/>
  <c r="F101" i="19" l="1"/>
  <c r="E102" i="19"/>
  <c r="E101" i="17"/>
  <c r="F100" i="17"/>
  <c r="E110" i="12"/>
  <c r="O109" i="12"/>
  <c r="K113" i="15"/>
  <c r="L112" i="15"/>
  <c r="G122" i="13"/>
  <c r="F122" i="13"/>
  <c r="E122" i="13"/>
  <c r="H121" i="13"/>
  <c r="H122" i="13" l="1"/>
  <c r="F102" i="19"/>
  <c r="E103" i="19"/>
  <c r="E102" i="17"/>
  <c r="F101" i="17"/>
  <c r="E111" i="12"/>
  <c r="O110" i="12"/>
  <c r="K114" i="15"/>
  <c r="L113" i="15"/>
  <c r="G123" i="13"/>
  <c r="E123" i="13"/>
  <c r="F123" i="13"/>
  <c r="F103" i="19" l="1"/>
  <c r="E104" i="19"/>
  <c r="E103" i="17"/>
  <c r="F102" i="17"/>
  <c r="E112" i="12"/>
  <c r="O111" i="12"/>
  <c r="K115" i="15"/>
  <c r="L114" i="15"/>
  <c r="G124" i="13"/>
  <c r="F124" i="13"/>
  <c r="E124" i="13"/>
  <c r="H123" i="13"/>
  <c r="H124" i="13" l="1"/>
  <c r="F104" i="19"/>
  <c r="E105" i="19"/>
  <c r="E104" i="17"/>
  <c r="F103" i="17"/>
  <c r="E113" i="12"/>
  <c r="O112" i="12"/>
  <c r="K116" i="15"/>
  <c r="L115" i="15"/>
  <c r="G125" i="13"/>
  <c r="E125" i="13"/>
  <c r="F125" i="13"/>
  <c r="F105" i="19" l="1"/>
  <c r="E106" i="19"/>
  <c r="F104" i="17"/>
  <c r="E105" i="17"/>
  <c r="E114" i="12"/>
  <c r="O113" i="12"/>
  <c r="K117" i="15"/>
  <c r="L116" i="15"/>
  <c r="G126" i="13"/>
  <c r="F126" i="13"/>
  <c r="E126" i="13"/>
  <c r="H125" i="13"/>
  <c r="H126" i="13" l="1"/>
  <c r="F106" i="19"/>
  <c r="E107" i="19"/>
  <c r="F105" i="17"/>
  <c r="E106" i="17"/>
  <c r="E115" i="12"/>
  <c r="O114" i="12"/>
  <c r="K118" i="15"/>
  <c r="L117" i="15"/>
  <c r="G127" i="13"/>
  <c r="E127" i="13"/>
  <c r="F127" i="13"/>
  <c r="F107" i="19" l="1"/>
  <c r="E108" i="19"/>
  <c r="F106" i="17"/>
  <c r="E107" i="17"/>
  <c r="E116" i="12"/>
  <c r="O115" i="12"/>
  <c r="K119" i="15"/>
  <c r="L118" i="15"/>
  <c r="G128" i="13"/>
  <c r="F128" i="13"/>
  <c r="E128" i="13"/>
  <c r="H127" i="13"/>
  <c r="H128" i="13" l="1"/>
  <c r="F108" i="19"/>
  <c r="E109" i="19"/>
  <c r="E108" i="17"/>
  <c r="F107" i="17"/>
  <c r="E117" i="12"/>
  <c r="O116" i="12"/>
  <c r="K120" i="15"/>
  <c r="L119" i="15"/>
  <c r="G129" i="13"/>
  <c r="E129" i="13"/>
  <c r="F129" i="13"/>
  <c r="F109" i="19" l="1"/>
  <c r="E110" i="19"/>
  <c r="E109" i="17"/>
  <c r="F108" i="17"/>
  <c r="E118" i="12"/>
  <c r="O117" i="12"/>
  <c r="K121" i="15"/>
  <c r="L120" i="15"/>
  <c r="G130" i="13"/>
  <c r="F130" i="13"/>
  <c r="E130" i="13"/>
  <c r="H129" i="13"/>
  <c r="H130" i="13" l="1"/>
  <c r="F110" i="19"/>
  <c r="E111" i="19"/>
  <c r="E110" i="17"/>
  <c r="F109" i="17"/>
  <c r="E119" i="12"/>
  <c r="O118" i="12"/>
  <c r="K122" i="15"/>
  <c r="L121" i="15"/>
  <c r="G131" i="13"/>
  <c r="E131" i="13"/>
  <c r="F131" i="13"/>
  <c r="F111" i="19" l="1"/>
  <c r="E112" i="19"/>
  <c r="E111" i="17"/>
  <c r="F110" i="17"/>
  <c r="E120" i="12"/>
  <c r="O119" i="12"/>
  <c r="K123" i="15"/>
  <c r="L122" i="15"/>
  <c r="G132" i="13"/>
  <c r="F132" i="13"/>
  <c r="E132" i="13"/>
  <c r="H131" i="13"/>
  <c r="H132" i="13" l="1"/>
  <c r="F112" i="19"/>
  <c r="E113" i="19"/>
  <c r="E112" i="17"/>
  <c r="F111" i="17"/>
  <c r="E121" i="12"/>
  <c r="O120" i="12"/>
  <c r="K124" i="15"/>
  <c r="L123" i="15"/>
  <c r="G133" i="13"/>
  <c r="E133" i="13"/>
  <c r="F133" i="13"/>
  <c r="F113" i="19" l="1"/>
  <c r="E114" i="19"/>
  <c r="F112" i="17"/>
  <c r="E113" i="17"/>
  <c r="E122" i="12"/>
  <c r="O121" i="12"/>
  <c r="K125" i="15"/>
  <c r="L124" i="15"/>
  <c r="G134" i="13"/>
  <c r="F134" i="13"/>
  <c r="E134" i="13"/>
  <c r="H133" i="13"/>
  <c r="H134" i="13" l="1"/>
  <c r="F114" i="19"/>
  <c r="E115" i="19"/>
  <c r="F113" i="17"/>
  <c r="E114" i="17"/>
  <c r="E123" i="12"/>
  <c r="O122" i="12"/>
  <c r="K126" i="15"/>
  <c r="L125" i="15"/>
  <c r="G135" i="13"/>
  <c r="E135" i="13"/>
  <c r="F135" i="13"/>
  <c r="F115" i="19" l="1"/>
  <c r="E116" i="19"/>
  <c r="F114" i="17"/>
  <c r="E115" i="17"/>
  <c r="E124" i="12"/>
  <c r="O123" i="12"/>
  <c r="K127" i="15"/>
  <c r="L126" i="15"/>
  <c r="G136" i="13"/>
  <c r="F136" i="13"/>
  <c r="E136" i="13"/>
  <c r="H135" i="13"/>
  <c r="H136" i="13" l="1"/>
  <c r="F116" i="19"/>
  <c r="E117" i="19"/>
  <c r="E116" i="17"/>
  <c r="F115" i="17"/>
  <c r="E125" i="12"/>
  <c r="O124" i="12"/>
  <c r="K128" i="15"/>
  <c r="L127" i="15"/>
  <c r="G137" i="13"/>
  <c r="E137" i="13"/>
  <c r="F137" i="13"/>
  <c r="F117" i="19" l="1"/>
  <c r="E118" i="19"/>
  <c r="E117" i="17"/>
  <c r="F116" i="17"/>
  <c r="E126" i="12"/>
  <c r="O125" i="12"/>
  <c r="K129" i="15"/>
  <c r="L128" i="15"/>
  <c r="G138" i="13"/>
  <c r="F138" i="13"/>
  <c r="E138" i="13"/>
  <c r="H137" i="13"/>
  <c r="H138" i="13" l="1"/>
  <c r="F118" i="19"/>
  <c r="E119" i="19"/>
  <c r="E118" i="17"/>
  <c r="F117" i="17"/>
  <c r="E127" i="12"/>
  <c r="O126" i="12"/>
  <c r="K130" i="15"/>
  <c r="L129" i="15"/>
  <c r="G139" i="13"/>
  <c r="E139" i="13"/>
  <c r="F139" i="13"/>
  <c r="F119" i="19" l="1"/>
  <c r="E120" i="19"/>
  <c r="E119" i="17"/>
  <c r="F118" i="17"/>
  <c r="E128" i="12"/>
  <c r="O127" i="12"/>
  <c r="K131" i="15"/>
  <c r="L130" i="15"/>
  <c r="G140" i="13"/>
  <c r="F140" i="13"/>
  <c r="E140" i="13"/>
  <c r="H139" i="13"/>
  <c r="H140" i="13" l="1"/>
  <c r="F120" i="19"/>
  <c r="E121" i="19"/>
  <c r="E120" i="17"/>
  <c r="F119" i="17"/>
  <c r="E129" i="12"/>
  <c r="O128" i="12"/>
  <c r="K132" i="15"/>
  <c r="L131" i="15"/>
  <c r="G141" i="13"/>
  <c r="E141" i="13"/>
  <c r="F141" i="13"/>
  <c r="F121" i="19" l="1"/>
  <c r="E122" i="19"/>
  <c r="F120" i="17"/>
  <c r="E121" i="17"/>
  <c r="E130" i="12"/>
  <c r="O129" i="12"/>
  <c r="K133" i="15"/>
  <c r="L132" i="15"/>
  <c r="G142" i="13"/>
  <c r="F142" i="13"/>
  <c r="E142" i="13"/>
  <c r="H141" i="13"/>
  <c r="H142" i="13" l="1"/>
  <c r="F122" i="19"/>
  <c r="E123" i="19"/>
  <c r="F121" i="17"/>
  <c r="E122" i="17"/>
  <c r="E131" i="12"/>
  <c r="O130" i="12"/>
  <c r="K134" i="15"/>
  <c r="L133" i="15"/>
  <c r="G143" i="13"/>
  <c r="E143" i="13"/>
  <c r="F143" i="13"/>
  <c r="F123" i="19" l="1"/>
  <c r="E124" i="19"/>
  <c r="F122" i="17"/>
  <c r="E123" i="17"/>
  <c r="E132" i="12"/>
  <c r="O131" i="12"/>
  <c r="K135" i="15"/>
  <c r="L134" i="15"/>
  <c r="G144" i="13"/>
  <c r="F144" i="13"/>
  <c r="E144" i="13"/>
  <c r="H143" i="13"/>
  <c r="H144" i="13" l="1"/>
  <c r="F124" i="19"/>
  <c r="E125" i="19"/>
  <c r="E124" i="17"/>
  <c r="F123" i="17"/>
  <c r="E133" i="12"/>
  <c r="O132" i="12"/>
  <c r="K136" i="15"/>
  <c r="L135" i="15"/>
  <c r="G145" i="13"/>
  <c r="E145" i="13"/>
  <c r="F145" i="13"/>
  <c r="F125" i="19" l="1"/>
  <c r="E126" i="19"/>
  <c r="E125" i="17"/>
  <c r="F124" i="17"/>
  <c r="E134" i="12"/>
  <c r="O133" i="12"/>
  <c r="K137" i="15"/>
  <c r="L136" i="15"/>
  <c r="G146" i="13"/>
  <c r="F146" i="13"/>
  <c r="E146" i="13"/>
  <c r="H145" i="13"/>
  <c r="H146" i="13" l="1"/>
  <c r="F126" i="19"/>
  <c r="E127" i="19"/>
  <c r="E126" i="17"/>
  <c r="F125" i="17"/>
  <c r="E135" i="12"/>
  <c r="O134" i="12"/>
  <c r="K138" i="15"/>
  <c r="L137" i="15"/>
  <c r="G147" i="13"/>
  <c r="E147" i="13"/>
  <c r="F147" i="13"/>
  <c r="F127" i="19" l="1"/>
  <c r="E128" i="19"/>
  <c r="E127" i="17"/>
  <c r="F126" i="17"/>
  <c r="E136" i="12"/>
  <c r="O135" i="12"/>
  <c r="K139" i="15"/>
  <c r="L138" i="15"/>
  <c r="G148" i="13"/>
  <c r="F148" i="13"/>
  <c r="E148" i="13"/>
  <c r="H147" i="13"/>
  <c r="H148" i="13" l="1"/>
  <c r="F128" i="19"/>
  <c r="E129" i="19"/>
  <c r="E128" i="17"/>
  <c r="F127" i="17"/>
  <c r="E137" i="12"/>
  <c r="O136" i="12"/>
  <c r="K140" i="15"/>
  <c r="L139" i="15"/>
  <c r="G149" i="13"/>
  <c r="E149" i="13"/>
  <c r="F149" i="13"/>
  <c r="F129" i="19" l="1"/>
  <c r="E130" i="19"/>
  <c r="F128" i="17"/>
  <c r="E129" i="17"/>
  <c r="E138" i="12"/>
  <c r="O137" i="12"/>
  <c r="K141" i="15"/>
  <c r="L140" i="15"/>
  <c r="G150" i="13"/>
  <c r="F150" i="13"/>
  <c r="E150" i="13"/>
  <c r="H149" i="13"/>
  <c r="H150" i="13" l="1"/>
  <c r="F130" i="19"/>
  <c r="E131" i="19"/>
  <c r="F129" i="17"/>
  <c r="E130" i="17"/>
  <c r="E139" i="12"/>
  <c r="O138" i="12"/>
  <c r="K142" i="15"/>
  <c r="L141" i="15"/>
  <c r="G151" i="13"/>
  <c r="E151" i="13"/>
  <c r="F151" i="13"/>
  <c r="F131" i="19" l="1"/>
  <c r="E132" i="19"/>
  <c r="F130" i="17"/>
  <c r="E131" i="17"/>
  <c r="E140" i="12"/>
  <c r="O139" i="12"/>
  <c r="K143" i="15"/>
  <c r="L142" i="15"/>
  <c r="G152" i="13"/>
  <c r="F152" i="13"/>
  <c r="E152" i="13"/>
  <c r="H151" i="13"/>
  <c r="H152" i="13" l="1"/>
  <c r="F132" i="19"/>
  <c r="E133" i="19"/>
  <c r="E132" i="17"/>
  <c r="F131" i="17"/>
  <c r="E141" i="12"/>
  <c r="O140" i="12"/>
  <c r="K144" i="15"/>
  <c r="L143" i="15"/>
  <c r="G153" i="13"/>
  <c r="E153" i="13"/>
  <c r="F153" i="13"/>
  <c r="F133" i="19" l="1"/>
  <c r="E134" i="19"/>
  <c r="E133" i="17"/>
  <c r="F132" i="17"/>
  <c r="E142" i="12"/>
  <c r="O141" i="12"/>
  <c r="K145" i="15"/>
  <c r="L144" i="15"/>
  <c r="G154" i="13"/>
  <c r="F154" i="13"/>
  <c r="E154" i="13"/>
  <c r="H153" i="13"/>
  <c r="H154" i="13" l="1"/>
  <c r="F134" i="19"/>
  <c r="E135" i="19"/>
  <c r="E134" i="17"/>
  <c r="F133" i="17"/>
  <c r="E143" i="12"/>
  <c r="O142" i="12"/>
  <c r="K146" i="15"/>
  <c r="L145" i="15"/>
  <c r="G155" i="13"/>
  <c r="E155" i="13"/>
  <c r="F155" i="13"/>
  <c r="F135" i="19" l="1"/>
  <c r="E136" i="19"/>
  <c r="E135" i="17"/>
  <c r="F134" i="17"/>
  <c r="E144" i="12"/>
  <c r="O143" i="12"/>
  <c r="K147" i="15"/>
  <c r="L146" i="15"/>
  <c r="G156" i="13"/>
  <c r="F156" i="13"/>
  <c r="E156" i="13"/>
  <c r="H155" i="13"/>
  <c r="H156" i="13" l="1"/>
  <c r="F136" i="19"/>
  <c r="E137" i="19"/>
  <c r="E136" i="17"/>
  <c r="F135" i="17"/>
  <c r="E145" i="12"/>
  <c r="O144" i="12"/>
  <c r="K148" i="15"/>
  <c r="L147" i="15"/>
  <c r="G157" i="13"/>
  <c r="E157" i="13"/>
  <c r="F157" i="13"/>
  <c r="F137" i="19" l="1"/>
  <c r="E138" i="19"/>
  <c r="F136" i="17"/>
  <c r="E137" i="17"/>
  <c r="E146" i="12"/>
  <c r="O145" i="12"/>
  <c r="K149" i="15"/>
  <c r="L148" i="15"/>
  <c r="G158" i="13"/>
  <c r="F158" i="13"/>
  <c r="E158" i="13"/>
  <c r="H157" i="13"/>
  <c r="H158" i="13" l="1"/>
  <c r="F138" i="19"/>
  <c r="E139" i="19"/>
  <c r="F137" i="17"/>
  <c r="E138" i="17"/>
  <c r="E147" i="12"/>
  <c r="O146" i="12"/>
  <c r="K150" i="15"/>
  <c r="L149" i="15"/>
  <c r="G159" i="13"/>
  <c r="E159" i="13"/>
  <c r="F159" i="13"/>
  <c r="F139" i="19" l="1"/>
  <c r="E140" i="19"/>
  <c r="F138" i="17"/>
  <c r="E139" i="17"/>
  <c r="E148" i="12"/>
  <c r="O147" i="12"/>
  <c r="K151" i="15"/>
  <c r="L150" i="15"/>
  <c r="G160" i="13"/>
  <c r="F160" i="13"/>
  <c r="E160" i="13"/>
  <c r="H159" i="13"/>
  <c r="H160" i="13" l="1"/>
  <c r="F140" i="19"/>
  <c r="E141" i="19"/>
  <c r="E140" i="17"/>
  <c r="F139" i="17"/>
  <c r="E149" i="12"/>
  <c r="O148" i="12"/>
  <c r="K152" i="15"/>
  <c r="L151" i="15"/>
  <c r="G161" i="13"/>
  <c r="E161" i="13"/>
  <c r="F161" i="13"/>
  <c r="F141" i="19" l="1"/>
  <c r="E142" i="19"/>
  <c r="E141" i="17"/>
  <c r="F140" i="17"/>
  <c r="E150" i="12"/>
  <c r="O149" i="12"/>
  <c r="K153" i="15"/>
  <c r="L152" i="15"/>
  <c r="G162" i="13"/>
  <c r="F162" i="13"/>
  <c r="E162" i="13"/>
  <c r="H161" i="13"/>
  <c r="H162" i="13" l="1"/>
  <c r="F142" i="19"/>
  <c r="E143" i="19"/>
  <c r="E142" i="17"/>
  <c r="F141" i="17"/>
  <c r="E151" i="12"/>
  <c r="O150" i="12"/>
  <c r="K154" i="15"/>
  <c r="L153" i="15"/>
  <c r="G163" i="13"/>
  <c r="E163" i="13"/>
  <c r="F163" i="13"/>
  <c r="F143" i="19" l="1"/>
  <c r="E144" i="19"/>
  <c r="E143" i="17"/>
  <c r="F142" i="17"/>
  <c r="E152" i="12"/>
  <c r="O151" i="12"/>
  <c r="K155" i="15"/>
  <c r="L154" i="15"/>
  <c r="G164" i="13"/>
  <c r="F164" i="13"/>
  <c r="E164" i="13"/>
  <c r="H163" i="13"/>
  <c r="H164" i="13" l="1"/>
  <c r="F144" i="19"/>
  <c r="E145" i="19"/>
  <c r="E144" i="17"/>
  <c r="F143" i="17"/>
  <c r="E153" i="12"/>
  <c r="O152" i="12"/>
  <c r="K156" i="15"/>
  <c r="L155" i="15"/>
  <c r="G165" i="13"/>
  <c r="E165" i="13"/>
  <c r="F165" i="13"/>
  <c r="F145" i="19" l="1"/>
  <c r="E146" i="19"/>
  <c r="F144" i="17"/>
  <c r="E145" i="17"/>
  <c r="E154" i="12"/>
  <c r="O153" i="12"/>
  <c r="K157" i="15"/>
  <c r="L156" i="15"/>
  <c r="G166" i="13"/>
  <c r="F166" i="13"/>
  <c r="E166" i="13"/>
  <c r="H165" i="13"/>
  <c r="H166" i="13" l="1"/>
  <c r="F146" i="19"/>
  <c r="E147" i="19"/>
  <c r="F145" i="17"/>
  <c r="E146" i="17"/>
  <c r="E155" i="12"/>
  <c r="O154" i="12"/>
  <c r="K158" i="15"/>
  <c r="L157" i="15"/>
  <c r="G167" i="13"/>
  <c r="E167" i="13"/>
  <c r="F167" i="13"/>
  <c r="F147" i="19" l="1"/>
  <c r="E148" i="19"/>
  <c r="F146" i="17"/>
  <c r="E147" i="17"/>
  <c r="E156" i="12"/>
  <c r="O155" i="12"/>
  <c r="K159" i="15"/>
  <c r="L158" i="15"/>
  <c r="G168" i="13"/>
  <c r="F168" i="13"/>
  <c r="E168" i="13"/>
  <c r="H167" i="13"/>
  <c r="H168" i="13" l="1"/>
  <c r="F148" i="19"/>
  <c r="E149" i="19"/>
  <c r="E148" i="17"/>
  <c r="F147" i="17"/>
  <c r="E157" i="12"/>
  <c r="O156" i="12"/>
  <c r="K160" i="15"/>
  <c r="L159" i="15"/>
  <c r="G169" i="13"/>
  <c r="E169" i="13"/>
  <c r="F169" i="13"/>
  <c r="F149" i="19" l="1"/>
  <c r="E150" i="19"/>
  <c r="E149" i="17"/>
  <c r="F148" i="17"/>
  <c r="E158" i="12"/>
  <c r="O157" i="12"/>
  <c r="K161" i="15"/>
  <c r="L160" i="15"/>
  <c r="G170" i="13"/>
  <c r="F170" i="13"/>
  <c r="E170" i="13"/>
  <c r="H169" i="13"/>
  <c r="H170" i="13" l="1"/>
  <c r="F150" i="19"/>
  <c r="E151" i="19"/>
  <c r="E150" i="17"/>
  <c r="F149" i="17"/>
  <c r="E159" i="12"/>
  <c r="O158" i="12"/>
  <c r="K162" i="15"/>
  <c r="L161" i="15"/>
  <c r="G171" i="13"/>
  <c r="E171" i="13"/>
  <c r="F171" i="13"/>
  <c r="F151" i="19" l="1"/>
  <c r="E152" i="19"/>
  <c r="E151" i="17"/>
  <c r="F150" i="17"/>
  <c r="E160" i="12"/>
  <c r="O159" i="12"/>
  <c r="K163" i="15"/>
  <c r="L162" i="15"/>
  <c r="G172" i="13"/>
  <c r="F172" i="13"/>
  <c r="E172" i="13"/>
  <c r="H171" i="13"/>
  <c r="H172" i="13" l="1"/>
  <c r="F152" i="19"/>
  <c r="E153" i="19"/>
  <c r="E152" i="17"/>
  <c r="F151" i="17"/>
  <c r="E161" i="12"/>
  <c r="O160" i="12"/>
  <c r="K164" i="15"/>
  <c r="L163" i="15"/>
  <c r="G173" i="13"/>
  <c r="E173" i="13"/>
  <c r="F173" i="13"/>
  <c r="F153" i="19" l="1"/>
  <c r="E154" i="19"/>
  <c r="F152" i="17"/>
  <c r="E153" i="17"/>
  <c r="E162" i="12"/>
  <c r="O161" i="12"/>
  <c r="K165" i="15"/>
  <c r="L164" i="15"/>
  <c r="G174" i="13"/>
  <c r="F174" i="13"/>
  <c r="E174" i="13"/>
  <c r="H173" i="13"/>
  <c r="H174" i="13" l="1"/>
  <c r="F154" i="19"/>
  <c r="E155" i="19"/>
  <c r="F153" i="17"/>
  <c r="E154" i="17"/>
  <c r="E163" i="12"/>
  <c r="O162" i="12"/>
  <c r="K166" i="15"/>
  <c r="L165" i="15"/>
  <c r="G175" i="13"/>
  <c r="E175" i="13"/>
  <c r="F175" i="13"/>
  <c r="F155" i="19" l="1"/>
  <c r="E156" i="19"/>
  <c r="F154" i="17"/>
  <c r="E155" i="17"/>
  <c r="E164" i="12"/>
  <c r="O163" i="12"/>
  <c r="K167" i="15"/>
  <c r="L166" i="15"/>
  <c r="G176" i="13"/>
  <c r="F176" i="13"/>
  <c r="E176" i="13"/>
  <c r="H175" i="13"/>
  <c r="H176" i="13" l="1"/>
  <c r="F156" i="19"/>
  <c r="E157" i="19"/>
  <c r="E156" i="17"/>
  <c r="F155" i="17"/>
  <c r="E165" i="12"/>
  <c r="O164" i="12"/>
  <c r="K168" i="15"/>
  <c r="L167" i="15"/>
  <c r="G177" i="13"/>
  <c r="E177" i="13"/>
  <c r="F177" i="13"/>
  <c r="F157" i="19" l="1"/>
  <c r="E158" i="19"/>
  <c r="E157" i="17"/>
  <c r="F156" i="17"/>
  <c r="E166" i="12"/>
  <c r="O165" i="12"/>
  <c r="K169" i="15"/>
  <c r="L168" i="15"/>
  <c r="G178" i="13"/>
  <c r="F178" i="13"/>
  <c r="E178" i="13"/>
  <c r="H177" i="13"/>
  <c r="H178" i="13" l="1"/>
  <c r="F158" i="19"/>
  <c r="E159" i="19"/>
  <c r="E158" i="17"/>
  <c r="F157" i="17"/>
  <c r="E167" i="12"/>
  <c r="O166" i="12"/>
  <c r="K170" i="15"/>
  <c r="L169" i="15"/>
  <c r="G179" i="13"/>
  <c r="E179" i="13"/>
  <c r="F179" i="13"/>
  <c r="F159" i="19" l="1"/>
  <c r="E160" i="19"/>
  <c r="E159" i="17"/>
  <c r="F158" i="17"/>
  <c r="E168" i="12"/>
  <c r="O167" i="12"/>
  <c r="K171" i="15"/>
  <c r="L170" i="15"/>
  <c r="G180" i="13"/>
  <c r="F180" i="13"/>
  <c r="E180" i="13"/>
  <c r="H179" i="13"/>
  <c r="H180" i="13" l="1"/>
  <c r="F160" i="19"/>
  <c r="E161" i="19"/>
  <c r="E160" i="17"/>
  <c r="F159" i="17"/>
  <c r="E169" i="12"/>
  <c r="O168" i="12"/>
  <c r="K172" i="15"/>
  <c r="L171" i="15"/>
  <c r="G181" i="13"/>
  <c r="E181" i="13"/>
  <c r="F181" i="13"/>
  <c r="F161" i="19" l="1"/>
  <c r="E162" i="19"/>
  <c r="F160" i="17"/>
  <c r="E161" i="17"/>
  <c r="E170" i="12"/>
  <c r="O169" i="12"/>
  <c r="K173" i="15"/>
  <c r="L172" i="15"/>
  <c r="G182" i="13"/>
  <c r="F182" i="13"/>
  <c r="E182" i="13"/>
  <c r="H181" i="13"/>
  <c r="H182" i="13" l="1"/>
  <c r="F162" i="19"/>
  <c r="E163" i="19"/>
  <c r="F161" i="17"/>
  <c r="E162" i="17"/>
  <c r="E171" i="12"/>
  <c r="O170" i="12"/>
  <c r="K174" i="15"/>
  <c r="L173" i="15"/>
  <c r="G183" i="13"/>
  <c r="E183" i="13"/>
  <c r="F183" i="13"/>
  <c r="F163" i="19" l="1"/>
  <c r="E164" i="19"/>
  <c r="F162" i="17"/>
  <c r="E163" i="17"/>
  <c r="E172" i="12"/>
  <c r="O171" i="12"/>
  <c r="K175" i="15"/>
  <c r="L174" i="15"/>
  <c r="G184" i="13"/>
  <c r="F184" i="13"/>
  <c r="E184" i="13"/>
  <c r="H183" i="13"/>
  <c r="H184" i="13" l="1"/>
  <c r="F164" i="19"/>
  <c r="E165" i="19"/>
  <c r="E164" i="17"/>
  <c r="F163" i="17"/>
  <c r="E173" i="12"/>
  <c r="O172" i="12"/>
  <c r="K176" i="15"/>
  <c r="L175" i="15"/>
  <c r="G185" i="13"/>
  <c r="E185" i="13"/>
  <c r="F185" i="13"/>
  <c r="F165" i="19" l="1"/>
  <c r="E166" i="19"/>
  <c r="E165" i="17"/>
  <c r="F164" i="17"/>
  <c r="E174" i="12"/>
  <c r="O173" i="12"/>
  <c r="K177" i="15"/>
  <c r="L176" i="15"/>
  <c r="G186" i="13"/>
  <c r="F186" i="13"/>
  <c r="E186" i="13"/>
  <c r="H185" i="13"/>
  <c r="H186" i="13" l="1"/>
  <c r="F166" i="19"/>
  <c r="E167" i="19"/>
  <c r="E166" i="17"/>
  <c r="F165" i="17"/>
  <c r="E175" i="12"/>
  <c r="O174" i="12"/>
  <c r="K178" i="15"/>
  <c r="L177" i="15"/>
  <c r="G187" i="13"/>
  <c r="E187" i="13"/>
  <c r="F187" i="13"/>
  <c r="F167" i="19" l="1"/>
  <c r="E168" i="19"/>
  <c r="E167" i="17"/>
  <c r="F166" i="17"/>
  <c r="E176" i="12"/>
  <c r="O175" i="12"/>
  <c r="K179" i="15"/>
  <c r="L178" i="15"/>
  <c r="G188" i="13"/>
  <c r="F188" i="13"/>
  <c r="E188" i="13"/>
  <c r="H187" i="13"/>
  <c r="H188" i="13" l="1"/>
  <c r="F168" i="19"/>
  <c r="E169" i="19"/>
  <c r="E168" i="17"/>
  <c r="F167" i="17"/>
  <c r="E177" i="12"/>
  <c r="O176" i="12"/>
  <c r="K180" i="15"/>
  <c r="L179" i="15"/>
  <c r="G189" i="13"/>
  <c r="E189" i="13"/>
  <c r="F189" i="13"/>
  <c r="F169" i="19" l="1"/>
  <c r="E170" i="19"/>
  <c r="F168" i="17"/>
  <c r="E169" i="17"/>
  <c r="E178" i="12"/>
  <c r="O177" i="12"/>
  <c r="K181" i="15"/>
  <c r="L180" i="15"/>
  <c r="G190" i="13"/>
  <c r="F190" i="13"/>
  <c r="E190" i="13"/>
  <c r="H189" i="13"/>
  <c r="H190" i="13" l="1"/>
  <c r="F170" i="19"/>
  <c r="E171" i="19"/>
  <c r="F169" i="17"/>
  <c r="E170" i="17"/>
  <c r="E179" i="12"/>
  <c r="O178" i="12"/>
  <c r="K182" i="15"/>
  <c r="L181" i="15"/>
  <c r="G191" i="13"/>
  <c r="E191" i="13"/>
  <c r="F191" i="13"/>
  <c r="F171" i="19" l="1"/>
  <c r="E172" i="19"/>
  <c r="F170" i="17"/>
  <c r="E171" i="17"/>
  <c r="E180" i="12"/>
  <c r="O179" i="12"/>
  <c r="K183" i="15"/>
  <c r="L182" i="15"/>
  <c r="G192" i="13"/>
  <c r="F192" i="13"/>
  <c r="E192" i="13"/>
  <c r="H191" i="13"/>
  <c r="H192" i="13" l="1"/>
  <c r="F172" i="19"/>
  <c r="E173" i="19"/>
  <c r="E172" i="17"/>
  <c r="F171" i="17"/>
  <c r="E181" i="12"/>
  <c r="O180" i="12"/>
  <c r="K184" i="15"/>
  <c r="L183" i="15"/>
  <c r="G193" i="13"/>
  <c r="E193" i="13"/>
  <c r="F193" i="13"/>
  <c r="F173" i="19" l="1"/>
  <c r="E174" i="19"/>
  <c r="E173" i="17"/>
  <c r="F172" i="17"/>
  <c r="E182" i="12"/>
  <c r="O181" i="12"/>
  <c r="K185" i="15"/>
  <c r="L184" i="15"/>
  <c r="G194" i="13"/>
  <c r="F194" i="13"/>
  <c r="E194" i="13"/>
  <c r="H193" i="13"/>
  <c r="H194" i="13" l="1"/>
  <c r="F174" i="19"/>
  <c r="E175" i="19"/>
  <c r="E174" i="17"/>
  <c r="F173" i="17"/>
  <c r="E183" i="12"/>
  <c r="O182" i="12"/>
  <c r="K186" i="15"/>
  <c r="L185" i="15"/>
  <c r="G195" i="13"/>
  <c r="E195" i="13"/>
  <c r="F195" i="13"/>
  <c r="F175" i="19" l="1"/>
  <c r="E176" i="19"/>
  <c r="E175" i="17"/>
  <c r="F174" i="17"/>
  <c r="E184" i="12"/>
  <c r="O183" i="12"/>
  <c r="K187" i="15"/>
  <c r="L186" i="15"/>
  <c r="G196" i="13"/>
  <c r="F196" i="13"/>
  <c r="E196" i="13"/>
  <c r="H195" i="13"/>
  <c r="H196" i="13" l="1"/>
  <c r="F176" i="19"/>
  <c r="E177" i="19"/>
  <c r="E176" i="17"/>
  <c r="F175" i="17"/>
  <c r="E185" i="12"/>
  <c r="O184" i="12"/>
  <c r="K188" i="15"/>
  <c r="L187" i="15"/>
  <c r="G197" i="13"/>
  <c r="E197" i="13"/>
  <c r="F197" i="13"/>
  <c r="F177" i="19" l="1"/>
  <c r="E178" i="19"/>
  <c r="F176" i="17"/>
  <c r="E177" i="17"/>
  <c r="E186" i="12"/>
  <c r="O185" i="12"/>
  <c r="K189" i="15"/>
  <c r="L188" i="15"/>
  <c r="G198" i="13"/>
  <c r="F198" i="13"/>
  <c r="E198" i="13"/>
  <c r="H197" i="13"/>
  <c r="H198" i="13" l="1"/>
  <c r="F178" i="19"/>
  <c r="E179" i="19"/>
  <c r="F177" i="17"/>
  <c r="E178" i="17"/>
  <c r="E187" i="12"/>
  <c r="O186" i="12"/>
  <c r="K190" i="15"/>
  <c r="L189" i="15"/>
  <c r="G199" i="13"/>
  <c r="E199" i="13"/>
  <c r="F199" i="13"/>
  <c r="F179" i="19" l="1"/>
  <c r="E180" i="19"/>
  <c r="F178" i="17"/>
  <c r="E179" i="17"/>
  <c r="E188" i="12"/>
  <c r="O187" i="12"/>
  <c r="K191" i="15"/>
  <c r="L190" i="15"/>
  <c r="G200" i="13"/>
  <c r="F200" i="13"/>
  <c r="E200" i="13"/>
  <c r="H199" i="13"/>
  <c r="H200" i="13" l="1"/>
  <c r="F180" i="19"/>
  <c r="E181" i="19"/>
  <c r="E180" i="17"/>
  <c r="F179" i="17"/>
  <c r="E189" i="12"/>
  <c r="O188" i="12"/>
  <c r="K192" i="15"/>
  <c r="L191" i="15"/>
  <c r="G201" i="13"/>
  <c r="E201" i="13"/>
  <c r="F201" i="13"/>
  <c r="F181" i="19" l="1"/>
  <c r="E182" i="19"/>
  <c r="E181" i="17"/>
  <c r="F180" i="17"/>
  <c r="E190" i="12"/>
  <c r="O189" i="12"/>
  <c r="K193" i="15"/>
  <c r="L192" i="15"/>
  <c r="G202" i="13"/>
  <c r="F202" i="13"/>
  <c r="E202" i="13"/>
  <c r="H201" i="13"/>
  <c r="H202" i="13" l="1"/>
  <c r="F182" i="19"/>
  <c r="E183" i="19"/>
  <c r="E182" i="17"/>
  <c r="F181" i="17"/>
  <c r="E191" i="12"/>
  <c r="O190" i="12"/>
  <c r="K194" i="15"/>
  <c r="L193" i="15"/>
  <c r="G203" i="13"/>
  <c r="E203" i="13"/>
  <c r="F203" i="13"/>
  <c r="F183" i="19" l="1"/>
  <c r="E184" i="19"/>
  <c r="E183" i="17"/>
  <c r="F182" i="17"/>
  <c r="E192" i="12"/>
  <c r="O191" i="12"/>
  <c r="K195" i="15"/>
  <c r="L194" i="15"/>
  <c r="G204" i="13"/>
  <c r="F204" i="13"/>
  <c r="E204" i="13"/>
  <c r="H203" i="13"/>
  <c r="H204" i="13" l="1"/>
  <c r="F184" i="19"/>
  <c r="E185" i="19"/>
  <c r="E184" i="17"/>
  <c r="F183" i="17"/>
  <c r="E193" i="12"/>
  <c r="O192" i="12"/>
  <c r="K196" i="15"/>
  <c r="L195" i="15"/>
  <c r="G205" i="13"/>
  <c r="E205" i="13"/>
  <c r="F205" i="13"/>
  <c r="F185" i="19" l="1"/>
  <c r="E186" i="19"/>
  <c r="F184" i="17"/>
  <c r="E185" i="17"/>
  <c r="E194" i="12"/>
  <c r="O193" i="12"/>
  <c r="K197" i="15"/>
  <c r="L196" i="15"/>
  <c r="G206" i="13"/>
  <c r="F206" i="13"/>
  <c r="E206" i="13"/>
  <c r="H205" i="13"/>
  <c r="H206" i="13" l="1"/>
  <c r="F186" i="19"/>
  <c r="E187" i="19"/>
  <c r="F185" i="17"/>
  <c r="E186" i="17"/>
  <c r="E195" i="12"/>
  <c r="O194" i="12"/>
  <c r="K198" i="15"/>
  <c r="L197" i="15"/>
  <c r="G207" i="13"/>
  <c r="E207" i="13"/>
  <c r="F207" i="13"/>
  <c r="F187" i="19" l="1"/>
  <c r="E188" i="19"/>
  <c r="F186" i="17"/>
  <c r="E187" i="17"/>
  <c r="E196" i="12"/>
  <c r="O195" i="12"/>
  <c r="K199" i="15"/>
  <c r="L198" i="15"/>
  <c r="G208" i="13"/>
  <c r="F208" i="13"/>
  <c r="E208" i="13"/>
  <c r="H207" i="13"/>
  <c r="H208" i="13" l="1"/>
  <c r="F188" i="19"/>
  <c r="E189" i="19"/>
  <c r="E188" i="17"/>
  <c r="F187" i="17"/>
  <c r="E197" i="12"/>
  <c r="O196" i="12"/>
  <c r="K200" i="15"/>
  <c r="L199" i="15"/>
  <c r="G209" i="13"/>
  <c r="E209" i="13"/>
  <c r="F209" i="13"/>
  <c r="F189" i="19" l="1"/>
  <c r="E190" i="19"/>
  <c r="E189" i="17"/>
  <c r="F188" i="17"/>
  <c r="E198" i="12"/>
  <c r="O197" i="12"/>
  <c r="K201" i="15"/>
  <c r="L200" i="15"/>
  <c r="G210" i="13"/>
  <c r="F210" i="13"/>
  <c r="E210" i="13"/>
  <c r="H209" i="13"/>
  <c r="H210" i="13" l="1"/>
  <c r="F190" i="19"/>
  <c r="E191" i="19"/>
  <c r="E190" i="17"/>
  <c r="F189" i="17"/>
  <c r="E199" i="12"/>
  <c r="O198" i="12"/>
  <c r="K202" i="15"/>
  <c r="L201" i="15"/>
  <c r="G211" i="13"/>
  <c r="E211" i="13"/>
  <c r="F211" i="13"/>
  <c r="F191" i="19" l="1"/>
  <c r="E192" i="19"/>
  <c r="E191" i="17"/>
  <c r="F190" i="17"/>
  <c r="E200" i="12"/>
  <c r="O199" i="12"/>
  <c r="K203" i="15"/>
  <c r="L202" i="15"/>
  <c r="G212" i="13"/>
  <c r="F212" i="13"/>
  <c r="E212" i="13"/>
  <c r="H211" i="13"/>
  <c r="H212" i="13" l="1"/>
  <c r="F192" i="19"/>
  <c r="E193" i="19"/>
  <c r="E192" i="17"/>
  <c r="F191" i="17"/>
  <c r="E201" i="12"/>
  <c r="O200" i="12"/>
  <c r="K204" i="15"/>
  <c r="L203" i="15"/>
  <c r="G213" i="13"/>
  <c r="E213" i="13"/>
  <c r="F213" i="13"/>
  <c r="F193" i="19" l="1"/>
  <c r="E194" i="19"/>
  <c r="F192" i="17"/>
  <c r="E193" i="17"/>
  <c r="E202" i="12"/>
  <c r="O201" i="12"/>
  <c r="K205" i="15"/>
  <c r="L204" i="15"/>
  <c r="G214" i="13"/>
  <c r="F214" i="13"/>
  <c r="E214" i="13"/>
  <c r="H213" i="13"/>
  <c r="H214" i="13" l="1"/>
  <c r="F194" i="19"/>
  <c r="E195" i="19"/>
  <c r="F193" i="17"/>
  <c r="E194" i="17"/>
  <c r="E203" i="12"/>
  <c r="O202" i="12"/>
  <c r="K206" i="15"/>
  <c r="L205" i="15"/>
  <c r="G215" i="13"/>
  <c r="E215" i="13"/>
  <c r="F215" i="13"/>
  <c r="F195" i="19" l="1"/>
  <c r="E196" i="19"/>
  <c r="F194" i="17"/>
  <c r="E195" i="17"/>
  <c r="E204" i="12"/>
  <c r="O203" i="12"/>
  <c r="K207" i="15"/>
  <c r="L206" i="15"/>
  <c r="G216" i="13"/>
  <c r="F216" i="13"/>
  <c r="E216" i="13"/>
  <c r="H215" i="13"/>
  <c r="H216" i="13" l="1"/>
  <c r="F196" i="19"/>
  <c r="E197" i="19"/>
  <c r="E196" i="17"/>
  <c r="F195" i="17"/>
  <c r="E205" i="12"/>
  <c r="O204" i="12"/>
  <c r="K208" i="15"/>
  <c r="L207" i="15"/>
  <c r="G217" i="13"/>
  <c r="E217" i="13"/>
  <c r="F217" i="13"/>
  <c r="F197" i="19" l="1"/>
  <c r="E198" i="19"/>
  <c r="E197" i="17"/>
  <c r="F196" i="17"/>
  <c r="E206" i="12"/>
  <c r="O205" i="12"/>
  <c r="K209" i="15"/>
  <c r="L208" i="15"/>
  <c r="G218" i="13"/>
  <c r="F218" i="13"/>
  <c r="E218" i="13"/>
  <c r="H217" i="13"/>
  <c r="H218" i="13" l="1"/>
  <c r="F198" i="19"/>
  <c r="E199" i="19"/>
  <c r="E198" i="17"/>
  <c r="F197" i="17"/>
  <c r="E207" i="12"/>
  <c r="O206" i="12"/>
  <c r="K210" i="15"/>
  <c r="L209" i="15"/>
  <c r="G219" i="13"/>
  <c r="E219" i="13"/>
  <c r="F219" i="13"/>
  <c r="F199" i="19" l="1"/>
  <c r="E200" i="19"/>
  <c r="E199" i="17"/>
  <c r="F198" i="17"/>
  <c r="E208" i="12"/>
  <c r="O207" i="12"/>
  <c r="K211" i="15"/>
  <c r="L210" i="15"/>
  <c r="G220" i="13"/>
  <c r="F220" i="13"/>
  <c r="E220" i="13"/>
  <c r="H219" i="13"/>
  <c r="H220" i="13" l="1"/>
  <c r="F200" i="19"/>
  <c r="E201" i="19"/>
  <c r="E200" i="17"/>
  <c r="F199" i="17"/>
  <c r="E209" i="12"/>
  <c r="O208" i="12"/>
  <c r="K212" i="15"/>
  <c r="L211" i="15"/>
  <c r="G221" i="13"/>
  <c r="E221" i="13"/>
  <c r="F221" i="13"/>
  <c r="F201" i="19" l="1"/>
  <c r="E202" i="19"/>
  <c r="F200" i="17"/>
  <c r="E201" i="17"/>
  <c r="E210" i="12"/>
  <c r="O209" i="12"/>
  <c r="K213" i="15"/>
  <c r="L212" i="15"/>
  <c r="G222" i="13"/>
  <c r="F222" i="13"/>
  <c r="E222" i="13"/>
  <c r="H221" i="13"/>
  <c r="H222" i="13" l="1"/>
  <c r="F202" i="19"/>
  <c r="E203" i="19"/>
  <c r="F201" i="17"/>
  <c r="E202" i="17"/>
  <c r="E211" i="12"/>
  <c r="O210" i="12"/>
  <c r="K214" i="15"/>
  <c r="L213" i="15"/>
  <c r="G223" i="13"/>
  <c r="E223" i="13"/>
  <c r="F223" i="13"/>
  <c r="F203" i="19" l="1"/>
  <c r="E204" i="19"/>
  <c r="F202" i="17"/>
  <c r="E203" i="17"/>
  <c r="E212" i="12"/>
  <c r="O211" i="12"/>
  <c r="K215" i="15"/>
  <c r="L214" i="15"/>
  <c r="G224" i="13"/>
  <c r="F224" i="13"/>
  <c r="E224" i="13"/>
  <c r="H223" i="13"/>
  <c r="H224" i="13" l="1"/>
  <c r="F204" i="19"/>
  <c r="E205" i="19"/>
  <c r="E204" i="17"/>
  <c r="F203" i="17"/>
  <c r="E213" i="12"/>
  <c r="O212" i="12"/>
  <c r="K216" i="15"/>
  <c r="L215" i="15"/>
  <c r="G225" i="13"/>
  <c r="E225" i="13"/>
  <c r="F225" i="13"/>
  <c r="F205" i="19" l="1"/>
  <c r="E206" i="19"/>
  <c r="E205" i="17"/>
  <c r="F204" i="17"/>
  <c r="E214" i="12"/>
  <c r="O213" i="12"/>
  <c r="K217" i="15"/>
  <c r="L216" i="15"/>
  <c r="G226" i="13"/>
  <c r="F226" i="13"/>
  <c r="E226" i="13"/>
  <c r="H225" i="13"/>
  <c r="H226" i="13" l="1"/>
  <c r="F206" i="19"/>
  <c r="E207" i="19"/>
  <c r="E206" i="17"/>
  <c r="F205" i="17"/>
  <c r="E215" i="12"/>
  <c r="O214" i="12"/>
  <c r="K218" i="15"/>
  <c r="L217" i="15"/>
  <c r="G227" i="13"/>
  <c r="E227" i="13"/>
  <c r="F227" i="13"/>
  <c r="F207" i="19" l="1"/>
  <c r="E208" i="19"/>
  <c r="E207" i="17"/>
  <c r="F206" i="17"/>
  <c r="E216" i="12"/>
  <c r="O215" i="12"/>
  <c r="K219" i="15"/>
  <c r="L218" i="15"/>
  <c r="G228" i="13"/>
  <c r="F228" i="13"/>
  <c r="E228" i="13"/>
  <c r="H227" i="13"/>
  <c r="H228" i="13" l="1"/>
  <c r="F208" i="19"/>
  <c r="E209" i="19"/>
  <c r="E208" i="17"/>
  <c r="F207" i="17"/>
  <c r="E217" i="12"/>
  <c r="O216" i="12"/>
  <c r="K220" i="15"/>
  <c r="L219" i="15"/>
  <c r="G229" i="13"/>
  <c r="E229" i="13"/>
  <c r="F229" i="13"/>
  <c r="F209" i="19" l="1"/>
  <c r="E210" i="19"/>
  <c r="F208" i="17"/>
  <c r="E209" i="17"/>
  <c r="E218" i="12"/>
  <c r="O217" i="12"/>
  <c r="K221" i="15"/>
  <c r="L220" i="15"/>
  <c r="G230" i="13"/>
  <c r="F230" i="13"/>
  <c r="E230" i="13"/>
  <c r="H229" i="13"/>
  <c r="H230" i="13" l="1"/>
  <c r="F210" i="19"/>
  <c r="E211" i="19"/>
  <c r="F209" i="17"/>
  <c r="E210" i="17"/>
  <c r="E219" i="12"/>
  <c r="O218" i="12"/>
  <c r="K222" i="15"/>
  <c r="L221" i="15"/>
  <c r="G231" i="13"/>
  <c r="E231" i="13"/>
  <c r="F231" i="13"/>
  <c r="F211" i="19" l="1"/>
  <c r="E212" i="19"/>
  <c r="F210" i="17"/>
  <c r="E211" i="17"/>
  <c r="E220" i="12"/>
  <c r="O219" i="12"/>
  <c r="K223" i="15"/>
  <c r="L222" i="15"/>
  <c r="G232" i="13"/>
  <c r="F232" i="13"/>
  <c r="E232" i="13"/>
  <c r="H231" i="13"/>
  <c r="H232" i="13" l="1"/>
  <c r="F212" i="19"/>
  <c r="E213" i="19"/>
  <c r="E212" i="17"/>
  <c r="F211" i="17"/>
  <c r="E221" i="12"/>
  <c r="O220" i="12"/>
  <c r="K224" i="15"/>
  <c r="L223" i="15"/>
  <c r="G233" i="13"/>
  <c r="E233" i="13"/>
  <c r="F233" i="13"/>
  <c r="F213" i="19" l="1"/>
  <c r="E214" i="19"/>
  <c r="E213" i="17"/>
  <c r="F212" i="17"/>
  <c r="E222" i="12"/>
  <c r="O221" i="12"/>
  <c r="K225" i="15"/>
  <c r="L224" i="15"/>
  <c r="G234" i="13"/>
  <c r="F234" i="13"/>
  <c r="E234" i="13"/>
  <c r="H233" i="13"/>
  <c r="H234" i="13" l="1"/>
  <c r="F214" i="19"/>
  <c r="E215" i="19"/>
  <c r="E214" i="17"/>
  <c r="F213" i="17"/>
  <c r="E223" i="12"/>
  <c r="O222" i="12"/>
  <c r="K226" i="15"/>
  <c r="L225" i="15"/>
  <c r="G235" i="13"/>
  <c r="E235" i="13"/>
  <c r="F235" i="13"/>
  <c r="F215" i="19" l="1"/>
  <c r="E216" i="19"/>
  <c r="E215" i="17"/>
  <c r="F214" i="17"/>
  <c r="E224" i="12"/>
  <c r="O223" i="12"/>
  <c r="K227" i="15"/>
  <c r="L226" i="15"/>
  <c r="G236" i="13"/>
  <c r="F236" i="13"/>
  <c r="E236" i="13"/>
  <c r="H235" i="13"/>
  <c r="H236" i="13" l="1"/>
  <c r="F216" i="19"/>
  <c r="E217" i="19"/>
  <c r="E216" i="17"/>
  <c r="F215" i="17"/>
  <c r="E225" i="12"/>
  <c r="O224" i="12"/>
  <c r="K228" i="15"/>
  <c r="L227" i="15"/>
  <c r="G237" i="13"/>
  <c r="E237" i="13"/>
  <c r="F237" i="13"/>
  <c r="F217" i="19" l="1"/>
  <c r="E218" i="19"/>
  <c r="F216" i="17"/>
  <c r="E217" i="17"/>
  <c r="E226" i="12"/>
  <c r="O225" i="12"/>
  <c r="K229" i="15"/>
  <c r="L228" i="15"/>
  <c r="G238" i="13"/>
  <c r="F238" i="13"/>
  <c r="E238" i="13"/>
  <c r="H237" i="13"/>
  <c r="H238" i="13" l="1"/>
  <c r="F218" i="19"/>
  <c r="E219" i="19"/>
  <c r="F217" i="17"/>
  <c r="E218" i="17"/>
  <c r="E227" i="12"/>
  <c r="O226" i="12"/>
  <c r="K230" i="15"/>
  <c r="L229" i="15"/>
  <c r="G239" i="13"/>
  <c r="E239" i="13"/>
  <c r="F239" i="13"/>
  <c r="F219" i="19" l="1"/>
  <c r="E220" i="19"/>
  <c r="F218" i="17"/>
  <c r="E219" i="17"/>
  <c r="E228" i="12"/>
  <c r="O227" i="12"/>
  <c r="K231" i="15"/>
  <c r="L230" i="15"/>
  <c r="G240" i="13"/>
  <c r="F240" i="13"/>
  <c r="E240" i="13"/>
  <c r="H239" i="13"/>
  <c r="H240" i="13" l="1"/>
  <c r="F220" i="19"/>
  <c r="E221" i="19"/>
  <c r="E220" i="17"/>
  <c r="F219" i="17"/>
  <c r="E229" i="12"/>
  <c r="O228" i="12"/>
  <c r="K232" i="15"/>
  <c r="L231" i="15"/>
  <c r="G241" i="13"/>
  <c r="E241" i="13"/>
  <c r="F241" i="13"/>
  <c r="F221" i="19" l="1"/>
  <c r="E222" i="19"/>
  <c r="E221" i="17"/>
  <c r="F220" i="17"/>
  <c r="E230" i="12"/>
  <c r="O229" i="12"/>
  <c r="K233" i="15"/>
  <c r="L232" i="15"/>
  <c r="G242" i="13"/>
  <c r="F242" i="13"/>
  <c r="E242" i="13"/>
  <c r="H241" i="13"/>
  <c r="H242" i="13" l="1"/>
  <c r="F222" i="19"/>
  <c r="E223" i="19"/>
  <c r="E222" i="17"/>
  <c r="F221" i="17"/>
  <c r="E231" i="12"/>
  <c r="O230" i="12"/>
  <c r="K234" i="15"/>
  <c r="L233" i="15"/>
  <c r="G243" i="13"/>
  <c r="E243" i="13"/>
  <c r="F243" i="13"/>
  <c r="F223" i="19" l="1"/>
  <c r="E224" i="19"/>
  <c r="E223" i="17"/>
  <c r="F222" i="17"/>
  <c r="E232" i="12"/>
  <c r="O231" i="12"/>
  <c r="K235" i="15"/>
  <c r="L234" i="15"/>
  <c r="G244" i="13"/>
  <c r="F244" i="13"/>
  <c r="E244" i="13"/>
  <c r="H243" i="13"/>
  <c r="H244" i="13" l="1"/>
  <c r="F224" i="19"/>
  <c r="E225" i="19"/>
  <c r="E224" i="17"/>
  <c r="F223" i="17"/>
  <c r="E233" i="12"/>
  <c r="O232" i="12"/>
  <c r="K236" i="15"/>
  <c r="L235" i="15"/>
  <c r="G245" i="13"/>
  <c r="E245" i="13"/>
  <c r="F245" i="13"/>
  <c r="F225" i="19" l="1"/>
  <c r="E226" i="19"/>
  <c r="F224" i="17"/>
  <c r="E225" i="17"/>
  <c r="E234" i="12"/>
  <c r="O233" i="12"/>
  <c r="K237" i="15"/>
  <c r="L236" i="15"/>
  <c r="G246" i="13"/>
  <c r="F246" i="13"/>
  <c r="E246" i="13"/>
  <c r="H245" i="13"/>
  <c r="H246" i="13" l="1"/>
  <c r="F226" i="19"/>
  <c r="E227" i="19"/>
  <c r="F225" i="17"/>
  <c r="E226" i="17"/>
  <c r="E235" i="12"/>
  <c r="O234" i="12"/>
  <c r="K238" i="15"/>
  <c r="L237" i="15"/>
  <c r="G247" i="13"/>
  <c r="E247" i="13"/>
  <c r="F247" i="13"/>
  <c r="F227" i="19" l="1"/>
  <c r="E228" i="19"/>
  <c r="F226" i="17"/>
  <c r="E227" i="17"/>
  <c r="E236" i="12"/>
  <c r="O235" i="12"/>
  <c r="K239" i="15"/>
  <c r="L238" i="15"/>
  <c r="G248" i="13"/>
  <c r="F248" i="13"/>
  <c r="E248" i="13"/>
  <c r="H247" i="13"/>
  <c r="H248" i="13" l="1"/>
  <c r="F228" i="19"/>
  <c r="E229" i="19"/>
  <c r="E228" i="17"/>
  <c r="F227" i="17"/>
  <c r="E237" i="12"/>
  <c r="O236" i="12"/>
  <c r="K240" i="15"/>
  <c r="L239" i="15"/>
  <c r="G249" i="13"/>
  <c r="E249" i="13"/>
  <c r="F249" i="13"/>
  <c r="F229" i="19" l="1"/>
  <c r="E230" i="19"/>
  <c r="E229" i="17"/>
  <c r="F228" i="17"/>
  <c r="E238" i="12"/>
  <c r="O237" i="12"/>
  <c r="K241" i="15"/>
  <c r="L240" i="15"/>
  <c r="G250" i="13"/>
  <c r="F250" i="13"/>
  <c r="E250" i="13"/>
  <c r="H249" i="13"/>
  <c r="H250" i="13" l="1"/>
  <c r="F230" i="19"/>
  <c r="E231" i="19"/>
  <c r="E230" i="17"/>
  <c r="F229" i="17"/>
  <c r="E239" i="12"/>
  <c r="O238" i="12"/>
  <c r="K242" i="15"/>
  <c r="L241" i="15"/>
  <c r="G251" i="13"/>
  <c r="E251" i="13"/>
  <c r="F251" i="13"/>
  <c r="F231" i="19" l="1"/>
  <c r="E232" i="19"/>
  <c r="E231" i="17"/>
  <c r="F230" i="17"/>
  <c r="E240" i="12"/>
  <c r="O239" i="12"/>
  <c r="K243" i="15"/>
  <c r="L242" i="15"/>
  <c r="G252" i="13"/>
  <c r="F252" i="13"/>
  <c r="E252" i="13"/>
  <c r="H251" i="13"/>
  <c r="H252" i="13" l="1"/>
  <c r="F232" i="19"/>
  <c r="E233" i="19"/>
  <c r="E232" i="17"/>
  <c r="F231" i="17"/>
  <c r="E241" i="12"/>
  <c r="O240" i="12"/>
  <c r="K244" i="15"/>
  <c r="L243" i="15"/>
  <c r="G253" i="13"/>
  <c r="E253" i="13"/>
  <c r="F253" i="13"/>
  <c r="F233" i="19" l="1"/>
  <c r="E234" i="19"/>
  <c r="F232" i="17"/>
  <c r="E233" i="17"/>
  <c r="E242" i="12"/>
  <c r="O241" i="12"/>
  <c r="K245" i="15"/>
  <c r="L244" i="15"/>
  <c r="G254" i="13"/>
  <c r="F254" i="13"/>
  <c r="E254" i="13"/>
  <c r="H253" i="13"/>
  <c r="H254" i="13" l="1"/>
  <c r="F234" i="19"/>
  <c r="E235" i="19"/>
  <c r="F233" i="17"/>
  <c r="E234" i="17"/>
  <c r="E243" i="12"/>
  <c r="O242" i="12"/>
  <c r="K246" i="15"/>
  <c r="L245" i="15"/>
  <c r="G255" i="13"/>
  <c r="E255" i="13"/>
  <c r="F255" i="13"/>
  <c r="F235" i="19" l="1"/>
  <c r="E236" i="19"/>
  <c r="F234" i="17"/>
  <c r="E235" i="17"/>
  <c r="E244" i="12"/>
  <c r="O243" i="12"/>
  <c r="K247" i="15"/>
  <c r="L246" i="15"/>
  <c r="G256" i="13"/>
  <c r="F256" i="13"/>
  <c r="E256" i="13"/>
  <c r="H255" i="13"/>
  <c r="H256" i="13" l="1"/>
  <c r="F236" i="19"/>
  <c r="E237" i="19"/>
  <c r="E236" i="17"/>
  <c r="F235" i="17"/>
  <c r="E245" i="12"/>
  <c r="O244" i="12"/>
  <c r="K248" i="15"/>
  <c r="L247" i="15"/>
  <c r="G257" i="13"/>
  <c r="E257" i="13"/>
  <c r="F257" i="13"/>
  <c r="F237" i="19" l="1"/>
  <c r="E238" i="19"/>
  <c r="E237" i="17"/>
  <c r="F236" i="17"/>
  <c r="E246" i="12"/>
  <c r="O245" i="12"/>
  <c r="K249" i="15"/>
  <c r="L248" i="15"/>
  <c r="G258" i="13"/>
  <c r="F258" i="13"/>
  <c r="E258" i="13"/>
  <c r="H257" i="13"/>
  <c r="H258" i="13" l="1"/>
  <c r="F238" i="19"/>
  <c r="E239" i="19"/>
  <c r="E238" i="17"/>
  <c r="F237" i="17"/>
  <c r="E247" i="12"/>
  <c r="O246" i="12"/>
  <c r="K250" i="15"/>
  <c r="L249" i="15"/>
  <c r="G259" i="13"/>
  <c r="E259" i="13"/>
  <c r="F259" i="13"/>
  <c r="F239" i="19" l="1"/>
  <c r="E240" i="19"/>
  <c r="E239" i="17"/>
  <c r="F238" i="17"/>
  <c r="E248" i="12"/>
  <c r="O247" i="12"/>
  <c r="K251" i="15"/>
  <c r="L250" i="15"/>
  <c r="G260" i="13"/>
  <c r="F260" i="13"/>
  <c r="E260" i="13"/>
  <c r="H259" i="13"/>
  <c r="H260" i="13" l="1"/>
  <c r="F240" i="19"/>
  <c r="E241" i="19"/>
  <c r="E240" i="17"/>
  <c r="F239" i="17"/>
  <c r="E249" i="12"/>
  <c r="O248" i="12"/>
  <c r="K252" i="15"/>
  <c r="L251" i="15"/>
  <c r="G261" i="13"/>
  <c r="E261" i="13"/>
  <c r="F261" i="13"/>
  <c r="F241" i="19" l="1"/>
  <c r="E242" i="19"/>
  <c r="F240" i="17"/>
  <c r="E241" i="17"/>
  <c r="E250" i="12"/>
  <c r="O249" i="12"/>
  <c r="K253" i="15"/>
  <c r="L252" i="15"/>
  <c r="G262" i="13"/>
  <c r="F262" i="13"/>
  <c r="E262" i="13"/>
  <c r="H261" i="13"/>
  <c r="H262" i="13" l="1"/>
  <c r="F242" i="19"/>
  <c r="E243" i="19"/>
  <c r="F241" i="17"/>
  <c r="E242" i="17"/>
  <c r="E251" i="12"/>
  <c r="O250" i="12"/>
  <c r="K254" i="15"/>
  <c r="L253" i="15"/>
  <c r="G263" i="13"/>
  <c r="E263" i="13"/>
  <c r="F263" i="13"/>
  <c r="F243" i="19" l="1"/>
  <c r="E244" i="19"/>
  <c r="F242" i="17"/>
  <c r="E243" i="17"/>
  <c r="E252" i="12"/>
  <c r="O251" i="12"/>
  <c r="K255" i="15"/>
  <c r="L254" i="15"/>
  <c r="G264" i="13"/>
  <c r="F264" i="13"/>
  <c r="E264" i="13"/>
  <c r="H263" i="13"/>
  <c r="H264" i="13" l="1"/>
  <c r="F244" i="19"/>
  <c r="E245" i="19"/>
  <c r="E244" i="17"/>
  <c r="F243" i="17"/>
  <c r="E253" i="12"/>
  <c r="O252" i="12"/>
  <c r="K256" i="15"/>
  <c r="L255" i="15"/>
  <c r="G265" i="13"/>
  <c r="E265" i="13"/>
  <c r="F265" i="13"/>
  <c r="F245" i="19" l="1"/>
  <c r="E246" i="19"/>
  <c r="E245" i="17"/>
  <c r="F244" i="17"/>
  <c r="E254" i="12"/>
  <c r="O253" i="12"/>
  <c r="K257" i="15"/>
  <c r="L256" i="15"/>
  <c r="G266" i="13"/>
  <c r="F266" i="13"/>
  <c r="E266" i="13"/>
  <c r="H265" i="13"/>
  <c r="H266" i="13" l="1"/>
  <c r="F246" i="19"/>
  <c r="E247" i="19"/>
  <c r="E246" i="17"/>
  <c r="F245" i="17"/>
  <c r="E255" i="12"/>
  <c r="O254" i="12"/>
  <c r="K258" i="15"/>
  <c r="L257" i="15"/>
  <c r="G267" i="13"/>
  <c r="E267" i="13"/>
  <c r="F267" i="13"/>
  <c r="F247" i="19" l="1"/>
  <c r="E248" i="19"/>
  <c r="E247" i="17"/>
  <c r="F246" i="17"/>
  <c r="E256" i="12"/>
  <c r="O255" i="12"/>
  <c r="K259" i="15"/>
  <c r="L258" i="15"/>
  <c r="G268" i="13"/>
  <c r="F268" i="13"/>
  <c r="E268" i="13"/>
  <c r="H267" i="13"/>
  <c r="H268" i="13" l="1"/>
  <c r="F248" i="19"/>
  <c r="E249" i="19"/>
  <c r="E248" i="17"/>
  <c r="F247" i="17"/>
  <c r="E257" i="12"/>
  <c r="O256" i="12"/>
  <c r="K260" i="15"/>
  <c r="L259" i="15"/>
  <c r="G269" i="13"/>
  <c r="E269" i="13"/>
  <c r="F269" i="13"/>
  <c r="F249" i="19" l="1"/>
  <c r="E250" i="19"/>
  <c r="F248" i="17"/>
  <c r="E249" i="17"/>
  <c r="E258" i="12"/>
  <c r="O257" i="12"/>
  <c r="K261" i="15"/>
  <c r="L260" i="15"/>
  <c r="G270" i="13"/>
  <c r="F270" i="13"/>
  <c r="E270" i="13"/>
  <c r="H269" i="13"/>
  <c r="H270" i="13" l="1"/>
  <c r="F250" i="19"/>
  <c r="E251" i="19"/>
  <c r="F249" i="17"/>
  <c r="E250" i="17"/>
  <c r="E259" i="12"/>
  <c r="O258" i="12"/>
  <c r="K262" i="15"/>
  <c r="L261" i="15"/>
  <c r="G271" i="13"/>
  <c r="E271" i="13"/>
  <c r="F271" i="13"/>
  <c r="F251" i="19" l="1"/>
  <c r="E252" i="19"/>
  <c r="F250" i="17"/>
  <c r="E251" i="17"/>
  <c r="E260" i="12"/>
  <c r="O259" i="12"/>
  <c r="K263" i="15"/>
  <c r="L262" i="15"/>
  <c r="G272" i="13"/>
  <c r="F272" i="13"/>
  <c r="E272" i="13"/>
  <c r="H271" i="13"/>
  <c r="H272" i="13" l="1"/>
  <c r="F252" i="19"/>
  <c r="E253" i="19"/>
  <c r="E252" i="17"/>
  <c r="F251" i="17"/>
  <c r="E261" i="12"/>
  <c r="O260" i="12"/>
  <c r="K264" i="15"/>
  <c r="L263" i="15"/>
  <c r="G273" i="13"/>
  <c r="E273" i="13"/>
  <c r="F273" i="13"/>
  <c r="F253" i="19" l="1"/>
  <c r="E254" i="19"/>
  <c r="E253" i="17"/>
  <c r="F252" i="17"/>
  <c r="E262" i="12"/>
  <c r="O261" i="12"/>
  <c r="K265" i="15"/>
  <c r="L264" i="15"/>
  <c r="G274" i="13"/>
  <c r="F274" i="13"/>
  <c r="E274" i="13"/>
  <c r="H273" i="13"/>
  <c r="H274" i="13" l="1"/>
  <c r="F254" i="19"/>
  <c r="E255" i="19"/>
  <c r="E254" i="17"/>
  <c r="F253" i="17"/>
  <c r="E263" i="12"/>
  <c r="O262" i="12"/>
  <c r="K266" i="15"/>
  <c r="L265" i="15"/>
  <c r="G275" i="13"/>
  <c r="E275" i="13"/>
  <c r="F275" i="13"/>
  <c r="F255" i="19" l="1"/>
  <c r="E256" i="19"/>
  <c r="E255" i="17"/>
  <c r="F254" i="17"/>
  <c r="E264" i="12"/>
  <c r="O263" i="12"/>
  <c r="K267" i="15"/>
  <c r="L266" i="15"/>
  <c r="G276" i="13"/>
  <c r="F276" i="13"/>
  <c r="E276" i="13"/>
  <c r="H275" i="13"/>
  <c r="H276" i="13" l="1"/>
  <c r="F256" i="19"/>
  <c r="E257" i="19"/>
  <c r="E256" i="17"/>
  <c r="F255" i="17"/>
  <c r="E265" i="12"/>
  <c r="O264" i="12"/>
  <c r="K268" i="15"/>
  <c r="L267" i="15"/>
  <c r="G277" i="13"/>
  <c r="E277" i="13"/>
  <c r="F277" i="13"/>
  <c r="F257" i="19" l="1"/>
  <c r="E258" i="19"/>
  <c r="F256" i="17"/>
  <c r="E257" i="17"/>
  <c r="E266" i="12"/>
  <c r="O265" i="12"/>
  <c r="K269" i="15"/>
  <c r="L268" i="15"/>
  <c r="G278" i="13"/>
  <c r="F278" i="13"/>
  <c r="E278" i="13"/>
  <c r="H277" i="13"/>
  <c r="H278" i="13" l="1"/>
  <c r="F258" i="19"/>
  <c r="E259" i="19"/>
  <c r="F257" i="17"/>
  <c r="E258" i="17"/>
  <c r="E267" i="12"/>
  <c r="O266" i="12"/>
  <c r="K270" i="15"/>
  <c r="L269" i="15"/>
  <c r="G279" i="13"/>
  <c r="E279" i="13"/>
  <c r="F279" i="13"/>
  <c r="F259" i="19" l="1"/>
  <c r="E260" i="19"/>
  <c r="F258" i="17"/>
  <c r="E259" i="17"/>
  <c r="E268" i="12"/>
  <c r="O267" i="12"/>
  <c r="K271" i="15"/>
  <c r="L270" i="15"/>
  <c r="G280" i="13"/>
  <c r="F280" i="13"/>
  <c r="E280" i="13"/>
  <c r="H279" i="13"/>
  <c r="H280" i="13" l="1"/>
  <c r="F260" i="19"/>
  <c r="E261" i="19"/>
  <c r="E260" i="17"/>
  <c r="F259" i="17"/>
  <c r="E269" i="12"/>
  <c r="O268" i="12"/>
  <c r="K272" i="15"/>
  <c r="L271" i="15"/>
  <c r="G281" i="13"/>
  <c r="E281" i="13"/>
  <c r="F281" i="13"/>
  <c r="F261" i="19" l="1"/>
  <c r="E262" i="19"/>
  <c r="E261" i="17"/>
  <c r="F260" i="17"/>
  <c r="E270" i="12"/>
  <c r="O269" i="12"/>
  <c r="K273" i="15"/>
  <c r="L272" i="15"/>
  <c r="G282" i="13"/>
  <c r="F282" i="13"/>
  <c r="E282" i="13"/>
  <c r="H281" i="13"/>
  <c r="H282" i="13" l="1"/>
  <c r="F262" i="19"/>
  <c r="E263" i="19"/>
  <c r="E262" i="17"/>
  <c r="F261" i="17"/>
  <c r="E271" i="12"/>
  <c r="O270" i="12"/>
  <c r="K274" i="15"/>
  <c r="L273" i="15"/>
  <c r="G283" i="13"/>
  <c r="E283" i="13"/>
  <c r="F283" i="13"/>
  <c r="F263" i="19" l="1"/>
  <c r="E264" i="19"/>
  <c r="E263" i="17"/>
  <c r="F262" i="17"/>
  <c r="E272" i="12"/>
  <c r="O271" i="12"/>
  <c r="K275" i="15"/>
  <c r="L274" i="15"/>
  <c r="G284" i="13"/>
  <c r="F284" i="13"/>
  <c r="E284" i="13"/>
  <c r="H283" i="13"/>
  <c r="H284" i="13" l="1"/>
  <c r="F264" i="19"/>
  <c r="E265" i="19"/>
  <c r="E264" i="17"/>
  <c r="F263" i="17"/>
  <c r="E273" i="12"/>
  <c r="O272" i="12"/>
  <c r="K276" i="15"/>
  <c r="L275" i="15"/>
  <c r="G285" i="13"/>
  <c r="E285" i="13"/>
  <c r="F285" i="13"/>
  <c r="F265" i="19" l="1"/>
  <c r="E266" i="19"/>
  <c r="F264" i="17"/>
  <c r="E265" i="17"/>
  <c r="E274" i="12"/>
  <c r="O273" i="12"/>
  <c r="K277" i="15"/>
  <c r="L276" i="15"/>
  <c r="G286" i="13"/>
  <c r="F286" i="13"/>
  <c r="E286" i="13"/>
  <c r="H285" i="13"/>
  <c r="H286" i="13" l="1"/>
  <c r="F266" i="19"/>
  <c r="E267" i="19"/>
  <c r="F265" i="17"/>
  <c r="E266" i="17"/>
  <c r="E275" i="12"/>
  <c r="O274" i="12"/>
  <c r="K278" i="15"/>
  <c r="L277" i="15"/>
  <c r="G287" i="13"/>
  <c r="E287" i="13"/>
  <c r="F287" i="13"/>
  <c r="F267" i="19" l="1"/>
  <c r="E268" i="19"/>
  <c r="F266" i="17"/>
  <c r="E267" i="17"/>
  <c r="E276" i="12"/>
  <c r="O275" i="12"/>
  <c r="K279" i="15"/>
  <c r="L278" i="15"/>
  <c r="G288" i="13"/>
  <c r="F288" i="13"/>
  <c r="E288" i="13"/>
  <c r="H287" i="13"/>
  <c r="H288" i="13" l="1"/>
  <c r="F268" i="19"/>
  <c r="E269" i="19"/>
  <c r="E268" i="17"/>
  <c r="F267" i="17"/>
  <c r="E277" i="12"/>
  <c r="O276" i="12"/>
  <c r="K280" i="15"/>
  <c r="L279" i="15"/>
  <c r="G289" i="13"/>
  <c r="E289" i="13"/>
  <c r="F289" i="13"/>
  <c r="F269" i="19" l="1"/>
  <c r="E270" i="19"/>
  <c r="E269" i="17"/>
  <c r="F268" i="17"/>
  <c r="E278" i="12"/>
  <c r="O277" i="12"/>
  <c r="K281" i="15"/>
  <c r="L280" i="15"/>
  <c r="G290" i="13"/>
  <c r="F290" i="13"/>
  <c r="E290" i="13"/>
  <c r="H289" i="13"/>
  <c r="H290" i="13" l="1"/>
  <c r="F270" i="19"/>
  <c r="E271" i="19"/>
  <c r="E270" i="17"/>
  <c r="F269" i="17"/>
  <c r="E279" i="12"/>
  <c r="O278" i="12"/>
  <c r="K282" i="15"/>
  <c r="L281" i="15"/>
  <c r="G291" i="13"/>
  <c r="E291" i="13"/>
  <c r="F291" i="13"/>
  <c r="F271" i="19" l="1"/>
  <c r="E272" i="19"/>
  <c r="E271" i="17"/>
  <c r="F270" i="17"/>
  <c r="E280" i="12"/>
  <c r="O279" i="12"/>
  <c r="K283" i="15"/>
  <c r="L282" i="15"/>
  <c r="G292" i="13"/>
  <c r="F292" i="13"/>
  <c r="E292" i="13"/>
  <c r="H291" i="13"/>
  <c r="H292" i="13" l="1"/>
  <c r="F272" i="19"/>
  <c r="E273" i="19"/>
  <c r="E272" i="17"/>
  <c r="F271" i="17"/>
  <c r="E281" i="12"/>
  <c r="O280" i="12"/>
  <c r="K284" i="15"/>
  <c r="L283" i="15"/>
  <c r="G293" i="13"/>
  <c r="E293" i="13"/>
  <c r="F293" i="13"/>
  <c r="F273" i="19" l="1"/>
  <c r="E274" i="19"/>
  <c r="F272" i="17"/>
  <c r="E273" i="17"/>
  <c r="E282" i="12"/>
  <c r="O281" i="12"/>
  <c r="K285" i="15"/>
  <c r="L284" i="15"/>
  <c r="G294" i="13"/>
  <c r="F294" i="13"/>
  <c r="E294" i="13"/>
  <c r="H293" i="13"/>
  <c r="H294" i="13" l="1"/>
  <c r="F274" i="19"/>
  <c r="E275" i="19"/>
  <c r="F273" i="17"/>
  <c r="E274" i="17"/>
  <c r="E283" i="12"/>
  <c r="O282" i="12"/>
  <c r="K286" i="15"/>
  <c r="L285" i="15"/>
  <c r="G295" i="13"/>
  <c r="E295" i="13"/>
  <c r="F295" i="13"/>
  <c r="F275" i="19" l="1"/>
  <c r="E276" i="19"/>
  <c r="F274" i="17"/>
  <c r="E275" i="17"/>
  <c r="E284" i="12"/>
  <c r="O283" i="12"/>
  <c r="K287" i="15"/>
  <c r="L286" i="15"/>
  <c r="G296" i="13"/>
  <c r="F296" i="13"/>
  <c r="E296" i="13"/>
  <c r="H295" i="13"/>
  <c r="H296" i="13" l="1"/>
  <c r="F276" i="19"/>
  <c r="E277" i="19"/>
  <c r="E276" i="17"/>
  <c r="F275" i="17"/>
  <c r="E285" i="12"/>
  <c r="O284" i="12"/>
  <c r="K288" i="15"/>
  <c r="L287" i="15"/>
  <c r="G297" i="13"/>
  <c r="E297" i="13"/>
  <c r="F297" i="13"/>
  <c r="F277" i="19" l="1"/>
  <c r="E278" i="19"/>
  <c r="E277" i="17"/>
  <c r="F276" i="17"/>
  <c r="E286" i="12"/>
  <c r="O285" i="12"/>
  <c r="K289" i="15"/>
  <c r="L288" i="15"/>
  <c r="G298" i="13"/>
  <c r="F298" i="13"/>
  <c r="E298" i="13"/>
  <c r="H297" i="13"/>
  <c r="H298" i="13" l="1"/>
  <c r="F278" i="19"/>
  <c r="E279" i="19"/>
  <c r="E278" i="17"/>
  <c r="F277" i="17"/>
  <c r="E287" i="12"/>
  <c r="O286" i="12"/>
  <c r="K290" i="15"/>
  <c r="L289" i="15"/>
  <c r="G299" i="13"/>
  <c r="E299" i="13"/>
  <c r="F299" i="13"/>
  <c r="F279" i="19" l="1"/>
  <c r="E280" i="19"/>
  <c r="E279" i="17"/>
  <c r="F278" i="17"/>
  <c r="E288" i="12"/>
  <c r="O287" i="12"/>
  <c r="K291" i="15"/>
  <c r="L290" i="15"/>
  <c r="G300" i="13"/>
  <c r="F300" i="13"/>
  <c r="E300" i="13"/>
  <c r="H299" i="13"/>
  <c r="H300" i="13" l="1"/>
  <c r="F280" i="19"/>
  <c r="E281" i="19"/>
  <c r="E280" i="17"/>
  <c r="F279" i="17"/>
  <c r="E289" i="12"/>
  <c r="O288" i="12"/>
  <c r="K292" i="15"/>
  <c r="L291" i="15"/>
  <c r="G301" i="13"/>
  <c r="E301" i="13"/>
  <c r="F301" i="13"/>
  <c r="F281" i="19" l="1"/>
  <c r="E282" i="19"/>
  <c r="F280" i="17"/>
  <c r="E281" i="17"/>
  <c r="E290" i="12"/>
  <c r="O289" i="12"/>
  <c r="K293" i="15"/>
  <c r="L292" i="15"/>
  <c r="G302" i="13"/>
  <c r="F302" i="13"/>
  <c r="E302" i="13"/>
  <c r="H301" i="13"/>
  <c r="H302" i="13" l="1"/>
  <c r="F282" i="19"/>
  <c r="E283" i="19"/>
  <c r="F281" i="17"/>
  <c r="E282" i="17"/>
  <c r="E291" i="12"/>
  <c r="O290" i="12"/>
  <c r="K294" i="15"/>
  <c r="L293" i="15"/>
  <c r="G303" i="13"/>
  <c r="E303" i="13"/>
  <c r="F303" i="13"/>
  <c r="F283" i="19" l="1"/>
  <c r="E284" i="19"/>
  <c r="F282" i="17"/>
  <c r="E283" i="17"/>
  <c r="E292" i="12"/>
  <c r="O291" i="12"/>
  <c r="K295" i="15"/>
  <c r="L294" i="15"/>
  <c r="G304" i="13"/>
  <c r="F304" i="13"/>
  <c r="E304" i="13"/>
  <c r="H303" i="13"/>
  <c r="H304" i="13" l="1"/>
  <c r="F284" i="19"/>
  <c r="E285" i="19"/>
  <c r="E284" i="17"/>
  <c r="F283" i="17"/>
  <c r="E293" i="12"/>
  <c r="O292" i="12"/>
  <c r="K296" i="15"/>
  <c r="L295" i="15"/>
  <c r="G305" i="13"/>
  <c r="E305" i="13"/>
  <c r="F305" i="13"/>
  <c r="F285" i="19" l="1"/>
  <c r="E286" i="19"/>
  <c r="E285" i="17"/>
  <c r="F284" i="17"/>
  <c r="E294" i="12"/>
  <c r="O293" i="12"/>
  <c r="K297" i="15"/>
  <c r="L296" i="15"/>
  <c r="G306" i="13"/>
  <c r="F306" i="13"/>
  <c r="E306" i="13"/>
  <c r="H305" i="13"/>
  <c r="H306" i="13" l="1"/>
  <c r="F286" i="19"/>
  <c r="E287" i="19"/>
  <c r="E286" i="17"/>
  <c r="F285" i="17"/>
  <c r="E295" i="12"/>
  <c r="O294" i="12"/>
  <c r="K298" i="15"/>
  <c r="L297" i="15"/>
  <c r="G307" i="13"/>
  <c r="E307" i="13"/>
  <c r="F307" i="13"/>
  <c r="F287" i="19" l="1"/>
  <c r="E288" i="19"/>
  <c r="E287" i="17"/>
  <c r="F286" i="17"/>
  <c r="E296" i="12"/>
  <c r="O295" i="12"/>
  <c r="K299" i="15"/>
  <c r="L298" i="15"/>
  <c r="G308" i="13"/>
  <c r="F308" i="13"/>
  <c r="E308" i="13"/>
  <c r="H307" i="13"/>
  <c r="H308" i="13" l="1"/>
  <c r="F288" i="19"/>
  <c r="E289" i="19"/>
  <c r="E288" i="17"/>
  <c r="F287" i="17"/>
  <c r="E297" i="12"/>
  <c r="O296" i="12"/>
  <c r="K300" i="15"/>
  <c r="L299" i="15"/>
  <c r="G309" i="13"/>
  <c r="E309" i="13"/>
  <c r="F309" i="13"/>
  <c r="F289" i="19" l="1"/>
  <c r="E290" i="19"/>
  <c r="F288" i="17"/>
  <c r="E289" i="17"/>
  <c r="E298" i="12"/>
  <c r="O297" i="12"/>
  <c r="K301" i="15"/>
  <c r="L300" i="15"/>
  <c r="G310" i="13"/>
  <c r="F310" i="13"/>
  <c r="E310" i="13"/>
  <c r="H309" i="13"/>
  <c r="H310" i="13" l="1"/>
  <c r="F290" i="19"/>
  <c r="E291" i="19"/>
  <c r="F289" i="17"/>
  <c r="E290" i="17"/>
  <c r="E299" i="12"/>
  <c r="O298" i="12"/>
  <c r="K302" i="15"/>
  <c r="L301" i="15"/>
  <c r="G311" i="13"/>
  <c r="E311" i="13"/>
  <c r="F311" i="13"/>
  <c r="F291" i="19" l="1"/>
  <c r="E292" i="19"/>
  <c r="F290" i="17"/>
  <c r="E291" i="17"/>
  <c r="E300" i="12"/>
  <c r="O299" i="12"/>
  <c r="K303" i="15"/>
  <c r="L302" i="15"/>
  <c r="G312" i="13"/>
  <c r="F312" i="13"/>
  <c r="E312" i="13"/>
  <c r="H311" i="13"/>
  <c r="H312" i="13" l="1"/>
  <c r="F292" i="19"/>
  <c r="E293" i="19"/>
  <c r="E292" i="17"/>
  <c r="F291" i="17"/>
  <c r="E301" i="12"/>
  <c r="O300" i="12"/>
  <c r="K304" i="15"/>
  <c r="L303" i="15"/>
  <c r="G313" i="13"/>
  <c r="E313" i="13"/>
  <c r="F313" i="13"/>
  <c r="F293" i="19" l="1"/>
  <c r="E294" i="19"/>
  <c r="E293" i="17"/>
  <c r="F292" i="17"/>
  <c r="E302" i="12"/>
  <c r="O301" i="12"/>
  <c r="K305" i="15"/>
  <c r="L304" i="15"/>
  <c r="G314" i="13"/>
  <c r="F314" i="13"/>
  <c r="E314" i="13"/>
  <c r="H313" i="13"/>
  <c r="H314" i="13" l="1"/>
  <c r="F294" i="19"/>
  <c r="E295" i="19"/>
  <c r="E294" i="17"/>
  <c r="F293" i="17"/>
  <c r="E303" i="12"/>
  <c r="O302" i="12"/>
  <c r="K306" i="15"/>
  <c r="L305" i="15"/>
  <c r="G315" i="13"/>
  <c r="E315" i="13"/>
  <c r="F315" i="13"/>
  <c r="F295" i="19" l="1"/>
  <c r="E296" i="19"/>
  <c r="E295" i="17"/>
  <c r="F294" i="17"/>
  <c r="E304" i="12"/>
  <c r="O303" i="12"/>
  <c r="K307" i="15"/>
  <c r="L306" i="15"/>
  <c r="G316" i="13"/>
  <c r="F316" i="13"/>
  <c r="E316" i="13"/>
  <c r="H315" i="13"/>
  <c r="H316" i="13" l="1"/>
  <c r="F296" i="19"/>
  <c r="E297" i="19"/>
  <c r="E296" i="17"/>
  <c r="F295" i="17"/>
  <c r="E305" i="12"/>
  <c r="O304" i="12"/>
  <c r="K308" i="15"/>
  <c r="L307" i="15"/>
  <c r="G317" i="13"/>
  <c r="E317" i="13"/>
  <c r="F317" i="13"/>
  <c r="F297" i="19" l="1"/>
  <c r="E298" i="19"/>
  <c r="F296" i="17"/>
  <c r="E297" i="17"/>
  <c r="E306" i="12"/>
  <c r="O305" i="12"/>
  <c r="K309" i="15"/>
  <c r="L308" i="15"/>
  <c r="G318" i="13"/>
  <c r="F318" i="13"/>
  <c r="E318" i="13"/>
  <c r="H317" i="13"/>
  <c r="H318" i="13" l="1"/>
  <c r="F298" i="19"/>
  <c r="E299" i="19"/>
  <c r="F297" i="17"/>
  <c r="E298" i="17"/>
  <c r="E307" i="12"/>
  <c r="O306" i="12"/>
  <c r="K310" i="15"/>
  <c r="L309" i="15"/>
  <c r="G319" i="13"/>
  <c r="E319" i="13"/>
  <c r="F319" i="13"/>
  <c r="F299" i="19" l="1"/>
  <c r="E300" i="19"/>
  <c r="F298" i="17"/>
  <c r="E299" i="17"/>
  <c r="E308" i="12"/>
  <c r="O307" i="12"/>
  <c r="K311" i="15"/>
  <c r="L310" i="15"/>
  <c r="G320" i="13"/>
  <c r="F320" i="13"/>
  <c r="E320" i="13"/>
  <c r="H319" i="13"/>
  <c r="H320" i="13" l="1"/>
  <c r="F300" i="19"/>
  <c r="E301" i="19"/>
  <c r="E300" i="17"/>
  <c r="F299" i="17"/>
  <c r="E309" i="12"/>
  <c r="O308" i="12"/>
  <c r="K312" i="15"/>
  <c r="L311" i="15"/>
  <c r="G321" i="13"/>
  <c r="E321" i="13"/>
  <c r="F321" i="13"/>
  <c r="F301" i="19" l="1"/>
  <c r="E302" i="19"/>
  <c r="E301" i="17"/>
  <c r="F300" i="17"/>
  <c r="E310" i="12"/>
  <c r="O309" i="12"/>
  <c r="K313" i="15"/>
  <c r="L312" i="15"/>
  <c r="G322" i="13"/>
  <c r="F322" i="13"/>
  <c r="E322" i="13"/>
  <c r="H321" i="13"/>
  <c r="H322" i="13" l="1"/>
  <c r="F302" i="19"/>
  <c r="E303" i="19"/>
  <c r="E302" i="17"/>
  <c r="F301" i="17"/>
  <c r="E311" i="12"/>
  <c r="O310" i="12"/>
  <c r="K314" i="15"/>
  <c r="L313" i="15"/>
  <c r="G323" i="13"/>
  <c r="E323" i="13"/>
  <c r="F323" i="13"/>
  <c r="F303" i="19" l="1"/>
  <c r="E304" i="19"/>
  <c r="E303" i="17"/>
  <c r="F302" i="17"/>
  <c r="E312" i="12"/>
  <c r="O311" i="12"/>
  <c r="K315" i="15"/>
  <c r="L314" i="15"/>
  <c r="G324" i="13"/>
  <c r="F324" i="13"/>
  <c r="E324" i="13"/>
  <c r="H323" i="13"/>
  <c r="H324" i="13" l="1"/>
  <c r="F304" i="19"/>
  <c r="E305" i="19"/>
  <c r="E304" i="17"/>
  <c r="F303" i="17"/>
  <c r="E313" i="12"/>
  <c r="O312" i="12"/>
  <c r="K316" i="15"/>
  <c r="L315" i="15"/>
  <c r="G325" i="13"/>
  <c r="E325" i="13"/>
  <c r="F325" i="13"/>
  <c r="F305" i="19" l="1"/>
  <c r="E306" i="19"/>
  <c r="F304" i="17"/>
  <c r="E305" i="17"/>
  <c r="E314" i="12"/>
  <c r="O313" i="12"/>
  <c r="K317" i="15"/>
  <c r="L316" i="15"/>
  <c r="G326" i="13"/>
  <c r="F326" i="13"/>
  <c r="E326" i="13"/>
  <c r="H325" i="13"/>
  <c r="H326" i="13" l="1"/>
  <c r="F306" i="19"/>
  <c r="E307" i="19"/>
  <c r="F305" i="17"/>
  <c r="E306" i="17"/>
  <c r="E315" i="12"/>
  <c r="O314" i="12"/>
  <c r="K318" i="15"/>
  <c r="L317" i="15"/>
  <c r="G327" i="13"/>
  <c r="E327" i="13"/>
  <c r="F327" i="13"/>
  <c r="F307" i="19" l="1"/>
  <c r="E308" i="19"/>
  <c r="F306" i="17"/>
  <c r="E307" i="17"/>
  <c r="E316" i="12"/>
  <c r="O315" i="12"/>
  <c r="K319" i="15"/>
  <c r="L318" i="15"/>
  <c r="G328" i="13"/>
  <c r="F328" i="13"/>
  <c r="E328" i="13"/>
  <c r="H327" i="13"/>
  <c r="H328" i="13" l="1"/>
  <c r="F308" i="19"/>
  <c r="E309" i="19"/>
  <c r="E308" i="17"/>
  <c r="F307" i="17"/>
  <c r="E317" i="12"/>
  <c r="O316" i="12"/>
  <c r="K320" i="15"/>
  <c r="L319" i="15"/>
  <c r="G329" i="13"/>
  <c r="E329" i="13"/>
  <c r="F329" i="13"/>
  <c r="F309" i="19" l="1"/>
  <c r="E310" i="19"/>
  <c r="E309" i="17"/>
  <c r="F308" i="17"/>
  <c r="E318" i="12"/>
  <c r="O317" i="12"/>
  <c r="K321" i="15"/>
  <c r="L320" i="15"/>
  <c r="G330" i="13"/>
  <c r="F330" i="13"/>
  <c r="E330" i="13"/>
  <c r="H329" i="13"/>
  <c r="H330" i="13" l="1"/>
  <c r="F310" i="19"/>
  <c r="E311" i="19"/>
  <c r="E310" i="17"/>
  <c r="F309" i="17"/>
  <c r="E319" i="12"/>
  <c r="O318" i="12"/>
  <c r="K322" i="15"/>
  <c r="L321" i="15"/>
  <c r="G331" i="13"/>
  <c r="E331" i="13"/>
  <c r="F331" i="13"/>
  <c r="F311" i="19" l="1"/>
  <c r="E312" i="19"/>
  <c r="E311" i="17"/>
  <c r="F310" i="17"/>
  <c r="E320" i="12"/>
  <c r="O319" i="12"/>
  <c r="K323" i="15"/>
  <c r="L322" i="15"/>
  <c r="G332" i="13"/>
  <c r="F332" i="13"/>
  <c r="E332" i="13"/>
  <c r="H331" i="13"/>
  <c r="H332" i="13" l="1"/>
  <c r="F312" i="19"/>
  <c r="E313" i="19"/>
  <c r="E312" i="17"/>
  <c r="F311" i="17"/>
  <c r="E321" i="12"/>
  <c r="O320" i="12"/>
  <c r="K324" i="15"/>
  <c r="L323" i="15"/>
  <c r="G333" i="13"/>
  <c r="E333" i="13"/>
  <c r="F333" i="13"/>
  <c r="F313" i="19" l="1"/>
  <c r="E314" i="19"/>
  <c r="F312" i="17"/>
  <c r="E313" i="17"/>
  <c r="E322" i="12"/>
  <c r="O321" i="12"/>
  <c r="K325" i="15"/>
  <c r="L324" i="15"/>
  <c r="G334" i="13"/>
  <c r="F334" i="13"/>
  <c r="E334" i="13"/>
  <c r="H333" i="13"/>
  <c r="H334" i="13" l="1"/>
  <c r="F314" i="19"/>
  <c r="E315" i="19"/>
  <c r="F313" i="17"/>
  <c r="E314" i="17"/>
  <c r="E323" i="12"/>
  <c r="O322" i="12"/>
  <c r="K326" i="15"/>
  <c r="L325" i="15"/>
  <c r="G335" i="13"/>
  <c r="E335" i="13"/>
  <c r="F335" i="13"/>
  <c r="F315" i="19" l="1"/>
  <c r="E316" i="19"/>
  <c r="F314" i="17"/>
  <c r="E315" i="17"/>
  <c r="E324" i="12"/>
  <c r="O323" i="12"/>
  <c r="K327" i="15"/>
  <c r="L326" i="15"/>
  <c r="G336" i="13"/>
  <c r="F336" i="13"/>
  <c r="E336" i="13"/>
  <c r="H335" i="13"/>
  <c r="H336" i="13" l="1"/>
  <c r="F316" i="19"/>
  <c r="E317" i="19"/>
  <c r="E316" i="17"/>
  <c r="F315" i="17"/>
  <c r="E325" i="12"/>
  <c r="O324" i="12"/>
  <c r="K328" i="15"/>
  <c r="L327" i="15"/>
  <c r="G337" i="13"/>
  <c r="E337" i="13"/>
  <c r="F337" i="13"/>
  <c r="F317" i="19" l="1"/>
  <c r="E318" i="19"/>
  <c r="E317" i="17"/>
  <c r="F316" i="17"/>
  <c r="E326" i="12"/>
  <c r="O325" i="12"/>
  <c r="K329" i="15"/>
  <c r="L328" i="15"/>
  <c r="G338" i="13"/>
  <c r="F338" i="13"/>
  <c r="E338" i="13"/>
  <c r="H337" i="13"/>
  <c r="H338" i="13" l="1"/>
  <c r="F318" i="19"/>
  <c r="E319" i="19"/>
  <c r="E318" i="17"/>
  <c r="F317" i="17"/>
  <c r="E327" i="12"/>
  <c r="O326" i="12"/>
  <c r="K330" i="15"/>
  <c r="L329" i="15"/>
  <c r="G339" i="13"/>
  <c r="E339" i="13"/>
  <c r="F339" i="13"/>
  <c r="F319" i="19" l="1"/>
  <c r="E320" i="19"/>
  <c r="E319" i="17"/>
  <c r="F318" i="17"/>
  <c r="E328" i="12"/>
  <c r="O327" i="12"/>
  <c r="K331" i="15"/>
  <c r="L330" i="15"/>
  <c r="G340" i="13"/>
  <c r="F340" i="13"/>
  <c r="E340" i="13"/>
  <c r="H339" i="13"/>
  <c r="H340" i="13" l="1"/>
  <c r="F320" i="19"/>
  <c r="E321" i="19"/>
  <c r="E320" i="17"/>
  <c r="F319" i="17"/>
  <c r="E329" i="12"/>
  <c r="O328" i="12"/>
  <c r="K332" i="15"/>
  <c r="L331" i="15"/>
  <c r="G341" i="13"/>
  <c r="E341" i="13"/>
  <c r="F341" i="13"/>
  <c r="F321" i="19" l="1"/>
  <c r="E322" i="19"/>
  <c r="F320" i="17"/>
  <c r="E321" i="17"/>
  <c r="E330" i="12"/>
  <c r="O329" i="12"/>
  <c r="K333" i="15"/>
  <c r="L332" i="15"/>
  <c r="G342" i="13"/>
  <c r="F342" i="13"/>
  <c r="E342" i="13"/>
  <c r="H341" i="13"/>
  <c r="H342" i="13" l="1"/>
  <c r="F322" i="19"/>
  <c r="E323" i="19"/>
  <c r="F321" i="17"/>
  <c r="E322" i="17"/>
  <c r="E331" i="12"/>
  <c r="O330" i="12"/>
  <c r="K334" i="15"/>
  <c r="L333" i="15"/>
  <c r="G343" i="13"/>
  <c r="E343" i="13"/>
  <c r="F343" i="13"/>
  <c r="F323" i="19" l="1"/>
  <c r="E324" i="19"/>
  <c r="F322" i="17"/>
  <c r="E323" i="17"/>
  <c r="E332" i="12"/>
  <c r="O331" i="12"/>
  <c r="K335" i="15"/>
  <c r="L334" i="15"/>
  <c r="G344" i="13"/>
  <c r="F344" i="13"/>
  <c r="E344" i="13"/>
  <c r="H343" i="13"/>
  <c r="H344" i="13" l="1"/>
  <c r="F324" i="19"/>
  <c r="E325" i="19"/>
  <c r="E324" i="17"/>
  <c r="F323" i="17"/>
  <c r="E333" i="12"/>
  <c r="O332" i="12"/>
  <c r="K336" i="15"/>
  <c r="L335" i="15"/>
  <c r="G345" i="13"/>
  <c r="E345" i="13"/>
  <c r="F345" i="13"/>
  <c r="F325" i="19" l="1"/>
  <c r="E326" i="19"/>
  <c r="E325" i="17"/>
  <c r="F324" i="17"/>
  <c r="E334" i="12"/>
  <c r="O333" i="12"/>
  <c r="K337" i="15"/>
  <c r="L336" i="15"/>
  <c r="G346" i="13"/>
  <c r="F346" i="13"/>
  <c r="E346" i="13"/>
  <c r="H345" i="13"/>
  <c r="H346" i="13" l="1"/>
  <c r="F326" i="19"/>
  <c r="E327" i="19"/>
  <c r="E326" i="17"/>
  <c r="F325" i="17"/>
  <c r="E335" i="12"/>
  <c r="O334" i="12"/>
  <c r="K338" i="15"/>
  <c r="L337" i="15"/>
  <c r="G347" i="13"/>
  <c r="E347" i="13"/>
  <c r="F347" i="13"/>
  <c r="F327" i="19" l="1"/>
  <c r="E328" i="19"/>
  <c r="E327" i="17"/>
  <c r="F326" i="17"/>
  <c r="E336" i="12"/>
  <c r="O335" i="12"/>
  <c r="K339" i="15"/>
  <c r="L338" i="15"/>
  <c r="G348" i="13"/>
  <c r="F348" i="13"/>
  <c r="E348" i="13"/>
  <c r="H347" i="13"/>
  <c r="H348" i="13" l="1"/>
  <c r="F328" i="19"/>
  <c r="E329" i="19"/>
  <c r="E328" i="17"/>
  <c r="F327" i="17"/>
  <c r="E337" i="12"/>
  <c r="O336" i="12"/>
  <c r="K340" i="15"/>
  <c r="L339" i="15"/>
  <c r="G349" i="13"/>
  <c r="E349" i="13"/>
  <c r="F349" i="13"/>
  <c r="F329" i="19" l="1"/>
  <c r="E330" i="19"/>
  <c r="F328" i="17"/>
  <c r="E329" i="17"/>
  <c r="E338" i="12"/>
  <c r="O337" i="12"/>
  <c r="K341" i="15"/>
  <c r="L340" i="15"/>
  <c r="G350" i="13"/>
  <c r="F350" i="13"/>
  <c r="E350" i="13"/>
  <c r="H349" i="13"/>
  <c r="H350" i="13" l="1"/>
  <c r="F330" i="19"/>
  <c r="E331" i="19"/>
  <c r="F329" i="17"/>
  <c r="E330" i="17"/>
  <c r="E339" i="12"/>
  <c r="O338" i="12"/>
  <c r="K342" i="15"/>
  <c r="L341" i="15"/>
  <c r="G351" i="13"/>
  <c r="E351" i="13"/>
  <c r="F351" i="13"/>
  <c r="F331" i="19" l="1"/>
  <c r="E332" i="19"/>
  <c r="F330" i="17"/>
  <c r="E331" i="17"/>
  <c r="E340" i="12"/>
  <c r="O339" i="12"/>
  <c r="K343" i="15"/>
  <c r="L342" i="15"/>
  <c r="G352" i="13"/>
  <c r="F352" i="13"/>
  <c r="E352" i="13"/>
  <c r="H351" i="13"/>
  <c r="H352" i="13" l="1"/>
  <c r="F332" i="19"/>
  <c r="E333" i="19"/>
  <c r="E332" i="17"/>
  <c r="F331" i="17"/>
  <c r="E341" i="12"/>
  <c r="O340" i="12"/>
  <c r="K344" i="15"/>
  <c r="L343" i="15"/>
  <c r="G353" i="13"/>
  <c r="E353" i="13"/>
  <c r="F353" i="13"/>
  <c r="F333" i="19" l="1"/>
  <c r="E334" i="19"/>
  <c r="E333" i="17"/>
  <c r="F332" i="17"/>
  <c r="E342" i="12"/>
  <c r="O341" i="12"/>
  <c r="K345" i="15"/>
  <c r="L344" i="15"/>
  <c r="G354" i="13"/>
  <c r="F354" i="13"/>
  <c r="E354" i="13"/>
  <c r="H353" i="13"/>
  <c r="H354" i="13" l="1"/>
  <c r="F334" i="19"/>
  <c r="E335" i="19"/>
  <c r="E334" i="17"/>
  <c r="F333" i="17"/>
  <c r="E343" i="12"/>
  <c r="O342" i="12"/>
  <c r="K346" i="15"/>
  <c r="L345" i="15"/>
  <c r="G355" i="13"/>
  <c r="E355" i="13"/>
  <c r="F355" i="13"/>
  <c r="F335" i="19" l="1"/>
  <c r="E336" i="19"/>
  <c r="E335" i="17"/>
  <c r="F334" i="17"/>
  <c r="E344" i="12"/>
  <c r="O343" i="12"/>
  <c r="K347" i="15"/>
  <c r="L346" i="15"/>
  <c r="G356" i="13"/>
  <c r="F356" i="13"/>
  <c r="E356" i="13"/>
  <c r="H355" i="13"/>
  <c r="H356" i="13" l="1"/>
  <c r="F336" i="19"/>
  <c r="E337" i="19"/>
  <c r="E336" i="17"/>
  <c r="F335" i="17"/>
  <c r="E345" i="12"/>
  <c r="O344" i="12"/>
  <c r="K348" i="15"/>
  <c r="L347" i="15"/>
  <c r="G357" i="13"/>
  <c r="E357" i="13"/>
  <c r="F357" i="13"/>
  <c r="F337" i="19" l="1"/>
  <c r="E338" i="19"/>
  <c r="F336" i="17"/>
  <c r="E337" i="17"/>
  <c r="E346" i="12"/>
  <c r="O345" i="12"/>
  <c r="K349" i="15"/>
  <c r="L348" i="15"/>
  <c r="G358" i="13"/>
  <c r="F358" i="13"/>
  <c r="E358" i="13"/>
  <c r="H357" i="13"/>
  <c r="H358" i="13" l="1"/>
  <c r="F338" i="19"/>
  <c r="E339" i="19"/>
  <c r="F337" i="17"/>
  <c r="E338" i="17"/>
  <c r="E347" i="12"/>
  <c r="O346" i="12"/>
  <c r="K350" i="15"/>
  <c r="L349" i="15"/>
  <c r="G359" i="13"/>
  <c r="E359" i="13"/>
  <c r="F359" i="13"/>
  <c r="F339" i="19" l="1"/>
  <c r="E340" i="19"/>
  <c r="F338" i="17"/>
  <c r="E339" i="17"/>
  <c r="E348" i="12"/>
  <c r="O347" i="12"/>
  <c r="K351" i="15"/>
  <c r="L350" i="15"/>
  <c r="G360" i="13"/>
  <c r="F360" i="13"/>
  <c r="E360" i="13"/>
  <c r="H359" i="13"/>
  <c r="H360" i="13" l="1"/>
  <c r="F340" i="19"/>
  <c r="E341" i="19"/>
  <c r="E340" i="17"/>
  <c r="F339" i="17"/>
  <c r="E349" i="12"/>
  <c r="O348" i="12"/>
  <c r="K352" i="15"/>
  <c r="L351" i="15"/>
  <c r="G361" i="13"/>
  <c r="E361" i="13"/>
  <c r="F361" i="13"/>
  <c r="F341" i="19" l="1"/>
  <c r="E342" i="19"/>
  <c r="E341" i="17"/>
  <c r="F340" i="17"/>
  <c r="E350" i="12"/>
  <c r="O349" i="12"/>
  <c r="K353" i="15"/>
  <c r="L352" i="15"/>
  <c r="G362" i="13"/>
  <c r="F362" i="13"/>
  <c r="E362" i="13"/>
  <c r="H361" i="13"/>
  <c r="H362" i="13" l="1"/>
  <c r="F342" i="19"/>
  <c r="E343" i="19"/>
  <c r="E342" i="17"/>
  <c r="F341" i="17"/>
  <c r="E351" i="12"/>
  <c r="O350" i="12"/>
  <c r="K354" i="15"/>
  <c r="L353" i="15"/>
  <c r="G363" i="13"/>
  <c r="E363" i="13"/>
  <c r="F363" i="13"/>
  <c r="F343" i="19" l="1"/>
  <c r="E344" i="19"/>
  <c r="E343" i="17"/>
  <c r="F342" i="17"/>
  <c r="E352" i="12"/>
  <c r="O351" i="12"/>
  <c r="K355" i="15"/>
  <c r="L354" i="15"/>
  <c r="G364" i="13"/>
  <c r="F364" i="13"/>
  <c r="E364" i="13"/>
  <c r="H363" i="13"/>
  <c r="H364" i="13" l="1"/>
  <c r="F344" i="19"/>
  <c r="E345" i="19"/>
  <c r="E344" i="17"/>
  <c r="F343" i="17"/>
  <c r="E353" i="12"/>
  <c r="O352" i="12"/>
  <c r="K356" i="15"/>
  <c r="L355" i="15"/>
  <c r="G365" i="13"/>
  <c r="E365" i="13"/>
  <c r="F365" i="13"/>
  <c r="F345" i="19" l="1"/>
  <c r="E346" i="19"/>
  <c r="F344" i="17"/>
  <c r="E345" i="17"/>
  <c r="E354" i="12"/>
  <c r="O353" i="12"/>
  <c r="K357" i="15"/>
  <c r="L356" i="15"/>
  <c r="G366" i="13"/>
  <c r="F366" i="13"/>
  <c r="E366" i="13"/>
  <c r="H365" i="13"/>
  <c r="H366" i="13" l="1"/>
  <c r="F346" i="19"/>
  <c r="E347" i="19"/>
  <c r="F345" i="17"/>
  <c r="E346" i="17"/>
  <c r="E355" i="12"/>
  <c r="O354" i="12"/>
  <c r="K358" i="15"/>
  <c r="L357" i="15"/>
  <c r="G367" i="13"/>
  <c r="E367" i="13"/>
  <c r="F367" i="13"/>
  <c r="F347" i="19" l="1"/>
  <c r="E348" i="19"/>
  <c r="F346" i="17"/>
  <c r="E347" i="17"/>
  <c r="E356" i="12"/>
  <c r="O355" i="12"/>
  <c r="K359" i="15"/>
  <c r="L358" i="15"/>
  <c r="G368" i="13"/>
  <c r="F368" i="13"/>
  <c r="E368" i="13"/>
  <c r="H367" i="13"/>
  <c r="H368" i="13" l="1"/>
  <c r="F348" i="19"/>
  <c r="E349" i="19"/>
  <c r="E348" i="17"/>
  <c r="F347" i="17"/>
  <c r="E357" i="12"/>
  <c r="O356" i="12"/>
  <c r="K360" i="15"/>
  <c r="L359" i="15"/>
  <c r="G369" i="13"/>
  <c r="E369" i="13"/>
  <c r="F369" i="13"/>
  <c r="F349" i="19" l="1"/>
  <c r="E350" i="19"/>
  <c r="E349" i="17"/>
  <c r="F348" i="17"/>
  <c r="E358" i="12"/>
  <c r="O357" i="12"/>
  <c r="K361" i="15"/>
  <c r="L360" i="15"/>
  <c r="G370" i="13"/>
  <c r="F370" i="13"/>
  <c r="E370" i="13"/>
  <c r="H369" i="13"/>
  <c r="H370" i="13" l="1"/>
  <c r="F350" i="19"/>
  <c r="E351" i="19"/>
  <c r="E350" i="17"/>
  <c r="F349" i="17"/>
  <c r="E359" i="12"/>
  <c r="O358" i="12"/>
  <c r="K362" i="15"/>
  <c r="L361" i="15"/>
  <c r="G371" i="13"/>
  <c r="E371" i="13"/>
  <c r="F371" i="13"/>
  <c r="F351" i="19" l="1"/>
  <c r="E352" i="19"/>
  <c r="E351" i="17"/>
  <c r="F350" i="17"/>
  <c r="E360" i="12"/>
  <c r="O359" i="12"/>
  <c r="K363" i="15"/>
  <c r="L362" i="15"/>
  <c r="G372" i="13"/>
  <c r="F372" i="13"/>
  <c r="E372" i="13"/>
  <c r="H371" i="13"/>
  <c r="H372" i="13" l="1"/>
  <c r="F352" i="19"/>
  <c r="E353" i="19"/>
  <c r="E352" i="17"/>
  <c r="F351" i="17"/>
  <c r="E361" i="12"/>
  <c r="O360" i="12"/>
  <c r="K364" i="15"/>
  <c r="L363" i="15"/>
  <c r="G373" i="13"/>
  <c r="E373" i="13"/>
  <c r="F373" i="13"/>
  <c r="F353" i="19" l="1"/>
  <c r="E354" i="19"/>
  <c r="F352" i="17"/>
  <c r="E353" i="17"/>
  <c r="E362" i="12"/>
  <c r="O361" i="12"/>
  <c r="K365" i="15"/>
  <c r="L364" i="15"/>
  <c r="G374" i="13"/>
  <c r="F374" i="13"/>
  <c r="E374" i="13"/>
  <c r="H373" i="13"/>
  <c r="H374" i="13" l="1"/>
  <c r="F354" i="19"/>
  <c r="E355" i="19"/>
  <c r="F353" i="17"/>
  <c r="E354" i="17"/>
  <c r="E363" i="12"/>
  <c r="O362" i="12"/>
  <c r="K366" i="15"/>
  <c r="L365" i="15"/>
  <c r="G375" i="13"/>
  <c r="E375" i="13"/>
  <c r="F375" i="13"/>
  <c r="F355" i="19" l="1"/>
  <c r="E356" i="19"/>
  <c r="F354" i="17"/>
  <c r="E355" i="17"/>
  <c r="E364" i="12"/>
  <c r="O363" i="12"/>
  <c r="K367" i="15"/>
  <c r="L366" i="15"/>
  <c r="G376" i="13"/>
  <c r="F376" i="13"/>
  <c r="E376" i="13"/>
  <c r="H375" i="13"/>
  <c r="H376" i="13" l="1"/>
  <c r="F356" i="19"/>
  <c r="E357" i="19"/>
  <c r="E356" i="17"/>
  <c r="F355" i="17"/>
  <c r="E365" i="12"/>
  <c r="O364" i="12"/>
  <c r="K368" i="15"/>
  <c r="L367" i="15"/>
  <c r="G377" i="13"/>
  <c r="E377" i="13"/>
  <c r="F377" i="13"/>
  <c r="F357" i="19" l="1"/>
  <c r="E358" i="19"/>
  <c r="E357" i="17"/>
  <c r="F356" i="17"/>
  <c r="E366" i="12"/>
  <c r="O365" i="12"/>
  <c r="K369" i="15"/>
  <c r="L368" i="15"/>
  <c r="G378" i="13"/>
  <c r="F378" i="13"/>
  <c r="E378" i="13"/>
  <c r="H377" i="13"/>
  <c r="H378" i="13" l="1"/>
  <c r="F358" i="19"/>
  <c r="E359" i="19"/>
  <c r="E358" i="17"/>
  <c r="F357" i="17"/>
  <c r="E367" i="12"/>
  <c r="O366" i="12"/>
  <c r="K370" i="15"/>
  <c r="L369" i="15"/>
  <c r="G379" i="13"/>
  <c r="E379" i="13"/>
  <c r="F379" i="13"/>
  <c r="F359" i="19" l="1"/>
  <c r="E360" i="19"/>
  <c r="E359" i="17"/>
  <c r="F358" i="17"/>
  <c r="E368" i="12"/>
  <c r="O367" i="12"/>
  <c r="K371" i="15"/>
  <c r="L370" i="15"/>
  <c r="G380" i="13"/>
  <c r="F380" i="13"/>
  <c r="E380" i="13"/>
  <c r="H379" i="13"/>
  <c r="H380" i="13" l="1"/>
  <c r="F360" i="19"/>
  <c r="E361" i="19"/>
  <c r="E360" i="17"/>
  <c r="F359" i="17"/>
  <c r="E369" i="12"/>
  <c r="O368" i="12"/>
  <c r="K372" i="15"/>
  <c r="L371" i="15"/>
  <c r="G381" i="13"/>
  <c r="E381" i="13"/>
  <c r="F381" i="13"/>
  <c r="F361" i="19" l="1"/>
  <c r="E362" i="19"/>
  <c r="F360" i="17"/>
  <c r="E361" i="17"/>
  <c r="E370" i="12"/>
  <c r="O369" i="12"/>
  <c r="K373" i="15"/>
  <c r="L372" i="15"/>
  <c r="G382" i="13"/>
  <c r="F382" i="13"/>
  <c r="E382" i="13"/>
  <c r="H381" i="13"/>
  <c r="H382" i="13" l="1"/>
  <c r="F362" i="19"/>
  <c r="E363" i="19"/>
  <c r="F361" i="17"/>
  <c r="E362" i="17"/>
  <c r="E371" i="12"/>
  <c r="O370" i="12"/>
  <c r="K374" i="15"/>
  <c r="L373" i="15"/>
  <c r="G383" i="13"/>
  <c r="E383" i="13"/>
  <c r="F383" i="13"/>
  <c r="F363" i="19" l="1"/>
  <c r="E364" i="19"/>
  <c r="F362" i="17"/>
  <c r="E363" i="17"/>
  <c r="E372" i="12"/>
  <c r="O371" i="12"/>
  <c r="K375" i="15"/>
  <c r="L374" i="15"/>
  <c r="G384" i="13"/>
  <c r="F384" i="13"/>
  <c r="E384" i="13"/>
  <c r="H383" i="13"/>
  <c r="O10" i="5"/>
  <c r="O11" i="5"/>
  <c r="H384" i="13" l="1"/>
  <c r="F364" i="19"/>
  <c r="E365" i="19"/>
  <c r="E364" i="17"/>
  <c r="F363" i="17"/>
  <c r="E373" i="12"/>
  <c r="O372" i="12"/>
  <c r="K376" i="15"/>
  <c r="L375" i="15"/>
  <c r="G385" i="13"/>
  <c r="E385" i="13"/>
  <c r="F385" i="13"/>
  <c r="F365" i="19" l="1"/>
  <c r="E366" i="19"/>
  <c r="E365" i="17"/>
  <c r="F364" i="17"/>
  <c r="E374" i="12"/>
  <c r="O373" i="12"/>
  <c r="K377" i="15"/>
  <c r="L376" i="15"/>
  <c r="G386" i="13"/>
  <c r="F386" i="13"/>
  <c r="E386" i="13"/>
  <c r="H385" i="13"/>
  <c r="H386" i="13" l="1"/>
  <c r="F366" i="19"/>
  <c r="E367" i="19"/>
  <c r="E366" i="17"/>
  <c r="F365" i="17"/>
  <c r="E375" i="12"/>
  <c r="O374" i="12"/>
  <c r="K378" i="15"/>
  <c r="L377" i="15"/>
  <c r="G387" i="13"/>
  <c r="E387" i="13"/>
  <c r="F387" i="13"/>
  <c r="F367" i="19" l="1"/>
  <c r="E368" i="19"/>
  <c r="E367" i="17"/>
  <c r="F366" i="17"/>
  <c r="E376" i="12"/>
  <c r="O375" i="12"/>
  <c r="K379" i="15"/>
  <c r="L378" i="15"/>
  <c r="G388" i="13"/>
  <c r="G389" i="13"/>
  <c r="F388" i="13"/>
  <c r="F389" i="13"/>
  <c r="F22" i="13"/>
  <c r="L15" i="14" s="1"/>
  <c r="N15" i="14" s="1"/>
  <c r="E388" i="13"/>
  <c r="H388" i="13" s="1"/>
  <c r="E389" i="13"/>
  <c r="H387" i="13"/>
  <c r="G33" i="13"/>
  <c r="H33" i="13" s="1"/>
  <c r="G32" i="13"/>
  <c r="H389" i="13" l="1"/>
  <c r="G22" i="13"/>
  <c r="L16" i="14" s="1"/>
  <c r="N16" i="14" s="1"/>
  <c r="H32" i="13"/>
  <c r="B21" i="13" s="1"/>
  <c r="L8" i="13" s="1"/>
  <c r="E22" i="13"/>
  <c r="L14" i="14" s="1"/>
  <c r="N14" i="14" s="1"/>
  <c r="F368" i="19"/>
  <c r="E369" i="19"/>
  <c r="E368" i="17"/>
  <c r="F367" i="17"/>
  <c r="E377" i="12"/>
  <c r="O376" i="12"/>
  <c r="K380" i="15"/>
  <c r="L379" i="15"/>
  <c r="F369" i="19" l="1"/>
  <c r="E370" i="19"/>
  <c r="F368" i="17"/>
  <c r="E369" i="17"/>
  <c r="E378" i="12"/>
  <c r="O377" i="12"/>
  <c r="K381" i="15"/>
  <c r="L380" i="15"/>
  <c r="F370" i="19" l="1"/>
  <c r="E371" i="19"/>
  <c r="F369" i="17"/>
  <c r="E370" i="17"/>
  <c r="E379" i="12"/>
  <c r="O378" i="12"/>
  <c r="K382" i="15"/>
  <c r="L381" i="15"/>
  <c r="F371" i="19" l="1"/>
  <c r="E372" i="19"/>
  <c r="F370" i="17"/>
  <c r="E371" i="17"/>
  <c r="E380" i="12"/>
  <c r="O380" i="12" s="1"/>
  <c r="O379" i="12"/>
  <c r="K383" i="15"/>
  <c r="L382" i="15"/>
  <c r="F372" i="19" l="1"/>
  <c r="E373" i="19"/>
  <c r="E372" i="17"/>
  <c r="F371" i="17"/>
  <c r="R19" i="12"/>
  <c r="K384" i="15"/>
  <c r="L383" i="15"/>
  <c r="F373" i="19" l="1"/>
  <c r="E374" i="19"/>
  <c r="F374" i="19" s="1"/>
  <c r="H2" i="19"/>
  <c r="R20" i="12"/>
  <c r="E373" i="17"/>
  <c r="F372" i="17"/>
  <c r="K385" i="15"/>
  <c r="L385" i="15" s="1"/>
  <c r="L384" i="15"/>
  <c r="M20" i="15" s="1"/>
  <c r="E374" i="17" l="1"/>
  <c r="F374" i="17" s="1"/>
  <c r="F373" i="17"/>
  <c r="H2" i="17" s="1"/>
  <c r="L17" i="14" s="1"/>
  <c r="W19" i="15"/>
  <c r="Q13" i="14" s="1"/>
  <c r="D13" i="10" s="1"/>
  <c r="Q14" i="14" l="1"/>
  <c r="N22" i="14" s="1"/>
  <c r="L22" i="14"/>
  <c r="L9" i="13"/>
  <c r="L14" i="13" s="1"/>
  <c r="D8" i="10" s="1"/>
  <c r="F1" i="4"/>
  <c r="A7" i="4" s="1"/>
  <c r="E7" i="4" s="1"/>
  <c r="G7" i="4" s="1"/>
  <c r="N17" i="14"/>
  <c r="I13" i="10"/>
  <c r="J13" i="10" s="1"/>
  <c r="B26" i="9"/>
  <c r="N28" i="14" l="1"/>
  <c r="N29" i="14" s="1"/>
  <c r="K3" i="14" s="1"/>
  <c r="K4" i="14" s="1"/>
  <c r="D10" i="10" s="1"/>
  <c r="I10" i="10" s="1"/>
  <c r="J10" i="10" s="1"/>
  <c r="F23" i="9" s="1"/>
  <c r="H7" i="4"/>
  <c r="I11" i="10" s="1"/>
  <c r="J11" i="10" s="1"/>
  <c r="D11" i="10"/>
  <c r="B24" i="9" s="1"/>
  <c r="I8" i="10"/>
  <c r="J8" i="10" s="1"/>
  <c r="B21" i="9"/>
  <c r="F26" i="9"/>
  <c r="K13" i="10"/>
  <c r="B23" i="9" l="1"/>
  <c r="K10" i="10"/>
  <c r="K8" i="10"/>
  <c r="B22" i="13"/>
  <c r="F21" i="9"/>
  <c r="K11" i="10"/>
  <c r="F24" i="9"/>
  <c r="B18" i="10" l="1"/>
  <c r="F2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Rohin Dhaliwal</author>
  </authors>
  <commentList>
    <comment ref="F1" authorId="0" shapeId="0" xr:uid="{74EC55B3-A619-4E83-A95A-0A2C3EFA6BB1}">
      <text>
        <r>
          <rPr>
            <b/>
            <sz val="9"/>
            <color indexed="81"/>
            <rFont val="Tahoma"/>
            <family val="2"/>
          </rPr>
          <t>Rohin Dhaliwal:</t>
        </r>
        <r>
          <rPr>
            <sz val="9"/>
            <color indexed="81"/>
            <rFont val="Tahoma"/>
            <family val="2"/>
          </rPr>
          <t xml:space="preserve">
to be replaced with calculated values later</t>
        </r>
      </text>
    </comment>
  </commentList>
</comments>
</file>

<file path=xl/sharedStrings.xml><?xml version="1.0" encoding="utf-8"?>
<sst xmlns="http://schemas.openxmlformats.org/spreadsheetml/2006/main" count="1246" uniqueCount="432">
  <si>
    <t>Storage Tank Height</t>
  </si>
  <si>
    <t>h</t>
  </si>
  <si>
    <t>m</t>
  </si>
  <si>
    <t>*AC = Additional Catchment</t>
  </si>
  <si>
    <t>Rainwater Collection</t>
  </si>
  <si>
    <t>Storage</t>
  </si>
  <si>
    <t>Catchment</t>
  </si>
  <si>
    <t>Distance to Storage Tank</t>
  </si>
  <si>
    <t>L</t>
  </si>
  <si>
    <t>Roof Catchment</t>
  </si>
  <si>
    <t>Whole roof</t>
  </si>
  <si>
    <t>Volume</t>
  </si>
  <si>
    <t>m^3</t>
  </si>
  <si>
    <t>Chosen</t>
  </si>
  <si>
    <t>Pipe diameter</t>
  </si>
  <si>
    <t>D</t>
  </si>
  <si>
    <t>Measured Cf</t>
  </si>
  <si>
    <t>AC* Size</t>
  </si>
  <si>
    <t>Location</t>
  </si>
  <si>
    <t>x</t>
  </si>
  <si>
    <t>Area</t>
  </si>
  <si>
    <t xml:space="preserve">m </t>
  </si>
  <si>
    <t>Pipe area</t>
  </si>
  <si>
    <t>A</t>
  </si>
  <si>
    <t>m^2</t>
  </si>
  <si>
    <t>AC Location</t>
  </si>
  <si>
    <t>y</t>
  </si>
  <si>
    <t>Price</t>
  </si>
  <si>
    <t>$</t>
  </si>
  <si>
    <t>Pipe friction factor</t>
  </si>
  <si>
    <t>f</t>
  </si>
  <si>
    <t>Distance up</t>
  </si>
  <si>
    <t>AC Distance</t>
  </si>
  <si>
    <t>Loss coefficient</t>
  </si>
  <si>
    <t>K</t>
  </si>
  <si>
    <t>first one is pump storage, second one is storage house</t>
  </si>
  <si>
    <t>Catchment tank</t>
  </si>
  <si>
    <t>Height</t>
  </si>
  <si>
    <t>Pressure from storage</t>
  </si>
  <si>
    <t>rho g h</t>
  </si>
  <si>
    <t>Pa</t>
  </si>
  <si>
    <t>for on demand flow rate</t>
  </si>
  <si>
    <t>Cost</t>
  </si>
  <si>
    <t>Tower</t>
  </si>
  <si>
    <t>Consumption</t>
  </si>
  <si>
    <t>C</t>
  </si>
  <si>
    <t>L/day</t>
  </si>
  <si>
    <t>Cost Storage</t>
  </si>
  <si>
    <t>for pump?</t>
  </si>
  <si>
    <t>Cost Water Tower</t>
  </si>
  <si>
    <t>Pump</t>
  </si>
  <si>
    <t>Filter</t>
  </si>
  <si>
    <t>Cf</t>
  </si>
  <si>
    <t>Actual Filter</t>
  </si>
  <si>
    <t>Filter Life Data [L]</t>
  </si>
  <si>
    <t>Pump applied</t>
  </si>
  <si>
    <t>Pump C</t>
  </si>
  <si>
    <t>Up</t>
  </si>
  <si>
    <t>Filter Size</t>
  </si>
  <si>
    <t>Present?</t>
  </si>
  <si>
    <t>[Pa/(m/s)]</t>
  </si>
  <si>
    <t>Life [L]</t>
  </si>
  <si>
    <t>Non pre-filter</t>
  </si>
  <si>
    <t>5 micron pre</t>
  </si>
  <si>
    <t>200 micron pre</t>
  </si>
  <si>
    <t>a</t>
  </si>
  <si>
    <t>1 micron</t>
  </si>
  <si>
    <t>b</t>
  </si>
  <si>
    <t>5 micron</t>
  </si>
  <si>
    <t xml:space="preserve">c </t>
  </si>
  <si>
    <t>200 micron</t>
  </si>
  <si>
    <t>=IF('InputOutputData'!E36="Data 1(</t>
  </si>
  <si>
    <t>B</t>
  </si>
  <si>
    <t>UV</t>
  </si>
  <si>
    <t>OZONE</t>
  </si>
  <si>
    <t>Chlorine</t>
  </si>
  <si>
    <t>Disinfection</t>
  </si>
  <si>
    <t>W</t>
  </si>
  <si>
    <t>Contact Time</t>
  </si>
  <si>
    <t>[min]</t>
  </si>
  <si>
    <t>Contact time</t>
  </si>
  <si>
    <t>min</t>
  </si>
  <si>
    <t>Atrributes</t>
  </si>
  <si>
    <t>Weights</t>
  </si>
  <si>
    <t>Satisfaction</t>
  </si>
  <si>
    <t>Initial Cost</t>
  </si>
  <si>
    <t>CT_Ozone</t>
  </si>
  <si>
    <t>[mg min/L]</t>
  </si>
  <si>
    <t>CT_Chlorine</t>
  </si>
  <si>
    <t>mg min/L</t>
  </si>
  <si>
    <t xml:space="preserve">C </t>
  </si>
  <si>
    <t>[L/day]</t>
  </si>
  <si>
    <t>S(C)</t>
  </si>
  <si>
    <t>Ozone or Chlorine</t>
  </si>
  <si>
    <t>Replacement Cost</t>
  </si>
  <si>
    <t>Energy for O3</t>
  </si>
  <si>
    <t>[MJ / g]</t>
  </si>
  <si>
    <t>Solution Percentage</t>
  </si>
  <si>
    <t>%</t>
  </si>
  <si>
    <t>M</t>
  </si>
  <si>
    <t>#/day</t>
  </si>
  <si>
    <t>S(M)</t>
  </si>
  <si>
    <t>MTBF</t>
  </si>
  <si>
    <t>days</t>
  </si>
  <si>
    <t>Q0</t>
  </si>
  <si>
    <t>L/min</t>
  </si>
  <si>
    <t>S(Q0)</t>
  </si>
  <si>
    <t>Power</t>
  </si>
  <si>
    <t>Cost per container</t>
  </si>
  <si>
    <t>Cr</t>
  </si>
  <si>
    <t>%relative to shipping water</t>
  </si>
  <si>
    <t>S(Cr)</t>
  </si>
  <si>
    <t>Energy</t>
  </si>
  <si>
    <t>Solar</t>
  </si>
  <si>
    <t>Max Flow Rate</t>
  </si>
  <si>
    <t>LPM</t>
  </si>
  <si>
    <t>Container size</t>
  </si>
  <si>
    <t>kg</t>
  </si>
  <si>
    <t>E</t>
  </si>
  <si>
    <t>N/A</t>
  </si>
  <si>
    <t>S(E)</t>
  </si>
  <si>
    <t>G</t>
  </si>
  <si>
    <t>S(G)</t>
  </si>
  <si>
    <t>Batteries</t>
  </si>
  <si>
    <t>#</t>
  </si>
  <si>
    <t>R</t>
  </si>
  <si>
    <t>days/year</t>
  </si>
  <si>
    <t>S(R)</t>
  </si>
  <si>
    <t>Type</t>
  </si>
  <si>
    <t>HES-260</t>
  </si>
  <si>
    <t>Efficiency in</t>
  </si>
  <si>
    <t>U</t>
  </si>
  <si>
    <t>%impact relative to worst case</t>
  </si>
  <si>
    <t>S(U)</t>
  </si>
  <si>
    <t>Efficiency out</t>
  </si>
  <si>
    <t>Total</t>
  </si>
  <si>
    <t>Energy Storage</t>
  </si>
  <si>
    <t>Wh</t>
  </si>
  <si>
    <t>Efficiency</t>
  </si>
  <si>
    <t>GHG</t>
  </si>
  <si>
    <t>kgCO2e</t>
  </si>
  <si>
    <t>COST</t>
  </si>
  <si>
    <t>Maintenance</t>
  </si>
  <si>
    <t>#times</t>
  </si>
  <si>
    <t>MAINTENANCE</t>
  </si>
  <si>
    <t>Quantity</t>
  </si>
  <si>
    <t>LAND USE</t>
  </si>
  <si>
    <t>DC Inverter?</t>
  </si>
  <si>
    <t>Generator</t>
  </si>
  <si>
    <t>CONSUMPTION</t>
  </si>
  <si>
    <t>FLOW RATE</t>
  </si>
  <si>
    <t>UPDATE DISTANCE DOWN</t>
  </si>
  <si>
    <t xml:space="preserve"> COEFFICEINT DOWN</t>
  </si>
  <si>
    <t>Rainfall Data</t>
  </si>
  <si>
    <t>Solar Intensity</t>
  </si>
  <si>
    <t>W/m^2</t>
  </si>
  <si>
    <t>Sunshine Data</t>
  </si>
  <si>
    <t>Month</t>
  </si>
  <si>
    <t>Sunshine</t>
  </si>
  <si>
    <t>[-]</t>
  </si>
  <si>
    <t>[hours/day]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</si>
  <si>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</si>
  <si>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</si>
  <si>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</si>
  <si>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</si>
  <si>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</si>
  <si>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</si>
  <si>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</si>
  <si>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</si>
  <si>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</si>
  <si>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</si>
  <si>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</si>
  <si>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</si>
  <si>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</si>
  <si>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Date</t>
  </si>
  <si>
    <t>Hours of Sunshine</t>
  </si>
  <si>
    <t>Incident Solar Energy</t>
  </si>
  <si>
    <t>Energy Generated</t>
  </si>
  <si>
    <t>E_in</t>
  </si>
  <si>
    <t>E_Out</t>
  </si>
  <si>
    <t>E_Needed</t>
  </si>
  <si>
    <t>E_Total</t>
  </si>
  <si>
    <t>E_Battery</t>
  </si>
  <si>
    <t>Days Without Power</t>
  </si>
  <si>
    <t>Total Days</t>
  </si>
  <si>
    <t>Total Days without</t>
  </si>
  <si>
    <t>[hours]</t>
  </si>
  <si>
    <t>[Whr]</t>
  </si>
  <si>
    <t>[J]</t>
  </si>
  <si>
    <t>Quadratic Equation Solver</t>
  </si>
  <si>
    <t>v1</t>
  </si>
  <si>
    <t>m/s</t>
  </si>
  <si>
    <t>v2</t>
  </si>
  <si>
    <t>v</t>
  </si>
  <si>
    <t xml:space="preserve">Q </t>
  </si>
  <si>
    <t>Q</t>
  </si>
  <si>
    <t>Pressure Loss</t>
  </si>
  <si>
    <t>Storage Pressure</t>
  </si>
  <si>
    <t>[m/s]</t>
  </si>
  <si>
    <t>[L/min]</t>
  </si>
  <si>
    <t>[Pa]</t>
  </si>
  <si>
    <t>Chlorine Health Severity</t>
  </si>
  <si>
    <t>[ ]</t>
  </si>
  <si>
    <t>Chlorine risk exposure period</t>
  </si>
  <si>
    <t>[days]</t>
  </si>
  <si>
    <t>Emin</t>
  </si>
  <si>
    <t>Chlorine Environment Severity</t>
  </si>
  <si>
    <t>Diesel risk exposure period</t>
  </si>
  <si>
    <t>Emax</t>
  </si>
  <si>
    <t>Diesel Health Severity</t>
  </si>
  <si>
    <t>Diesel Environment Severity</t>
  </si>
  <si>
    <t xml:space="preserve">Chlorine Risk Likelihood Rating </t>
  </si>
  <si>
    <t>Diesel Risk Likehood Rating</t>
  </si>
  <si>
    <t>Chlorine Overall Risk</t>
  </si>
  <si>
    <t>Diesal Overall Risk</t>
  </si>
  <si>
    <t>Overall Risk</t>
  </si>
  <si>
    <t>Risk Satisfaction (%)</t>
  </si>
  <si>
    <t>Land Use</t>
  </si>
  <si>
    <t>Volume Catchment Tank</t>
  </si>
  <si>
    <t>Volume Storage</t>
  </si>
  <si>
    <t>Distance to house</t>
  </si>
  <si>
    <t>AC area</t>
  </si>
  <si>
    <t>AC distance</t>
  </si>
  <si>
    <t>Relative GHG</t>
  </si>
  <si>
    <t>Relative System</t>
  </si>
  <si>
    <t>Our System</t>
  </si>
  <si>
    <t>Total Consumption</t>
  </si>
  <si>
    <t>Energy?</t>
  </si>
  <si>
    <t>Centralized Water Treatment</t>
  </si>
  <si>
    <t>Solar Panel</t>
  </si>
  <si>
    <t>Land and Sea Transport</t>
  </si>
  <si>
    <t>Battery</t>
  </si>
  <si>
    <t>Storage and Distribution</t>
  </si>
  <si>
    <t>Inverter</t>
  </si>
  <si>
    <t xml:space="preserve">Total  </t>
  </si>
  <si>
    <t>Diesel</t>
  </si>
  <si>
    <t>Diesel Fuel</t>
  </si>
  <si>
    <t>Filters</t>
  </si>
  <si>
    <t>Solar or Diesel</t>
  </si>
  <si>
    <t>Total Maintenance</t>
  </si>
  <si>
    <t>System Performance</t>
  </si>
  <si>
    <t>Total Filter Changes</t>
  </si>
  <si>
    <t>#/year</t>
  </si>
  <si>
    <t>Total Volume Through Filter [L]</t>
  </si>
  <si>
    <t>Maintenance for Filter Change</t>
  </si>
  <si>
    <t>Operation</t>
  </si>
  <si>
    <t>Parameters</t>
  </si>
  <si>
    <t>Pump Chosen</t>
  </si>
  <si>
    <t>Density</t>
  </si>
  <si>
    <t>[kg/m^3]</t>
  </si>
  <si>
    <t>Daily Consumption</t>
  </si>
  <si>
    <t>L/Day</t>
  </si>
  <si>
    <t>Pressure</t>
  </si>
  <si>
    <t>kPa</t>
  </si>
  <si>
    <t># of Batteries</t>
  </si>
  <si>
    <t>Gravity</t>
  </si>
  <si>
    <t>[m/s^2]</t>
  </si>
  <si>
    <t>Catchment Area</t>
  </si>
  <si>
    <t>Qmax</t>
  </si>
  <si>
    <t>Capacity</t>
  </si>
  <si>
    <t>Collection Volume</t>
  </si>
  <si>
    <t>Effiecency</t>
  </si>
  <si>
    <t>Heating Value Diesel</t>
  </si>
  <si>
    <t>[MJ/L]</t>
  </si>
  <si>
    <t>Storage Volume</t>
  </si>
  <si>
    <t>Efficiency of Generator</t>
  </si>
  <si>
    <t>[  ]</t>
  </si>
  <si>
    <t>Distance</t>
  </si>
  <si>
    <t>UV Lamp Size</t>
  </si>
  <si>
    <t>[W]</t>
  </si>
  <si>
    <t>Elavation Of Base</t>
  </si>
  <si>
    <t>Pump Cont.</t>
  </si>
  <si>
    <t>Usage Day</t>
  </si>
  <si>
    <t>Daily Rainfall</t>
  </si>
  <si>
    <t>Qin</t>
  </si>
  <si>
    <r>
      <t>V</t>
    </r>
    <r>
      <rPr>
        <b/>
        <i/>
        <sz val="11"/>
        <color rgb="FF000000"/>
        <rFont val="Calibri"/>
        <family val="2"/>
        <scheme val="minor"/>
      </rPr>
      <t>storage</t>
    </r>
  </si>
  <si>
    <r>
      <rPr>
        <b/>
        <sz val="11"/>
        <color rgb="FF000000"/>
        <rFont val="Calibri"/>
        <family val="2"/>
        <scheme val="minor"/>
      </rPr>
      <t xml:space="preserve">M </t>
    </r>
    <r>
      <rPr>
        <b/>
        <i/>
        <sz val="11"/>
        <color rgb="FF000000"/>
        <rFont val="Calibri"/>
        <family val="2"/>
        <scheme val="minor"/>
      </rPr>
      <t>energy</t>
    </r>
  </si>
  <si>
    <t>Effiency</t>
  </si>
  <si>
    <r>
      <t>E_</t>
    </r>
    <r>
      <rPr>
        <b/>
        <i/>
        <sz val="11"/>
        <color rgb="FF000000"/>
        <rFont val="Calibri"/>
        <family val="2"/>
        <scheme val="minor"/>
      </rPr>
      <t>energy</t>
    </r>
  </si>
  <si>
    <t>g_Ozone</t>
  </si>
  <si>
    <t>E_Energy Ozone</t>
  </si>
  <si>
    <t>E_Batt UV</t>
  </si>
  <si>
    <t>E_Energy Diesel</t>
  </si>
  <si>
    <t>E_total</t>
  </si>
  <si>
    <t>Fuel</t>
  </si>
  <si>
    <t>Without Water</t>
  </si>
  <si>
    <t>Fuel Total</t>
  </si>
  <si>
    <t>[mm]</t>
  </si>
  <si>
    <t>[LPM]</t>
  </si>
  <si>
    <t>[m^3 / day]</t>
  </si>
  <si>
    <t>[m^3]</t>
  </si>
  <si>
    <t>[%]</t>
  </si>
  <si>
    <t>[g]</t>
  </si>
  <si>
    <t>[L]</t>
  </si>
  <si>
    <t>Days Without Water</t>
  </si>
  <si>
    <t>Reliability</t>
  </si>
  <si>
    <t>Reference Cost</t>
  </si>
  <si>
    <t>Total Cost</t>
  </si>
  <si>
    <t>Cost Percentage</t>
  </si>
  <si>
    <t>Purchasing Costs</t>
  </si>
  <si>
    <t>Maintenance Costs (Per Year)</t>
  </si>
  <si>
    <t>Base Shipping Cost</t>
  </si>
  <si>
    <t>$/day</t>
  </si>
  <si>
    <t>plumbing cost?</t>
  </si>
  <si>
    <t>Item</t>
  </si>
  <si>
    <t># of Maintainence</t>
  </si>
  <si>
    <t>Cost Per Maintainence</t>
  </si>
  <si>
    <t>Catchment Tank</t>
  </si>
  <si>
    <t>Filter 1</t>
  </si>
  <si>
    <t>Emergency Water Cost</t>
  </si>
  <si>
    <t>Storage Tank</t>
  </si>
  <si>
    <t>Filter 5</t>
  </si>
  <si>
    <t>Storage Tower</t>
  </si>
  <si>
    <t>Filter 200</t>
  </si>
  <si>
    <t>Piping there</t>
  </si>
  <si>
    <t>Piping back</t>
  </si>
  <si>
    <t>AC piping</t>
  </si>
  <si>
    <t>Solar Or Diesel</t>
  </si>
  <si>
    <t>Emergency Water</t>
  </si>
  <si>
    <t>Solar Panels</t>
  </si>
  <si>
    <t>Total 5 Year</t>
  </si>
  <si>
    <t>Notes: Solar does not have cost per maintainence on Doc</t>
  </si>
  <si>
    <t>Ozone does not have Cost Per Maintainence on Doc</t>
  </si>
  <si>
    <t>momoomom</t>
  </si>
  <si>
    <t>momomomom</t>
  </si>
  <si>
    <t>momomommo</t>
  </si>
  <si>
    <t>momomoomo</t>
  </si>
  <si>
    <t>momomo</t>
  </si>
  <si>
    <t>mom</t>
  </si>
  <si>
    <t>mommo</t>
  </si>
  <si>
    <t>mo</t>
  </si>
  <si>
    <t>o</t>
  </si>
  <si>
    <t>Attribute</t>
  </si>
  <si>
    <t>Paramater</t>
  </si>
  <si>
    <t>Equation</t>
  </si>
  <si>
    <t>Value</t>
  </si>
  <si>
    <t>Weight</t>
  </si>
  <si>
    <t>Min</t>
  </si>
  <si>
    <t>Max</t>
  </si>
  <si>
    <t>Units</t>
  </si>
  <si>
    <t>percent?</t>
  </si>
  <si>
    <t>Weighted sum</t>
  </si>
  <si>
    <t>Maintenance occurances</t>
  </si>
  <si>
    <t>On demand flow rate</t>
  </si>
  <si>
    <t>Relative cost</t>
  </si>
  <si>
    <t>Health &amp; environmental risk</t>
  </si>
  <si>
    <t>Power system greenhouse gas emissions</t>
  </si>
  <si>
    <t>Land use</t>
  </si>
  <si>
    <t>Total satisfaction</t>
  </si>
  <si>
    <t>Effiecency in</t>
  </si>
  <si>
    <t>Pump Q</t>
  </si>
  <si>
    <t>LPH</t>
  </si>
  <si>
    <t>Total Litres</t>
  </si>
  <si>
    <t>Energy Needed Inverter</t>
  </si>
  <si>
    <t>E_No_Ozone</t>
  </si>
  <si>
    <t>E_total needed from batteries</t>
  </si>
  <si>
    <t>Total Time</t>
  </si>
  <si>
    <t>Hours</t>
  </si>
  <si>
    <t>Daily Rainfall 1 (2014)</t>
  </si>
  <si>
    <t>Daily Rainfall (mm) (2015)</t>
  </si>
  <si>
    <t>Daily Rainfall (mm) (Station 2)</t>
  </si>
  <si>
    <t>Daily Rainfall (mm) (Station 3)</t>
  </si>
  <si>
    <t>Chlorine Total</t>
  </si>
  <si>
    <t>Maintainence Total</t>
  </si>
  <si>
    <t>COSTS</t>
  </si>
  <si>
    <t>Solution Concentration</t>
  </si>
  <si>
    <t>g</t>
  </si>
  <si>
    <t>mg * min / L</t>
  </si>
  <si>
    <t>Kg</t>
  </si>
  <si>
    <t>Maintainence Cost</t>
  </si>
  <si>
    <t>Refill Amount</t>
  </si>
  <si>
    <t>Q_in</t>
  </si>
  <si>
    <t>Chlorine Mass</t>
  </si>
  <si>
    <t>Mass Total</t>
  </si>
  <si>
    <t>Counter</t>
  </si>
  <si>
    <t>L / Day</t>
  </si>
  <si>
    <t>Distance to Tank</t>
  </si>
  <si>
    <t>[m]</t>
  </si>
  <si>
    <r>
      <rPr>
        <sz val="11"/>
        <color rgb="FF000000"/>
        <rFont val="Calibri"/>
        <scheme val="minor"/>
      </rPr>
      <t xml:space="preserve">Pump coefficient </t>
    </r>
    <r>
      <rPr>
        <i/>
        <sz val="11"/>
        <color rgb="FF000000"/>
        <rFont val="Calibri"/>
        <scheme val="minor"/>
      </rPr>
      <t>a</t>
    </r>
  </si>
  <si>
    <t>Diameter of Pipe</t>
  </si>
  <si>
    <t>Height of storage tank</t>
  </si>
  <si>
    <t>Pump coefficient b</t>
  </si>
  <si>
    <r>
      <rPr>
        <sz val="11"/>
        <color rgb="FF000000"/>
        <rFont val="Calibri"/>
        <scheme val="minor"/>
      </rPr>
      <t xml:space="preserve">Friction factor </t>
    </r>
    <r>
      <rPr>
        <i/>
        <sz val="11"/>
        <color rgb="FF000000"/>
        <rFont val="Calibri"/>
        <scheme val="minor"/>
      </rPr>
      <t>f</t>
    </r>
  </si>
  <si>
    <t>Density of water</t>
  </si>
  <si>
    <t>Pump coefficient c</t>
  </si>
  <si>
    <r>
      <rPr>
        <sz val="11"/>
        <color rgb="FF000000"/>
        <rFont val="Calibri"/>
        <scheme val="minor"/>
      </rPr>
      <t xml:space="preserve">Loss coeffecient </t>
    </r>
    <r>
      <rPr>
        <i/>
        <sz val="11"/>
        <color rgb="FF000000"/>
        <rFont val="Calibri"/>
        <scheme val="minor"/>
      </rPr>
      <t>K</t>
    </r>
  </si>
  <si>
    <t>Filter Line</t>
  </si>
  <si>
    <t>Pump Selected</t>
  </si>
  <si>
    <t>Filter coeffecient C</t>
  </si>
  <si>
    <t>Cross Area of Pipe</t>
  </si>
  <si>
    <t>[m^2]</t>
  </si>
  <si>
    <r>
      <rPr>
        <b/>
        <sz val="11"/>
        <color rgb="FF000000"/>
        <rFont val="Calibri"/>
        <scheme val="minor"/>
      </rPr>
      <t xml:space="preserve">Flow velocity </t>
    </r>
    <r>
      <rPr>
        <b/>
        <i/>
        <sz val="11"/>
        <color rgb="FF000000"/>
        <rFont val="Calibri"/>
        <scheme val="minor"/>
      </rPr>
      <t>v</t>
    </r>
  </si>
  <si>
    <r>
      <t xml:space="preserve">Flow Rate </t>
    </r>
    <r>
      <rPr>
        <b/>
        <i/>
        <sz val="11"/>
        <color rgb="FF000000"/>
        <rFont val="Calibri"/>
        <scheme val="minor"/>
      </rPr>
      <t>Q</t>
    </r>
  </si>
  <si>
    <r>
      <t xml:space="preserve">Pump Pressure </t>
    </r>
    <r>
      <rPr>
        <b/>
        <i/>
        <sz val="11"/>
        <color rgb="FF000000"/>
        <rFont val="Calibri"/>
        <scheme val="minor"/>
      </rPr>
      <t>p-pump</t>
    </r>
  </si>
  <si>
    <r>
      <t xml:space="preserve">System Curve Pressure </t>
    </r>
    <r>
      <rPr>
        <b/>
        <i/>
        <sz val="11"/>
        <color rgb="FF000000"/>
        <rFont val="Calibri"/>
        <scheme val="minor"/>
      </rPr>
      <t>p-system</t>
    </r>
  </si>
  <si>
    <t>Friction</t>
  </si>
  <si>
    <t>Loss</t>
  </si>
  <si>
    <t>[kPa]</t>
  </si>
  <si>
    <t>[Pa</t>
  </si>
  <si>
    <t>[Pa}</t>
  </si>
  <si>
    <t>Pump Pressure   [kPa]</t>
  </si>
  <si>
    <t>Flow Rate [L/min]</t>
  </si>
  <si>
    <t>Q1</t>
  </si>
  <si>
    <t>Q2</t>
  </si>
  <si>
    <t>Experiment 1 Constants</t>
  </si>
  <si>
    <t>Calculated Filter Resistance Coefficient</t>
  </si>
  <si>
    <t>Experiment 2 Constants</t>
  </si>
  <si>
    <t>Inner Pipe Diameter (D)</t>
  </si>
  <si>
    <t>[cm]</t>
  </si>
  <si>
    <t>C_f,exp</t>
  </si>
  <si>
    <t>Length (L)</t>
  </si>
  <si>
    <t>Pipe Cross-Sectional Area (A)</t>
  </si>
  <si>
    <t>Power (P)</t>
  </si>
  <si>
    <t>Water Density (ρ)</t>
  </si>
  <si>
    <t>Gravitational Acceleration (g)</t>
  </si>
  <si>
    <t>Tubing Length (L)</t>
  </si>
  <si>
    <t>Initial Water Level</t>
  </si>
  <si>
    <t>Height of Filter Level</t>
  </si>
  <si>
    <t>Height Difference (h)</t>
  </si>
  <si>
    <t>Pressure (ρgh)</t>
  </si>
  <si>
    <t>Collected Volume</t>
  </si>
  <si>
    <t>Time</t>
  </si>
  <si>
    <t>Flow Rate</t>
  </si>
  <si>
    <t>Velocity</t>
  </si>
  <si>
    <t>Height of Thing</t>
  </si>
  <si>
    <t>Height Difference</t>
  </si>
  <si>
    <t>[mL]</t>
  </si>
  <si>
    <t>[s]</t>
  </si>
  <si>
    <t>500mL mark of graduated cylinder</t>
  </si>
  <si>
    <t>Graph Data</t>
  </si>
  <si>
    <t>Velocity [m/s]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</si>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</sst>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b/>
      <i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1"/>
      <name val="Times New Roman"/>
      <charset val="1"/>
    </font>
    <font>
      <b/>
      <sz val="8"/>
      <color theme="1"/>
      <name val="Times New Roman"/>
      <charset val="1"/>
    </font>
    <font>
      <sz val="8"/>
      <color theme="1"/>
      <name val="Times New Roman"/>
      <charset val="1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BD1D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B8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9A9A9A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thin">
        <color rgb="FF9A9A9A"/>
      </bottom>
      <diagonal/>
    </border>
    <border>
      <left style="thin">
        <color rgb="FF000000"/>
      </left>
      <right style="medium">
        <color rgb="FF000000"/>
      </right>
      <top style="thin">
        <color rgb="FFCCCCCC"/>
      </top>
      <bottom style="thin">
        <color rgb="FF9A9A9A"/>
      </bottom>
      <diagonal/>
    </border>
    <border>
      <left style="medium">
        <color rgb="FF000000"/>
      </left>
      <right style="thin">
        <color rgb="FF000000"/>
      </right>
      <top style="thin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2">
    <xf numFmtId="0" fontId="0" fillId="0" borderId="0" xfId="0"/>
    <xf numFmtId="0" fontId="2" fillId="0" borderId="0" xfId="0" applyFont="1"/>
    <xf numFmtId="0" fontId="0" fillId="3" borderId="2" xfId="0" applyFill="1" applyBorder="1"/>
    <xf numFmtId="0" fontId="2" fillId="3" borderId="4" xfId="0" applyFont="1" applyFill="1" applyBorder="1"/>
    <xf numFmtId="0" fontId="0" fillId="5" borderId="2" xfId="0" applyFill="1" applyBorder="1"/>
    <xf numFmtId="0" fontId="2" fillId="5" borderId="4" xfId="0" applyFont="1" applyFill="1" applyBorder="1"/>
    <xf numFmtId="0" fontId="0" fillId="4" borderId="2" xfId="0" applyFill="1" applyBorder="1"/>
    <xf numFmtId="1" fontId="2" fillId="4" borderId="4" xfId="0" applyNumberFormat="1" applyFont="1" applyFill="1" applyBorder="1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7" fillId="8" borderId="5" xfId="0" applyFont="1" applyFill="1" applyBorder="1"/>
    <xf numFmtId="0" fontId="8" fillId="8" borderId="5" xfId="0" applyFont="1" applyFill="1" applyBorder="1"/>
    <xf numFmtId="0" fontId="7" fillId="8" borderId="5" xfId="0" applyFont="1" applyFill="1" applyBorder="1" applyAlignment="1">
      <alignment wrapText="1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10" borderId="12" xfId="0" applyFont="1" applyFill="1" applyBorder="1" applyAlignment="1">
      <alignment horizontal="right"/>
    </xf>
    <xf numFmtId="0" fontId="9" fillId="10" borderId="0" xfId="0" applyFont="1" applyFill="1" applyAlignment="1">
      <alignment horizontal="right"/>
    </xf>
    <xf numFmtId="0" fontId="9" fillId="10" borderId="1" xfId="0" applyFont="1" applyFill="1" applyBorder="1" applyAlignment="1">
      <alignment horizontal="right"/>
    </xf>
    <xf numFmtId="0" fontId="0" fillId="10" borderId="7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9" fillId="11" borderId="12" xfId="0" applyFont="1" applyFill="1" applyBorder="1" applyAlignment="1">
      <alignment horizontal="right"/>
    </xf>
    <xf numFmtId="0" fontId="0" fillId="11" borderId="7" xfId="0" applyFill="1" applyBorder="1" applyAlignment="1">
      <alignment horizontal="left"/>
    </xf>
    <xf numFmtId="0" fontId="0" fillId="11" borderId="10" xfId="0" applyFill="1" applyBorder="1"/>
    <xf numFmtId="0" fontId="9" fillId="11" borderId="1" xfId="0" applyFont="1" applyFill="1" applyBorder="1" applyAlignment="1">
      <alignment horizontal="right"/>
    </xf>
    <xf numFmtId="0" fontId="0" fillId="11" borderId="11" xfId="0" applyFill="1" applyBorder="1" applyAlignment="1">
      <alignment horizontal="left"/>
    </xf>
    <xf numFmtId="0" fontId="0" fillId="11" borderId="6" xfId="0" applyFill="1" applyBorder="1" applyAlignment="1">
      <alignment horizontal="left" wrapText="1"/>
    </xf>
    <xf numFmtId="0" fontId="0" fillId="6" borderId="6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11" xfId="0" applyFill="1" applyBorder="1"/>
    <xf numFmtId="0" fontId="2" fillId="0" borderId="5" xfId="0" applyFont="1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165" fontId="0" fillId="0" borderId="5" xfId="0" applyNumberFormat="1" applyBorder="1" applyAlignment="1">
      <alignment horizontal="center"/>
    </xf>
    <xf numFmtId="0" fontId="0" fillId="6" borderId="12" xfId="0" applyFill="1" applyBorder="1"/>
    <xf numFmtId="0" fontId="0" fillId="6" borderId="1" xfId="0" applyFill="1" applyBorder="1"/>
    <xf numFmtId="0" fontId="9" fillId="0" borderId="0" xfId="0" applyFont="1" applyAlignment="1">
      <alignment horizontal="center"/>
    </xf>
    <xf numFmtId="0" fontId="0" fillId="8" borderId="0" xfId="0" applyFill="1"/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4" fontId="0" fillId="0" borderId="13" xfId="0" applyNumberFormat="1" applyBorder="1"/>
    <xf numFmtId="2" fontId="0" fillId="0" borderId="13" xfId="0" applyNumberFormat="1" applyBorder="1" applyAlignment="1">
      <alignment horizontal="center"/>
    </xf>
    <xf numFmtId="0" fontId="0" fillId="13" borderId="0" xfId="0" applyFill="1"/>
    <xf numFmtId="0" fontId="9" fillId="8" borderId="0" xfId="0" applyFont="1" applyFill="1"/>
    <xf numFmtId="11" fontId="0" fillId="8" borderId="0" xfId="0" applyNumberFormat="1" applyFill="1"/>
    <xf numFmtId="0" fontId="2" fillId="8" borderId="0" xfId="0" applyFont="1" applyFill="1"/>
    <xf numFmtId="0" fontId="2" fillId="13" borderId="0" xfId="0" applyFont="1" applyFill="1"/>
    <xf numFmtId="11" fontId="0" fillId="0" borderId="0" xfId="0" applyNumberFormat="1"/>
    <xf numFmtId="166" fontId="0" fillId="0" borderId="0" xfId="0" applyNumberFormat="1"/>
    <xf numFmtId="0" fontId="0" fillId="0" borderId="13" xfId="0" applyBorder="1"/>
    <xf numFmtId="0" fontId="0" fillId="10" borderId="0" xfId="0" applyFill="1"/>
    <xf numFmtId="0" fontId="0" fillId="14" borderId="8" xfId="0" applyFill="1" applyBorder="1"/>
    <xf numFmtId="0" fontId="0" fillId="14" borderId="0" xfId="0" applyFill="1"/>
    <xf numFmtId="0" fontId="0" fillId="14" borderId="9" xfId="0" applyFill="1" applyBorder="1"/>
    <xf numFmtId="0" fontId="0" fillId="14" borderId="10" xfId="0" applyFill="1" applyBorder="1"/>
    <xf numFmtId="0" fontId="0" fillId="14" borderId="1" xfId="0" applyFill="1" applyBorder="1"/>
    <xf numFmtId="0" fontId="0" fillId="14" borderId="11" xfId="0" applyFill="1" applyBorder="1"/>
    <xf numFmtId="0" fontId="8" fillId="0" borderId="0" xfId="0" applyFont="1" applyAlignment="1">
      <alignment horizontal="center"/>
    </xf>
    <xf numFmtId="0" fontId="3" fillId="0" borderId="0" xfId="0" applyFont="1"/>
    <xf numFmtId="2" fontId="2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2" fillId="17" borderId="13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4" fillId="3" borderId="3" xfId="0" applyFont="1" applyFill="1" applyBorder="1"/>
    <xf numFmtId="0" fontId="4" fillId="4" borderId="3" xfId="0" applyFont="1" applyFill="1" applyBorder="1"/>
    <xf numFmtId="9" fontId="4" fillId="4" borderId="3" xfId="1" applyFont="1" applyFill="1" applyBorder="1"/>
    <xf numFmtId="0" fontId="4" fillId="14" borderId="1" xfId="0" applyFont="1" applyFill="1" applyBorder="1"/>
    <xf numFmtId="0" fontId="0" fillId="16" borderId="0" xfId="0" applyFill="1" applyAlignment="1">
      <alignment horizontal="right"/>
    </xf>
    <xf numFmtId="0" fontId="0" fillId="16" borderId="16" xfId="0" applyFill="1" applyBorder="1" applyAlignment="1">
      <alignment horizontal="left"/>
    </xf>
    <xf numFmtId="0" fontId="0" fillId="16" borderId="17" xfId="0" applyFill="1" applyBorder="1" applyAlignment="1">
      <alignment horizontal="right"/>
    </xf>
    <xf numFmtId="0" fontId="0" fillId="16" borderId="18" xfId="0" applyFill="1" applyBorder="1" applyAlignment="1">
      <alignment horizontal="left"/>
    </xf>
    <xf numFmtId="0" fontId="10" fillId="0" borderId="19" xfId="0" applyFont="1" applyBorder="1"/>
    <xf numFmtId="0" fontId="0" fillId="0" borderId="14" xfId="0" applyBorder="1"/>
    <xf numFmtId="0" fontId="0" fillId="0" borderId="21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2" fillId="0" borderId="14" xfId="0" applyFont="1" applyBorder="1"/>
    <xf numFmtId="0" fontId="2" fillId="0" borderId="16" xfId="0" applyFont="1" applyBorder="1"/>
    <xf numFmtId="0" fontId="2" fillId="0" borderId="5" xfId="0" applyFont="1" applyBorder="1"/>
    <xf numFmtId="0" fontId="10" fillId="0" borderId="26" xfId="0" applyFont="1" applyBorder="1"/>
    <xf numFmtId="0" fontId="2" fillId="0" borderId="28" xfId="0" applyFont="1" applyBorder="1"/>
    <xf numFmtId="0" fontId="2" fillId="0" borderId="25" xfId="0" applyFont="1" applyBorder="1"/>
    <xf numFmtId="0" fontId="0" fillId="0" borderId="28" xfId="0" applyBorder="1"/>
    <xf numFmtId="0" fontId="0" fillId="0" borderId="29" xfId="0" applyBorder="1"/>
    <xf numFmtId="0" fontId="2" fillId="0" borderId="19" xfId="0" applyFon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right"/>
    </xf>
    <xf numFmtId="0" fontId="10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/>
    <xf numFmtId="0" fontId="2" fillId="0" borderId="15" xfId="0" applyFont="1" applyBorder="1"/>
    <xf numFmtId="0" fontId="16" fillId="0" borderId="19" xfId="0" applyFont="1" applyBorder="1"/>
    <xf numFmtId="3" fontId="16" fillId="0" borderId="26" xfId="0" applyNumberFormat="1" applyFont="1" applyBorder="1"/>
    <xf numFmtId="3" fontId="16" fillId="0" borderId="20" xfId="0" applyNumberFormat="1" applyFont="1" applyBorder="1"/>
    <xf numFmtId="3" fontId="16" fillId="0" borderId="14" xfId="0" applyNumberFormat="1" applyFont="1" applyBorder="1"/>
    <xf numFmtId="3" fontId="16" fillId="0" borderId="16" xfId="0" applyNumberFormat="1" applyFont="1" applyBorder="1"/>
    <xf numFmtId="3" fontId="16" fillId="0" borderId="21" xfId="0" applyNumberFormat="1" applyFont="1" applyBorder="1"/>
    <xf numFmtId="0" fontId="16" fillId="0" borderId="27" xfId="0" applyFont="1" applyBorder="1"/>
    <xf numFmtId="0" fontId="16" fillId="0" borderId="22" xfId="0" applyFont="1" applyBorder="1"/>
    <xf numFmtId="0" fontId="16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20" xfId="0" applyBorder="1"/>
    <xf numFmtId="0" fontId="16" fillId="0" borderId="5" xfId="0" applyFont="1" applyBorder="1"/>
    <xf numFmtId="0" fontId="0" fillId="16" borderId="20" xfId="0" applyFill="1" applyBorder="1"/>
    <xf numFmtId="0" fontId="0" fillId="16" borderId="16" xfId="0" applyFill="1" applyBorder="1"/>
    <xf numFmtId="0" fontId="0" fillId="16" borderId="22" xfId="0" applyFill="1" applyBorder="1"/>
    <xf numFmtId="0" fontId="0" fillId="16" borderId="19" xfId="0" applyFill="1" applyBorder="1" applyAlignment="1">
      <alignment horizontal="right"/>
    </xf>
    <xf numFmtId="0" fontId="0" fillId="16" borderId="26" xfId="0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0" fillId="16" borderId="21" xfId="0" applyFill="1" applyBorder="1" applyAlignment="1">
      <alignment horizontal="right"/>
    </xf>
    <xf numFmtId="0" fontId="0" fillId="16" borderId="27" xfId="0" applyFill="1" applyBorder="1" applyAlignment="1">
      <alignment horizontal="right"/>
    </xf>
    <xf numFmtId="0" fontId="17" fillId="16" borderId="26" xfId="0" applyFont="1" applyFill="1" applyBorder="1" applyAlignment="1">
      <alignment horizontal="right"/>
    </xf>
    <xf numFmtId="0" fontId="17" fillId="16" borderId="0" xfId="0" applyFont="1" applyFill="1" applyAlignment="1">
      <alignment horizontal="right"/>
    </xf>
    <xf numFmtId="0" fontId="17" fillId="16" borderId="27" xfId="0" applyFont="1" applyFill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17" fillId="0" borderId="15" xfId="0" applyFont="1" applyBorder="1"/>
    <xf numFmtId="0" fontId="17" fillId="0" borderId="5" xfId="0" applyFont="1" applyBorder="1"/>
    <xf numFmtId="0" fontId="17" fillId="0" borderId="19" xfId="0" applyFont="1" applyBorder="1"/>
    <xf numFmtId="0" fontId="17" fillId="0" borderId="26" xfId="0" applyFont="1" applyBorder="1"/>
    <xf numFmtId="0" fontId="17" fillId="0" borderId="24" xfId="0" applyFont="1" applyBorder="1"/>
    <xf numFmtId="0" fontId="17" fillId="0" borderId="16" xfId="0" applyFont="1" applyBorder="1"/>
    <xf numFmtId="0" fontId="17" fillId="0" borderId="20" xfId="0" applyFont="1" applyBorder="1"/>
    <xf numFmtId="0" fontId="17" fillId="0" borderId="14" xfId="0" applyFont="1" applyBorder="1"/>
    <xf numFmtId="0" fontId="17" fillId="0" borderId="25" xfId="0" applyFont="1" applyBorder="1"/>
    <xf numFmtId="0" fontId="17" fillId="0" borderId="22" xfId="0" applyFont="1" applyBorder="1"/>
    <xf numFmtId="0" fontId="17" fillId="0" borderId="27" xfId="0" applyFont="1" applyBorder="1"/>
    <xf numFmtId="0" fontId="17" fillId="0" borderId="29" xfId="0" applyFont="1" applyBorder="1"/>
    <xf numFmtId="0" fontId="17" fillId="16" borderId="17" xfId="0" applyFont="1" applyFill="1" applyBorder="1" applyAlignment="1">
      <alignment horizontal="right"/>
    </xf>
    <xf numFmtId="0" fontId="2" fillId="0" borderId="19" xfId="0" applyFont="1" applyBorder="1"/>
    <xf numFmtId="0" fontId="2" fillId="0" borderId="26" xfId="0" applyFont="1" applyBorder="1"/>
    <xf numFmtId="2" fontId="17" fillId="0" borderId="27" xfId="0" applyNumberFormat="1" applyFont="1" applyBorder="1"/>
    <xf numFmtId="0" fontId="17" fillId="0" borderId="20" xfId="0" applyFont="1" applyBorder="1" applyAlignment="1">
      <alignment horizontal="center"/>
    </xf>
    <xf numFmtId="3" fontId="17" fillId="0" borderId="26" xfId="0" applyNumberFormat="1" applyFont="1" applyBorder="1"/>
    <xf numFmtId="3" fontId="17" fillId="0" borderId="20" xfId="0" applyNumberFormat="1" applyFont="1" applyBorder="1"/>
    <xf numFmtId="0" fontId="17" fillId="0" borderId="16" xfId="0" applyFont="1" applyBorder="1" applyAlignment="1">
      <alignment horizontal="center"/>
    </xf>
    <xf numFmtId="3" fontId="17" fillId="0" borderId="14" xfId="0" applyNumberFormat="1" applyFont="1" applyBorder="1"/>
    <xf numFmtId="3" fontId="17" fillId="0" borderId="16" xfId="0" applyNumberFormat="1" applyFont="1" applyBorder="1"/>
    <xf numFmtId="3" fontId="17" fillId="0" borderId="21" xfId="0" applyNumberFormat="1" applyFont="1" applyBorder="1"/>
    <xf numFmtId="0" fontId="17" fillId="0" borderId="21" xfId="0" applyFont="1" applyBorder="1"/>
    <xf numFmtId="0" fontId="0" fillId="0" borderId="32" xfId="0" applyBorder="1"/>
    <xf numFmtId="0" fontId="0" fillId="0" borderId="33" xfId="0" applyBorder="1"/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/>
    <xf numFmtId="0" fontId="0" fillId="0" borderId="46" xfId="0" applyBorder="1"/>
    <xf numFmtId="165" fontId="17" fillId="0" borderId="5" xfId="0" applyNumberFormat="1" applyFont="1" applyBorder="1"/>
    <xf numFmtId="0" fontId="17" fillId="0" borderId="1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14" borderId="0" xfId="0" applyFill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5" fillId="0" borderId="0" xfId="0" applyFont="1"/>
    <xf numFmtId="0" fontId="0" fillId="7" borderId="0" xfId="0" applyFill="1" applyAlignment="1">
      <alignment horizontal="center"/>
    </xf>
    <xf numFmtId="0" fontId="0" fillId="14" borderId="19" xfId="0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15" fillId="14" borderId="0" xfId="0" applyFont="1" applyFill="1" applyAlignment="1">
      <alignment horizontal="right"/>
    </xf>
    <xf numFmtId="0" fontId="0" fillId="14" borderId="16" xfId="0" applyFill="1" applyBorder="1" applyAlignment="1">
      <alignment horizontal="left"/>
    </xf>
    <xf numFmtId="0" fontId="15" fillId="14" borderId="16" xfId="0" applyFont="1" applyFill="1" applyBorder="1" applyAlignment="1">
      <alignment horizontal="center"/>
    </xf>
    <xf numFmtId="0" fontId="0" fillId="14" borderId="16" xfId="0" applyFill="1" applyBorder="1" applyAlignment="1">
      <alignment horizontal="left" wrapText="1"/>
    </xf>
    <xf numFmtId="0" fontId="0" fillId="14" borderId="21" xfId="0" applyFill="1" applyBorder="1" applyAlignment="1">
      <alignment horizontal="center"/>
    </xf>
    <xf numFmtId="0" fontId="15" fillId="14" borderId="27" xfId="0" applyFont="1" applyFill="1" applyBorder="1" applyAlignment="1">
      <alignment horizontal="right"/>
    </xf>
    <xf numFmtId="0" fontId="0" fillId="14" borderId="22" xfId="0" applyFill="1" applyBorder="1" applyAlignment="1">
      <alignment horizontal="left" wrapText="1"/>
    </xf>
    <xf numFmtId="0" fontId="0" fillId="8" borderId="37" xfId="0" applyFill="1" applyBorder="1"/>
    <xf numFmtId="0" fontId="15" fillId="8" borderId="0" xfId="0" applyFont="1" applyFill="1"/>
    <xf numFmtId="0" fontId="0" fillId="8" borderId="38" xfId="0" applyFill="1" applyBorder="1"/>
    <xf numFmtId="0" fontId="16" fillId="8" borderId="0" xfId="0" applyFont="1" applyFill="1" applyAlignment="1">
      <alignment wrapText="1"/>
    </xf>
    <xf numFmtId="0" fontId="16" fillId="8" borderId="0" xfId="0" applyFont="1" applyFill="1"/>
    <xf numFmtId="0" fontId="0" fillId="8" borderId="39" xfId="0" applyFill="1" applyBorder="1"/>
    <xf numFmtId="0" fontId="16" fillId="8" borderId="17" xfId="0" applyFont="1" applyFill="1" applyBorder="1"/>
    <xf numFmtId="0" fontId="0" fillId="8" borderId="47" xfId="0" applyFill="1" applyBorder="1"/>
    <xf numFmtId="0" fontId="0" fillId="20" borderId="40" xfId="0" applyFill="1" applyBorder="1"/>
    <xf numFmtId="0" fontId="0" fillId="20" borderId="42" xfId="0" applyFill="1" applyBorder="1"/>
    <xf numFmtId="0" fontId="0" fillId="20" borderId="39" xfId="0" applyFill="1" applyBorder="1"/>
    <xf numFmtId="0" fontId="15" fillId="20" borderId="47" xfId="0" applyFon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39" xfId="0" applyFill="1" applyBorder="1"/>
    <xf numFmtId="0" fontId="0" fillId="4" borderId="47" xfId="0" applyFill="1" applyBorder="1"/>
    <xf numFmtId="0" fontId="0" fillId="17" borderId="40" xfId="0" applyFill="1" applyBorder="1"/>
    <xf numFmtId="0" fontId="2" fillId="17" borderId="41" xfId="0" applyFont="1" applyFill="1" applyBorder="1"/>
    <xf numFmtId="0" fontId="0" fillId="17" borderId="42" xfId="0" applyFill="1" applyBorder="1"/>
    <xf numFmtId="0" fontId="0" fillId="17" borderId="37" xfId="0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7" xfId="0" applyFill="1" applyBorder="1"/>
    <xf numFmtId="0" fontId="16" fillId="17" borderId="0" xfId="0" applyFont="1" applyFill="1"/>
    <xf numFmtId="0" fontId="16" fillId="17" borderId="17" xfId="0" applyFont="1" applyFill="1" applyBorder="1"/>
    <xf numFmtId="0" fontId="0" fillId="19" borderId="40" xfId="0" applyFill="1" applyBorder="1"/>
    <xf numFmtId="0" fontId="0" fillId="19" borderId="42" xfId="0" applyFill="1" applyBorder="1"/>
    <xf numFmtId="0" fontId="0" fillId="19" borderId="37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7" xfId="0" applyFill="1" applyBorder="1"/>
    <xf numFmtId="0" fontId="2" fillId="19" borderId="41" xfId="0" applyFont="1" applyFill="1" applyBorder="1" applyAlignment="1">
      <alignment wrapText="1"/>
    </xf>
    <xf numFmtId="0" fontId="0" fillId="10" borderId="30" xfId="0" applyFill="1" applyBorder="1"/>
    <xf numFmtId="0" fontId="9" fillId="10" borderId="48" xfId="0" applyFont="1" applyFill="1" applyBorder="1"/>
    <xf numFmtId="0" fontId="9" fillId="19" borderId="0" xfId="0" applyFont="1" applyFill="1"/>
    <xf numFmtId="0" fontId="15" fillId="19" borderId="17" xfId="0" applyFont="1" applyFill="1" applyBorder="1"/>
    <xf numFmtId="0" fontId="16" fillId="4" borderId="0" xfId="0" applyFont="1" applyFill="1"/>
    <xf numFmtId="0" fontId="16" fillId="4" borderId="17" xfId="0" applyFont="1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42" xfId="0" applyFill="1" applyBorder="1"/>
    <xf numFmtId="0" fontId="0" fillId="13" borderId="37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3" borderId="47" xfId="0" applyFill="1" applyBorder="1"/>
    <xf numFmtId="0" fontId="16" fillId="13" borderId="0" xfId="0" applyFont="1" applyFill="1"/>
    <xf numFmtId="0" fontId="15" fillId="13" borderId="17" xfId="0" applyFont="1" applyFill="1" applyBorder="1"/>
    <xf numFmtId="0" fontId="15" fillId="13" borderId="0" xfId="0" applyFont="1" applyFill="1"/>
    <xf numFmtId="0" fontId="15" fillId="7" borderId="0" xfId="0" applyFont="1" applyFill="1" applyAlignment="1">
      <alignment horizontal="center" wrapText="1"/>
    </xf>
    <xf numFmtId="0" fontId="15" fillId="7" borderId="27" xfId="0" applyFon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39" xfId="0" applyFill="1" applyBorder="1"/>
    <xf numFmtId="0" fontId="16" fillId="7" borderId="17" xfId="0" applyFont="1" applyFill="1" applyBorder="1"/>
    <xf numFmtId="0" fontId="0" fillId="7" borderId="47" xfId="0" applyFill="1" applyBorder="1" applyAlignment="1">
      <alignment horizontal="center"/>
    </xf>
    <xf numFmtId="0" fontId="0" fillId="12" borderId="40" xfId="0" applyFill="1" applyBorder="1"/>
    <xf numFmtId="0" fontId="0" fillId="12" borderId="42" xfId="0" applyFill="1" applyBorder="1"/>
    <xf numFmtId="0" fontId="0" fillId="12" borderId="37" xfId="0" applyFill="1" applyBorder="1"/>
    <xf numFmtId="0" fontId="16" fillId="12" borderId="0" xfId="0" applyFont="1" applyFill="1"/>
    <xf numFmtId="0" fontId="0" fillId="12" borderId="38" xfId="0" applyFill="1" applyBorder="1"/>
    <xf numFmtId="0" fontId="16" fillId="12" borderId="0" xfId="0" applyFont="1" applyFill="1" applyAlignment="1">
      <alignment wrapText="1"/>
    </xf>
    <xf numFmtId="0" fontId="0" fillId="12" borderId="39" xfId="0" applyFill="1" applyBorder="1"/>
    <xf numFmtId="0" fontId="16" fillId="12" borderId="17" xfId="0" applyFont="1" applyFill="1" applyBorder="1"/>
    <xf numFmtId="0" fontId="0" fillId="12" borderId="47" xfId="0" applyFill="1" applyBorder="1"/>
    <xf numFmtId="0" fontId="2" fillId="12" borderId="41" xfId="0" applyFont="1" applyFill="1" applyBorder="1"/>
    <xf numFmtId="0" fontId="0" fillId="0" borderId="47" xfId="0" applyBorder="1" applyAlignment="1">
      <alignment horizontal="center"/>
    </xf>
    <xf numFmtId="165" fontId="17" fillId="0" borderId="0" xfId="0" applyNumberFormat="1" applyFont="1" applyAlignment="1">
      <alignment horizontal="center"/>
    </xf>
    <xf numFmtId="165" fontId="0" fillId="0" borderId="17" xfId="0" applyNumberForma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2" fontId="17" fillId="0" borderId="5" xfId="0" applyNumberFormat="1" applyFont="1" applyBorder="1"/>
    <xf numFmtId="2" fontId="0" fillId="14" borderId="0" xfId="0" applyNumberFormat="1" applyFill="1" applyAlignment="1">
      <alignment horizontal="right"/>
    </xf>
    <xf numFmtId="0" fontId="0" fillId="0" borderId="30" xfId="0" applyBorder="1"/>
    <xf numFmtId="0" fontId="17" fillId="13" borderId="48" xfId="0" applyFont="1" applyFill="1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165" fontId="17" fillId="0" borderId="16" xfId="0" applyNumberFormat="1" applyFont="1" applyBorder="1" applyAlignment="1">
      <alignment horizontal="center"/>
    </xf>
    <xf numFmtId="165" fontId="17" fillId="0" borderId="42" xfId="0" applyNumberFormat="1" applyFont="1" applyBorder="1" applyAlignment="1">
      <alignment horizontal="center"/>
    </xf>
    <xf numFmtId="165" fontId="17" fillId="0" borderId="38" xfId="0" applyNumberFormat="1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7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65" fontId="17" fillId="0" borderId="48" xfId="0" applyNumberFormat="1" applyFont="1" applyBorder="1"/>
    <xf numFmtId="0" fontId="2" fillId="0" borderId="30" xfId="0" applyFont="1" applyBorder="1"/>
    <xf numFmtId="3" fontId="16" fillId="0" borderId="0" xfId="0" applyNumberFormat="1" applyFont="1"/>
    <xf numFmtId="0" fontId="17" fillId="8" borderId="5" xfId="0" applyFont="1" applyFill="1" applyBorder="1"/>
    <xf numFmtId="0" fontId="17" fillId="8" borderId="5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0" xfId="0" applyBorder="1"/>
    <xf numFmtId="0" fontId="0" fillId="0" borderId="39" xfId="0" applyBorder="1"/>
    <xf numFmtId="165" fontId="0" fillId="0" borderId="47" xfId="0" applyNumberFormat="1" applyBorder="1"/>
    <xf numFmtId="165" fontId="0" fillId="0" borderId="42" xfId="0" applyNumberFormat="1" applyBorder="1" applyAlignment="1">
      <alignment wrapText="1"/>
    </xf>
    <xf numFmtId="0" fontId="17" fillId="14" borderId="0" xfId="0" applyFont="1" applyFill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47" xfId="0" applyBorder="1"/>
    <xf numFmtId="0" fontId="0" fillId="21" borderId="42" xfId="0" applyFill="1" applyBorder="1" applyAlignment="1">
      <alignment horizontal="left"/>
    </xf>
    <xf numFmtId="0" fontId="0" fillId="21" borderId="37" xfId="0" applyFill="1" applyBorder="1" applyAlignment="1">
      <alignment horizontal="center"/>
    </xf>
    <xf numFmtId="0" fontId="0" fillId="21" borderId="38" xfId="0" applyFill="1" applyBorder="1" applyAlignment="1">
      <alignment horizontal="left"/>
    </xf>
    <xf numFmtId="0" fontId="0" fillId="21" borderId="39" xfId="0" applyFill="1" applyBorder="1" applyAlignment="1">
      <alignment horizontal="center"/>
    </xf>
    <xf numFmtId="0" fontId="0" fillId="21" borderId="47" xfId="0" applyFill="1" applyBorder="1" applyAlignment="1">
      <alignment horizontal="left"/>
    </xf>
    <xf numFmtId="0" fontId="17" fillId="21" borderId="41" xfId="0" applyFont="1" applyFill="1" applyBorder="1" applyAlignment="1">
      <alignment horizontal="right"/>
    </xf>
    <xf numFmtId="0" fontId="17" fillId="21" borderId="0" xfId="0" applyFont="1" applyFill="1" applyAlignment="1">
      <alignment horizontal="right"/>
    </xf>
    <xf numFmtId="0" fontId="17" fillId="21" borderId="17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21" borderId="41" xfId="0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0" fillId="0" borderId="48" xfId="0" applyNumberFormat="1" applyBorder="1" applyAlignment="1">
      <alignment horizontal="center" wrapText="1"/>
    </xf>
    <xf numFmtId="2" fontId="17" fillId="0" borderId="17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48" xfId="0" applyNumberFormat="1" applyBorder="1"/>
    <xf numFmtId="0" fontId="2" fillId="22" borderId="40" xfId="0" applyFont="1" applyFill="1" applyBorder="1"/>
    <xf numFmtId="0" fontId="17" fillId="22" borderId="42" xfId="0" applyFont="1" applyFill="1" applyBorder="1"/>
    <xf numFmtId="0" fontId="2" fillId="22" borderId="39" xfId="0" applyFont="1" applyFill="1" applyBorder="1"/>
    <xf numFmtId="0" fontId="17" fillId="22" borderId="47" xfId="0" applyFont="1" applyFill="1" applyBorder="1"/>
    <xf numFmtId="0" fontId="0" fillId="11" borderId="37" xfId="0" applyFill="1" applyBorder="1" applyAlignment="1">
      <alignment horizontal="center"/>
    </xf>
    <xf numFmtId="0" fontId="17" fillId="11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1" fontId="17" fillId="11" borderId="0" xfId="0" applyNumberFormat="1" applyFont="1" applyFill="1" applyAlignment="1">
      <alignment horizontal="right"/>
    </xf>
    <xf numFmtId="0" fontId="0" fillId="11" borderId="38" xfId="0" applyFill="1" applyBorder="1" applyAlignment="1">
      <alignment horizontal="center"/>
    </xf>
    <xf numFmtId="2" fontId="17" fillId="11" borderId="0" xfId="0" applyNumberFormat="1" applyFont="1" applyFill="1" applyAlignment="1">
      <alignment horizontal="center"/>
    </xf>
    <xf numFmtId="0" fontId="0" fillId="23" borderId="37" xfId="0" applyFill="1" applyBorder="1" applyAlignment="1">
      <alignment horizontal="center"/>
    </xf>
    <xf numFmtId="0" fontId="17" fillId="23" borderId="0" xfId="0" applyFont="1" applyFill="1" applyAlignment="1">
      <alignment horizontal="center"/>
    </xf>
    <xf numFmtId="0" fontId="0" fillId="23" borderId="0" xfId="0" applyFill="1" applyAlignment="1">
      <alignment horizontal="left"/>
    </xf>
    <xf numFmtId="1" fontId="17" fillId="23" borderId="0" xfId="0" applyNumberFormat="1" applyFont="1" applyFill="1" applyAlignment="1">
      <alignment horizontal="right"/>
    </xf>
    <xf numFmtId="0" fontId="0" fillId="23" borderId="38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7" fillId="10" borderId="0" xfId="0" applyFont="1" applyFill="1" applyAlignment="1">
      <alignment horizontal="center"/>
    </xf>
    <xf numFmtId="0" fontId="0" fillId="10" borderId="0" xfId="0" applyFill="1" applyAlignment="1">
      <alignment horizontal="left"/>
    </xf>
    <xf numFmtId="1" fontId="17" fillId="10" borderId="0" xfId="0" applyNumberFormat="1" applyFont="1" applyFill="1" applyAlignment="1">
      <alignment horizontal="right"/>
    </xf>
    <xf numFmtId="0" fontId="0" fillId="10" borderId="38" xfId="0" applyFill="1" applyBorder="1" applyAlignment="1">
      <alignment horizontal="center"/>
    </xf>
    <xf numFmtId="0" fontId="17" fillId="10" borderId="0" xfId="0" applyFont="1" applyFill="1" applyAlignment="1">
      <alignment horizontal="right"/>
    </xf>
    <xf numFmtId="0" fontId="0" fillId="10" borderId="47" xfId="0" applyFill="1" applyBorder="1" applyAlignment="1">
      <alignment horizontal="center"/>
    </xf>
    <xf numFmtId="0" fontId="0" fillId="0" borderId="48" xfId="0" applyBorder="1"/>
    <xf numFmtId="1" fontId="0" fillId="0" borderId="0" xfId="0" applyNumberFormat="1"/>
    <xf numFmtId="1" fontId="16" fillId="0" borderId="0" xfId="0" applyNumberFormat="1" applyFont="1"/>
    <xf numFmtId="1" fontId="0" fillId="0" borderId="31" xfId="0" applyNumberFormat="1" applyBorder="1"/>
    <xf numFmtId="0" fontId="17" fillId="0" borderId="38" xfId="0" applyFont="1" applyBorder="1"/>
    <xf numFmtId="0" fontId="17" fillId="0" borderId="47" xfId="0" applyFont="1" applyBorder="1"/>
    <xf numFmtId="1" fontId="17" fillId="0" borderId="0" xfId="0" applyNumberFormat="1" applyFont="1"/>
    <xf numFmtId="166" fontId="17" fillId="9" borderId="0" xfId="0" applyNumberFormat="1" applyFont="1" applyFill="1" applyAlignment="1">
      <alignment horizontal="center"/>
    </xf>
    <xf numFmtId="0" fontId="2" fillId="0" borderId="48" xfId="0" applyFont="1" applyBorder="1"/>
    <xf numFmtId="1" fontId="17" fillId="0" borderId="0" xfId="0" applyNumberFormat="1" applyFont="1" applyAlignment="1">
      <alignment horizontal="center"/>
    </xf>
    <xf numFmtId="0" fontId="17" fillId="5" borderId="3" xfId="0" applyFont="1" applyFill="1" applyBorder="1"/>
    <xf numFmtId="0" fontId="0" fillId="24" borderId="40" xfId="0" applyFill="1" applyBorder="1"/>
    <xf numFmtId="0" fontId="0" fillId="24" borderId="41" xfId="0" applyFill="1" applyBorder="1"/>
    <xf numFmtId="0" fontId="0" fillId="24" borderId="42" xfId="0" applyFill="1" applyBorder="1"/>
    <xf numFmtId="0" fontId="0" fillId="24" borderId="37" xfId="0" applyFill="1" applyBorder="1"/>
    <xf numFmtId="0" fontId="0" fillId="24" borderId="38" xfId="0" applyFill="1" applyBorder="1"/>
    <xf numFmtId="0" fontId="0" fillId="24" borderId="39" xfId="0" applyFill="1" applyBorder="1"/>
    <xf numFmtId="0" fontId="0" fillId="24" borderId="47" xfId="0" applyFill="1" applyBorder="1"/>
    <xf numFmtId="0" fontId="17" fillId="24" borderId="0" xfId="0" applyFont="1" applyFill="1"/>
    <xf numFmtId="0" fontId="17" fillId="24" borderId="17" xfId="0" applyFont="1" applyFill="1" applyBorder="1"/>
    <xf numFmtId="0" fontId="0" fillId="10" borderId="39" xfId="0" applyFill="1" applyBorder="1" applyAlignment="1">
      <alignment horizontal="center"/>
    </xf>
    <xf numFmtId="0" fontId="21" fillId="0" borderId="25" xfId="0" applyFont="1" applyBorder="1" applyAlignment="1">
      <alignment readingOrder="1"/>
    </xf>
    <xf numFmtId="0" fontId="19" fillId="25" borderId="54" xfId="0" applyFont="1" applyFill="1" applyBorder="1" applyAlignment="1">
      <alignment horizontal="center" readingOrder="1"/>
    </xf>
    <xf numFmtId="0" fontId="20" fillId="0" borderId="55" xfId="0" applyFont="1" applyBorder="1" applyAlignment="1">
      <alignment horizontal="center" readingOrder="1"/>
    </xf>
    <xf numFmtId="0" fontId="21" fillId="0" borderId="55" xfId="0" applyFont="1" applyBorder="1" applyAlignment="1">
      <alignment horizontal="center" readingOrder="1"/>
    </xf>
    <xf numFmtId="0" fontId="21" fillId="0" borderId="56" xfId="0" applyFont="1" applyBorder="1" applyAlignment="1">
      <alignment horizontal="center" readingOrder="1"/>
    </xf>
    <xf numFmtId="0" fontId="21" fillId="0" borderId="57" xfId="0" applyFont="1" applyBorder="1" applyAlignment="1">
      <alignment horizontal="center" readingOrder="1"/>
    </xf>
    <xf numFmtId="0" fontId="0" fillId="0" borderId="17" xfId="0" applyBorder="1" applyAlignment="1">
      <alignment horizontal="center"/>
    </xf>
    <xf numFmtId="0" fontId="17" fillId="24" borderId="41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16" borderId="5" xfId="0" applyNumberFormat="1" applyFont="1" applyFill="1" applyBorder="1" applyAlignment="1">
      <alignment horizontal="center"/>
    </xf>
    <xf numFmtId="2" fontId="2" fillId="15" borderId="5" xfId="0" applyNumberFormat="1" applyFont="1" applyFill="1" applyBorder="1" applyAlignment="1">
      <alignment horizontal="center"/>
    </xf>
    <xf numFmtId="2" fontId="8" fillId="15" borderId="15" xfId="0" applyNumberFormat="1" applyFont="1" applyFill="1" applyBorder="1" applyAlignment="1">
      <alignment horizontal="center"/>
    </xf>
    <xf numFmtId="2" fontId="2" fillId="17" borderId="13" xfId="0" applyNumberFormat="1" applyFont="1" applyFill="1" applyBorder="1" applyAlignment="1">
      <alignment horizontal="center"/>
    </xf>
    <xf numFmtId="2" fontId="2" fillId="12" borderId="13" xfId="0" applyNumberFormat="1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16" borderId="5" xfId="0" applyNumberFormat="1" applyFont="1" applyFill="1" applyBorder="1" applyAlignment="1">
      <alignment horizontal="center" wrapText="1"/>
    </xf>
    <xf numFmtId="166" fontId="0" fillId="0" borderId="5" xfId="0" applyNumberFormat="1" applyBorder="1"/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37" xfId="0" applyFill="1" applyBorder="1"/>
    <xf numFmtId="0" fontId="0" fillId="21" borderId="0" xfId="0" applyFill="1"/>
    <xf numFmtId="0" fontId="0" fillId="21" borderId="38" xfId="0" applyFill="1" applyBorder="1"/>
    <xf numFmtId="0" fontId="0" fillId="21" borderId="39" xfId="0" applyFill="1" applyBorder="1"/>
    <xf numFmtId="0" fontId="0" fillId="21" borderId="17" xfId="0" applyFill="1" applyBorder="1"/>
    <xf numFmtId="0" fontId="0" fillId="21" borderId="47" xfId="0" applyFill="1" applyBorder="1"/>
    <xf numFmtId="0" fontId="17" fillId="4" borderId="0" xfId="0" applyFont="1" applyFill="1"/>
    <xf numFmtId="165" fontId="0" fillId="0" borderId="0" xfId="0" applyNumberFormat="1"/>
    <xf numFmtId="0" fontId="0" fillId="26" borderId="6" xfId="0" applyFill="1" applyBorder="1"/>
    <xf numFmtId="0" fontId="0" fillId="26" borderId="7" xfId="0" applyFill="1" applyBorder="1"/>
    <xf numFmtId="0" fontId="0" fillId="26" borderId="8" xfId="0" applyFill="1" applyBorder="1"/>
    <xf numFmtId="0" fontId="22" fillId="26" borderId="0" xfId="0" applyFont="1" applyFill="1"/>
    <xf numFmtId="0" fontId="0" fillId="26" borderId="9" xfId="0" applyFill="1" applyBorder="1"/>
    <xf numFmtId="0" fontId="0" fillId="26" borderId="10" xfId="0" applyFill="1" applyBorder="1"/>
    <xf numFmtId="0" fontId="22" fillId="26" borderId="1" xfId="0" applyFont="1" applyFill="1" applyBorder="1"/>
    <xf numFmtId="0" fontId="0" fillId="26" borderId="11" xfId="0" applyFill="1" applyBorder="1"/>
    <xf numFmtId="165" fontId="0" fillId="14" borderId="8" xfId="0" applyNumberFormat="1" applyFill="1" applyBorder="1"/>
    <xf numFmtId="0" fontId="0" fillId="14" borderId="12" xfId="0" applyFill="1" applyBorder="1"/>
    <xf numFmtId="0" fontId="0" fillId="15" borderId="0" xfId="0" applyFill="1"/>
    <xf numFmtId="0" fontId="0" fillId="15" borderId="9" xfId="0" applyFill="1" applyBorder="1"/>
    <xf numFmtId="0" fontId="0" fillId="15" borderId="1" xfId="0" applyFill="1" applyBorder="1"/>
    <xf numFmtId="0" fontId="0" fillId="15" borderId="11" xfId="0" applyFill="1" applyBorder="1"/>
    <xf numFmtId="0" fontId="22" fillId="26" borderId="12" xfId="0" applyFont="1" applyFill="1" applyBorder="1"/>
    <xf numFmtId="0" fontId="0" fillId="0" borderId="1" xfId="0" applyBorder="1"/>
    <xf numFmtId="0" fontId="0" fillId="0" borderId="11" xfId="0" applyBorder="1"/>
    <xf numFmtId="0" fontId="2" fillId="2" borderId="7" xfId="0" applyFont="1" applyFill="1" applyBorder="1" applyAlignment="1">
      <alignment horizontal="center"/>
    </xf>
    <xf numFmtId="0" fontId="23" fillId="2" borderId="58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19" borderId="61" xfId="0" applyFill="1" applyBorder="1"/>
    <xf numFmtId="0" fontId="0" fillId="19" borderId="60" xfId="0" applyFill="1" applyBorder="1"/>
    <xf numFmtId="0" fontId="24" fillId="0" borderId="0" xfId="0" applyFont="1"/>
    <xf numFmtId="0" fontId="0" fillId="28" borderId="12" xfId="0" applyFill="1" applyBorder="1"/>
    <xf numFmtId="0" fontId="0" fillId="28" borderId="7" xfId="0" applyFill="1" applyBorder="1"/>
    <xf numFmtId="0" fontId="0" fillId="28" borderId="0" xfId="0" applyFill="1"/>
    <xf numFmtId="0" fontId="0" fillId="28" borderId="9" xfId="0" applyFill="1" applyBorder="1" applyAlignment="1">
      <alignment horizontal="left"/>
    </xf>
    <xf numFmtId="0" fontId="0" fillId="28" borderId="1" xfId="0" applyFill="1" applyBorder="1"/>
    <xf numFmtId="0" fontId="0" fillId="28" borderId="11" xfId="0" applyFill="1" applyBorder="1"/>
    <xf numFmtId="0" fontId="2" fillId="28" borderId="12" xfId="0" applyFont="1" applyFill="1" applyBorder="1" applyAlignment="1">
      <alignment horizontal="center"/>
    </xf>
    <xf numFmtId="0" fontId="2" fillId="28" borderId="0" xfId="0" applyFont="1" applyFill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0" fillId="0" borderId="9" xfId="0" applyBorder="1"/>
    <xf numFmtId="0" fontId="0" fillId="2" borderId="0" xfId="0" applyFill="1"/>
    <xf numFmtId="0" fontId="0" fillId="2" borderId="9" xfId="0" applyFill="1" applyBorder="1"/>
    <xf numFmtId="0" fontId="0" fillId="8" borderId="30" xfId="0" applyFill="1" applyBorder="1"/>
    <xf numFmtId="0" fontId="17" fillId="8" borderId="48" xfId="0" applyFont="1" applyFill="1" applyBorder="1"/>
    <xf numFmtId="0" fontId="0" fillId="21" borderId="30" xfId="0" applyFill="1" applyBorder="1"/>
    <xf numFmtId="0" fontId="17" fillId="21" borderId="48" xfId="0" applyFont="1" applyFill="1" applyBorder="1"/>
    <xf numFmtId="0" fontId="0" fillId="24" borderId="0" xfId="0" applyFill="1"/>
    <xf numFmtId="0" fontId="0" fillId="10" borderId="40" xfId="0" applyFill="1" applyBorder="1"/>
    <xf numFmtId="0" fontId="0" fillId="10" borderId="42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7" xfId="0" applyFill="1" applyBorder="1"/>
    <xf numFmtId="0" fontId="0" fillId="10" borderId="48" xfId="0" applyFill="1" applyBorder="1"/>
    <xf numFmtId="0" fontId="23" fillId="0" borderId="0" xfId="0" applyFont="1"/>
    <xf numFmtId="0" fontId="0" fillId="19" borderId="59" xfId="0" applyFill="1" applyBorder="1"/>
    <xf numFmtId="0" fontId="2" fillId="15" borderId="15" xfId="0" applyFont="1" applyFill="1" applyBorder="1" applyAlignment="1">
      <alignment horizontal="center"/>
    </xf>
    <xf numFmtId="0" fontId="16" fillId="16" borderId="0" xfId="0" applyFont="1" applyFill="1" applyAlignment="1">
      <alignment horizontal="right"/>
    </xf>
    <xf numFmtId="0" fontId="15" fillId="16" borderId="0" xfId="0" applyFont="1" applyFill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12" xfId="0" applyFill="1" applyBorder="1" applyAlignment="1">
      <alignment horizontal="right"/>
    </xf>
    <xf numFmtId="0" fontId="0" fillId="16" borderId="7" xfId="0" applyFill="1" applyBorder="1" applyAlignment="1">
      <alignment horizontal="left"/>
    </xf>
    <xf numFmtId="0" fontId="0" fillId="16" borderId="8" xfId="0" applyFill="1" applyBorder="1" applyAlignment="1">
      <alignment horizontal="right"/>
    </xf>
    <xf numFmtId="0" fontId="0" fillId="16" borderId="9" xfId="0" applyFill="1" applyBorder="1" applyAlignment="1">
      <alignment horizontal="left"/>
    </xf>
    <xf numFmtId="0" fontId="16" fillId="16" borderId="9" xfId="0" applyFont="1" applyFill="1" applyBorder="1" applyAlignment="1">
      <alignment horizontal="left"/>
    </xf>
    <xf numFmtId="0" fontId="0" fillId="16" borderId="10" xfId="0" applyFill="1" applyBorder="1"/>
    <xf numFmtId="0" fontId="0" fillId="16" borderId="1" xfId="0" applyFill="1" applyBorder="1"/>
    <xf numFmtId="0" fontId="0" fillId="16" borderId="11" xfId="0" applyFill="1" applyBorder="1"/>
    <xf numFmtId="0" fontId="16" fillId="3" borderId="0" xfId="0" applyFont="1" applyFill="1"/>
    <xf numFmtId="0" fontId="0" fillId="3" borderId="8" xfId="0" applyFill="1" applyBorder="1"/>
    <xf numFmtId="0" fontId="2" fillId="3" borderId="9" xfId="0" applyFont="1" applyFill="1" applyBorder="1"/>
    <xf numFmtId="0" fontId="0" fillId="3" borderId="10" xfId="0" applyFill="1" applyBorder="1"/>
    <xf numFmtId="0" fontId="16" fillId="3" borderId="1" xfId="0" applyFont="1" applyFill="1" applyBorder="1"/>
    <xf numFmtId="0" fontId="2" fillId="3" borderId="11" xfId="0" applyFont="1" applyFill="1" applyBorder="1"/>
    <xf numFmtId="2" fontId="2" fillId="0" borderId="0" xfId="0" applyNumberFormat="1" applyFont="1" applyAlignment="1">
      <alignment horizontal="left"/>
    </xf>
    <xf numFmtId="1" fontId="8" fillId="24" borderId="42" xfId="0" applyNumberFormat="1" applyFont="1" applyFill="1" applyBorder="1"/>
    <xf numFmtId="0" fontId="0" fillId="13" borderId="30" xfId="0" applyFill="1" applyBorder="1"/>
    <xf numFmtId="0" fontId="0" fillId="13" borderId="48" xfId="0" applyFill="1" applyBorder="1"/>
    <xf numFmtId="2" fontId="16" fillId="0" borderId="5" xfId="0" applyNumberFormat="1" applyFont="1" applyBorder="1"/>
    <xf numFmtId="0" fontId="0" fillId="28" borderId="40" xfId="0" applyFill="1" applyBorder="1"/>
    <xf numFmtId="0" fontId="0" fillId="28" borderId="39" xfId="0" applyFill="1" applyBorder="1"/>
    <xf numFmtId="0" fontId="17" fillId="28" borderId="42" xfId="0" applyFont="1" applyFill="1" applyBorder="1"/>
    <xf numFmtId="0" fontId="17" fillId="28" borderId="47" xfId="0" applyFont="1" applyFill="1" applyBorder="1"/>
    <xf numFmtId="0" fontId="0" fillId="4" borderId="40" xfId="0" applyFill="1" applyBorder="1"/>
    <xf numFmtId="0" fontId="25" fillId="4" borderId="42" xfId="0" applyFont="1" applyFill="1" applyBorder="1"/>
    <xf numFmtId="0" fontId="25" fillId="4" borderId="38" xfId="0" applyFont="1" applyFill="1" applyBorder="1"/>
    <xf numFmtId="0" fontId="25" fillId="4" borderId="47" xfId="0" applyFont="1" applyFill="1" applyBorder="1"/>
    <xf numFmtId="2" fontId="17" fillId="0" borderId="0" xfId="0" applyNumberFormat="1" applyFont="1" applyAlignment="1">
      <alignment horizontal="center"/>
    </xf>
    <xf numFmtId="2" fontId="17" fillId="0" borderId="41" xfId="0" applyNumberFormat="1" applyFont="1" applyBorder="1" applyAlignment="1">
      <alignment horizontal="center"/>
    </xf>
    <xf numFmtId="2" fontId="17" fillId="14" borderId="0" xfId="0" applyNumberFormat="1" applyFont="1" applyFill="1"/>
    <xf numFmtId="2" fontId="2" fillId="0" borderId="13" xfId="0" applyNumberFormat="1" applyFont="1" applyBorder="1" applyAlignment="1">
      <alignment horizontal="center" wrapText="1"/>
    </xf>
    <xf numFmtId="0" fontId="26" fillId="0" borderId="5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" fillId="10" borderId="30" xfId="0" applyFont="1" applyFill="1" applyBorder="1"/>
    <xf numFmtId="0" fontId="15" fillId="10" borderId="48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2" fillId="8" borderId="42" xfId="0" applyFont="1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63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4" borderId="63" xfId="0" applyFill="1" applyBorder="1" applyAlignment="1">
      <alignment horizontal="center"/>
    </xf>
    <xf numFmtId="0" fontId="0" fillId="14" borderId="62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7" borderId="6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2" fillId="27" borderId="7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D1D1"/>
      <color rgb="FFCC99FF"/>
      <color rgb="FFCC9900"/>
      <color rgb="FF9966FF"/>
      <color rgb="FFAB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  <a:r>
              <a:rPr lang="en-CA" baseline="0"/>
              <a:t> For Ozone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Panel'!$G$19:$G$20</c:f>
              <c:strCache>
                <c:ptCount val="2"/>
                <c:pt idx="0">
                  <c:v>E_in</c:v>
                </c:pt>
                <c:pt idx="1">
                  <c:v>[Whr]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Panel'!$G$21:$G$385</c:f>
              <c:numCache>
                <c:formatCode>General</c:formatCode>
                <c:ptCount val="365"/>
                <c:pt idx="0">
                  <c:v>2663.424</c:v>
                </c:pt>
                <c:pt idx="1">
                  <c:v>2663.424</c:v>
                </c:pt>
                <c:pt idx="2">
                  <c:v>2663.424</c:v>
                </c:pt>
                <c:pt idx="3">
                  <c:v>2663.424</c:v>
                </c:pt>
                <c:pt idx="4">
                  <c:v>2663.424</c:v>
                </c:pt>
                <c:pt idx="5">
                  <c:v>2663.424</c:v>
                </c:pt>
                <c:pt idx="6">
                  <c:v>2663.424</c:v>
                </c:pt>
                <c:pt idx="7">
                  <c:v>2663.424</c:v>
                </c:pt>
                <c:pt idx="8">
                  <c:v>2663.424</c:v>
                </c:pt>
                <c:pt idx="9">
                  <c:v>2663.424</c:v>
                </c:pt>
                <c:pt idx="10">
                  <c:v>2663.424</c:v>
                </c:pt>
                <c:pt idx="11">
                  <c:v>2663.424</c:v>
                </c:pt>
                <c:pt idx="12">
                  <c:v>2663.424</c:v>
                </c:pt>
                <c:pt idx="13">
                  <c:v>2663.424</c:v>
                </c:pt>
                <c:pt idx="14">
                  <c:v>2663.424</c:v>
                </c:pt>
                <c:pt idx="15">
                  <c:v>2663.424</c:v>
                </c:pt>
                <c:pt idx="16">
                  <c:v>2663.424</c:v>
                </c:pt>
                <c:pt idx="17">
                  <c:v>2663.424</c:v>
                </c:pt>
                <c:pt idx="18">
                  <c:v>2663.424</c:v>
                </c:pt>
                <c:pt idx="19">
                  <c:v>2663.424</c:v>
                </c:pt>
                <c:pt idx="20">
                  <c:v>2663.424</c:v>
                </c:pt>
                <c:pt idx="21">
                  <c:v>2663.424</c:v>
                </c:pt>
                <c:pt idx="22">
                  <c:v>2663.424</c:v>
                </c:pt>
                <c:pt idx="23">
                  <c:v>2663.424</c:v>
                </c:pt>
                <c:pt idx="24">
                  <c:v>2663.424</c:v>
                </c:pt>
                <c:pt idx="25">
                  <c:v>2663.424</c:v>
                </c:pt>
                <c:pt idx="26">
                  <c:v>2663.424</c:v>
                </c:pt>
                <c:pt idx="27">
                  <c:v>2663.424</c:v>
                </c:pt>
                <c:pt idx="28">
                  <c:v>2663.424</c:v>
                </c:pt>
                <c:pt idx="29">
                  <c:v>2663.424</c:v>
                </c:pt>
                <c:pt idx="30">
                  <c:v>2663.424</c:v>
                </c:pt>
                <c:pt idx="31">
                  <c:v>3133.4400000000005</c:v>
                </c:pt>
                <c:pt idx="32">
                  <c:v>3133.4400000000005</c:v>
                </c:pt>
                <c:pt idx="33">
                  <c:v>3133.4400000000005</c:v>
                </c:pt>
                <c:pt idx="34">
                  <c:v>3133.4400000000005</c:v>
                </c:pt>
                <c:pt idx="35">
                  <c:v>3133.4400000000005</c:v>
                </c:pt>
                <c:pt idx="36">
                  <c:v>3133.4400000000005</c:v>
                </c:pt>
                <c:pt idx="37">
                  <c:v>3133.4400000000005</c:v>
                </c:pt>
                <c:pt idx="38">
                  <c:v>3133.4400000000005</c:v>
                </c:pt>
                <c:pt idx="39">
                  <c:v>3133.4400000000005</c:v>
                </c:pt>
                <c:pt idx="40">
                  <c:v>3133.4400000000005</c:v>
                </c:pt>
                <c:pt idx="41">
                  <c:v>3133.4400000000005</c:v>
                </c:pt>
                <c:pt idx="42">
                  <c:v>3133.4400000000005</c:v>
                </c:pt>
                <c:pt idx="43">
                  <c:v>3133.4400000000005</c:v>
                </c:pt>
                <c:pt idx="44">
                  <c:v>3133.4400000000005</c:v>
                </c:pt>
                <c:pt idx="45">
                  <c:v>3133.4400000000005</c:v>
                </c:pt>
                <c:pt idx="46">
                  <c:v>3133.4400000000005</c:v>
                </c:pt>
                <c:pt idx="47">
                  <c:v>3133.4400000000005</c:v>
                </c:pt>
                <c:pt idx="48">
                  <c:v>3133.4400000000005</c:v>
                </c:pt>
                <c:pt idx="49">
                  <c:v>3133.4400000000005</c:v>
                </c:pt>
                <c:pt idx="50">
                  <c:v>3133.4400000000005</c:v>
                </c:pt>
                <c:pt idx="51">
                  <c:v>3133.4400000000005</c:v>
                </c:pt>
                <c:pt idx="52">
                  <c:v>3133.4400000000005</c:v>
                </c:pt>
                <c:pt idx="53">
                  <c:v>3133.4400000000005</c:v>
                </c:pt>
                <c:pt idx="54">
                  <c:v>3133.4400000000005</c:v>
                </c:pt>
                <c:pt idx="55">
                  <c:v>3133.4400000000005</c:v>
                </c:pt>
                <c:pt idx="56">
                  <c:v>3133.4400000000005</c:v>
                </c:pt>
                <c:pt idx="57">
                  <c:v>3133.4400000000005</c:v>
                </c:pt>
                <c:pt idx="58">
                  <c:v>3133.4400000000005</c:v>
                </c:pt>
                <c:pt idx="59">
                  <c:v>3697.4592000000002</c:v>
                </c:pt>
                <c:pt idx="60">
                  <c:v>3697.4592000000002</c:v>
                </c:pt>
                <c:pt idx="61">
                  <c:v>3697.4592000000002</c:v>
                </c:pt>
                <c:pt idx="62">
                  <c:v>3697.4592000000002</c:v>
                </c:pt>
                <c:pt idx="63">
                  <c:v>3697.4592000000002</c:v>
                </c:pt>
                <c:pt idx="64">
                  <c:v>3697.4592000000002</c:v>
                </c:pt>
                <c:pt idx="65">
                  <c:v>3697.4592000000002</c:v>
                </c:pt>
                <c:pt idx="66">
                  <c:v>3697.4592000000002</c:v>
                </c:pt>
                <c:pt idx="67">
                  <c:v>3697.4592000000002</c:v>
                </c:pt>
                <c:pt idx="68">
                  <c:v>3697.4592000000002</c:v>
                </c:pt>
                <c:pt idx="69">
                  <c:v>3697.4592000000002</c:v>
                </c:pt>
                <c:pt idx="70">
                  <c:v>3697.4592000000002</c:v>
                </c:pt>
                <c:pt idx="71">
                  <c:v>3697.4592000000002</c:v>
                </c:pt>
                <c:pt idx="72">
                  <c:v>3697.4592000000002</c:v>
                </c:pt>
                <c:pt idx="73">
                  <c:v>3697.4592000000002</c:v>
                </c:pt>
                <c:pt idx="74">
                  <c:v>3697.4592000000002</c:v>
                </c:pt>
                <c:pt idx="75">
                  <c:v>3697.4592000000002</c:v>
                </c:pt>
                <c:pt idx="76">
                  <c:v>3697.4592000000002</c:v>
                </c:pt>
                <c:pt idx="77">
                  <c:v>3697.4592000000002</c:v>
                </c:pt>
                <c:pt idx="78">
                  <c:v>3697.4592000000002</c:v>
                </c:pt>
                <c:pt idx="79">
                  <c:v>3697.4592000000002</c:v>
                </c:pt>
                <c:pt idx="80">
                  <c:v>3697.4592000000002</c:v>
                </c:pt>
                <c:pt idx="81">
                  <c:v>3697.4592000000002</c:v>
                </c:pt>
                <c:pt idx="82">
                  <c:v>3697.4592000000002</c:v>
                </c:pt>
                <c:pt idx="83">
                  <c:v>3697.4592000000002</c:v>
                </c:pt>
                <c:pt idx="84">
                  <c:v>3697.4592000000002</c:v>
                </c:pt>
                <c:pt idx="85">
                  <c:v>3697.4592000000002</c:v>
                </c:pt>
                <c:pt idx="86">
                  <c:v>3697.4592000000002</c:v>
                </c:pt>
                <c:pt idx="87">
                  <c:v>3697.4592000000002</c:v>
                </c:pt>
                <c:pt idx="88">
                  <c:v>3697.4592000000002</c:v>
                </c:pt>
                <c:pt idx="89">
                  <c:v>3697.4592000000002</c:v>
                </c:pt>
                <c:pt idx="90">
                  <c:v>4261.4784</c:v>
                </c:pt>
                <c:pt idx="91">
                  <c:v>4261.4784</c:v>
                </c:pt>
                <c:pt idx="92">
                  <c:v>4261.4784</c:v>
                </c:pt>
                <c:pt idx="93">
                  <c:v>4261.4784</c:v>
                </c:pt>
                <c:pt idx="94">
                  <c:v>4261.4784</c:v>
                </c:pt>
                <c:pt idx="95">
                  <c:v>4261.4784</c:v>
                </c:pt>
                <c:pt idx="96">
                  <c:v>4261.4784</c:v>
                </c:pt>
                <c:pt idx="97">
                  <c:v>4261.4784</c:v>
                </c:pt>
                <c:pt idx="98">
                  <c:v>4261.4784</c:v>
                </c:pt>
                <c:pt idx="99">
                  <c:v>4261.4784</c:v>
                </c:pt>
                <c:pt idx="100">
                  <c:v>4261.4784</c:v>
                </c:pt>
                <c:pt idx="101">
                  <c:v>4261.4784</c:v>
                </c:pt>
                <c:pt idx="102">
                  <c:v>4261.4784</c:v>
                </c:pt>
                <c:pt idx="103">
                  <c:v>4261.4784</c:v>
                </c:pt>
                <c:pt idx="104">
                  <c:v>4261.4784</c:v>
                </c:pt>
                <c:pt idx="105">
                  <c:v>4261.4784</c:v>
                </c:pt>
                <c:pt idx="106">
                  <c:v>4261.4784</c:v>
                </c:pt>
                <c:pt idx="107">
                  <c:v>4261.4784</c:v>
                </c:pt>
                <c:pt idx="108">
                  <c:v>4261.4784</c:v>
                </c:pt>
                <c:pt idx="109">
                  <c:v>4261.4784</c:v>
                </c:pt>
                <c:pt idx="110">
                  <c:v>4261.4784</c:v>
                </c:pt>
                <c:pt idx="111">
                  <c:v>4261.4784</c:v>
                </c:pt>
                <c:pt idx="112">
                  <c:v>4261.4784</c:v>
                </c:pt>
                <c:pt idx="113">
                  <c:v>4261.4784</c:v>
                </c:pt>
                <c:pt idx="114">
                  <c:v>4261.4784</c:v>
                </c:pt>
                <c:pt idx="115">
                  <c:v>4261.4784</c:v>
                </c:pt>
                <c:pt idx="116">
                  <c:v>4261.4784</c:v>
                </c:pt>
                <c:pt idx="117">
                  <c:v>4261.4784</c:v>
                </c:pt>
                <c:pt idx="118">
                  <c:v>4261.4784</c:v>
                </c:pt>
                <c:pt idx="119">
                  <c:v>4261.4784</c:v>
                </c:pt>
                <c:pt idx="120">
                  <c:v>4794.1632</c:v>
                </c:pt>
                <c:pt idx="121">
                  <c:v>4794.1632</c:v>
                </c:pt>
                <c:pt idx="122">
                  <c:v>4794.1632</c:v>
                </c:pt>
                <c:pt idx="123">
                  <c:v>4794.1632</c:v>
                </c:pt>
                <c:pt idx="124">
                  <c:v>4794.1632</c:v>
                </c:pt>
                <c:pt idx="125">
                  <c:v>4794.1632</c:v>
                </c:pt>
                <c:pt idx="126">
                  <c:v>4794.1632</c:v>
                </c:pt>
                <c:pt idx="127">
                  <c:v>4794.1632</c:v>
                </c:pt>
                <c:pt idx="128">
                  <c:v>4794.1632</c:v>
                </c:pt>
                <c:pt idx="129">
                  <c:v>4794.1632</c:v>
                </c:pt>
                <c:pt idx="130">
                  <c:v>4794.1632</c:v>
                </c:pt>
                <c:pt idx="131">
                  <c:v>4794.1632</c:v>
                </c:pt>
                <c:pt idx="132">
                  <c:v>4794.1632</c:v>
                </c:pt>
                <c:pt idx="133">
                  <c:v>4794.1632</c:v>
                </c:pt>
                <c:pt idx="134">
                  <c:v>4794.1632</c:v>
                </c:pt>
                <c:pt idx="135">
                  <c:v>4794.1632</c:v>
                </c:pt>
                <c:pt idx="136">
                  <c:v>4794.1632</c:v>
                </c:pt>
                <c:pt idx="137">
                  <c:v>4794.1632</c:v>
                </c:pt>
                <c:pt idx="138">
                  <c:v>4794.1632</c:v>
                </c:pt>
                <c:pt idx="139">
                  <c:v>4794.1632</c:v>
                </c:pt>
                <c:pt idx="140">
                  <c:v>4794.1632</c:v>
                </c:pt>
                <c:pt idx="141">
                  <c:v>4794.1632</c:v>
                </c:pt>
                <c:pt idx="142">
                  <c:v>4794.1632</c:v>
                </c:pt>
                <c:pt idx="143">
                  <c:v>4794.1632</c:v>
                </c:pt>
                <c:pt idx="144">
                  <c:v>4794.1632</c:v>
                </c:pt>
                <c:pt idx="145">
                  <c:v>4794.1632</c:v>
                </c:pt>
                <c:pt idx="146">
                  <c:v>4794.1632</c:v>
                </c:pt>
                <c:pt idx="147">
                  <c:v>4794.1632</c:v>
                </c:pt>
                <c:pt idx="148">
                  <c:v>4794.1632</c:v>
                </c:pt>
                <c:pt idx="149">
                  <c:v>4794.1632</c:v>
                </c:pt>
                <c:pt idx="150">
                  <c:v>4794.1632</c:v>
                </c:pt>
                <c:pt idx="151">
                  <c:v>5013.5039999999999</c:v>
                </c:pt>
                <c:pt idx="152">
                  <c:v>5013.5039999999999</c:v>
                </c:pt>
                <c:pt idx="153">
                  <c:v>5013.5039999999999</c:v>
                </c:pt>
                <c:pt idx="154">
                  <c:v>5013.5039999999999</c:v>
                </c:pt>
                <c:pt idx="155">
                  <c:v>5013.5039999999999</c:v>
                </c:pt>
                <c:pt idx="156">
                  <c:v>5013.5039999999999</c:v>
                </c:pt>
                <c:pt idx="157">
                  <c:v>5013.5039999999999</c:v>
                </c:pt>
                <c:pt idx="158">
                  <c:v>5013.5039999999999</c:v>
                </c:pt>
                <c:pt idx="159">
                  <c:v>5013.5039999999999</c:v>
                </c:pt>
                <c:pt idx="160">
                  <c:v>5013.5039999999999</c:v>
                </c:pt>
                <c:pt idx="161">
                  <c:v>5013.5039999999999</c:v>
                </c:pt>
                <c:pt idx="162">
                  <c:v>5013.5039999999999</c:v>
                </c:pt>
                <c:pt idx="163">
                  <c:v>5013.5039999999999</c:v>
                </c:pt>
                <c:pt idx="164">
                  <c:v>5013.5039999999999</c:v>
                </c:pt>
                <c:pt idx="165">
                  <c:v>5013.5039999999999</c:v>
                </c:pt>
                <c:pt idx="166">
                  <c:v>5013.5039999999999</c:v>
                </c:pt>
                <c:pt idx="167">
                  <c:v>5013.5039999999999</c:v>
                </c:pt>
                <c:pt idx="168">
                  <c:v>5013.5039999999999</c:v>
                </c:pt>
                <c:pt idx="169">
                  <c:v>5013.5039999999999</c:v>
                </c:pt>
                <c:pt idx="170">
                  <c:v>5013.5039999999999</c:v>
                </c:pt>
                <c:pt idx="171">
                  <c:v>5013.5039999999999</c:v>
                </c:pt>
                <c:pt idx="172">
                  <c:v>5013.5039999999999</c:v>
                </c:pt>
                <c:pt idx="173">
                  <c:v>5013.5039999999999</c:v>
                </c:pt>
                <c:pt idx="174">
                  <c:v>5013.5039999999999</c:v>
                </c:pt>
                <c:pt idx="175">
                  <c:v>5013.5039999999999</c:v>
                </c:pt>
                <c:pt idx="176">
                  <c:v>5013.5039999999999</c:v>
                </c:pt>
                <c:pt idx="177">
                  <c:v>5013.5039999999999</c:v>
                </c:pt>
                <c:pt idx="178">
                  <c:v>5013.5039999999999</c:v>
                </c:pt>
                <c:pt idx="179">
                  <c:v>5013.5039999999999</c:v>
                </c:pt>
                <c:pt idx="180">
                  <c:v>5013.5039999999999</c:v>
                </c:pt>
                <c:pt idx="181">
                  <c:v>4935.1679999999997</c:v>
                </c:pt>
                <c:pt idx="182">
                  <c:v>4935.1679999999997</c:v>
                </c:pt>
                <c:pt idx="183">
                  <c:v>4935.1679999999997</c:v>
                </c:pt>
                <c:pt idx="184">
                  <c:v>4935.1679999999997</c:v>
                </c:pt>
                <c:pt idx="185">
                  <c:v>4935.1679999999997</c:v>
                </c:pt>
                <c:pt idx="186">
                  <c:v>4935.1679999999997</c:v>
                </c:pt>
                <c:pt idx="187">
                  <c:v>4935.1679999999997</c:v>
                </c:pt>
                <c:pt idx="188">
                  <c:v>4935.1679999999997</c:v>
                </c:pt>
                <c:pt idx="189">
                  <c:v>4935.1679999999997</c:v>
                </c:pt>
                <c:pt idx="190">
                  <c:v>4935.1679999999997</c:v>
                </c:pt>
                <c:pt idx="191">
                  <c:v>4935.1679999999997</c:v>
                </c:pt>
                <c:pt idx="192">
                  <c:v>4935.1679999999997</c:v>
                </c:pt>
                <c:pt idx="193">
                  <c:v>4935.1679999999997</c:v>
                </c:pt>
                <c:pt idx="194">
                  <c:v>4935.1679999999997</c:v>
                </c:pt>
                <c:pt idx="195">
                  <c:v>4935.1679999999997</c:v>
                </c:pt>
                <c:pt idx="196">
                  <c:v>4935.1679999999997</c:v>
                </c:pt>
                <c:pt idx="197">
                  <c:v>4935.1679999999997</c:v>
                </c:pt>
                <c:pt idx="198">
                  <c:v>4935.1679999999997</c:v>
                </c:pt>
                <c:pt idx="199">
                  <c:v>4935.1679999999997</c:v>
                </c:pt>
                <c:pt idx="200">
                  <c:v>4935.1679999999997</c:v>
                </c:pt>
                <c:pt idx="201">
                  <c:v>4935.1679999999997</c:v>
                </c:pt>
                <c:pt idx="202">
                  <c:v>4935.1679999999997</c:v>
                </c:pt>
                <c:pt idx="203">
                  <c:v>4935.1679999999997</c:v>
                </c:pt>
                <c:pt idx="204">
                  <c:v>4935.1679999999997</c:v>
                </c:pt>
                <c:pt idx="205">
                  <c:v>4935.1679999999997</c:v>
                </c:pt>
                <c:pt idx="206">
                  <c:v>4935.1679999999997</c:v>
                </c:pt>
                <c:pt idx="207">
                  <c:v>4935.1679999999997</c:v>
                </c:pt>
                <c:pt idx="208">
                  <c:v>4935.1679999999997</c:v>
                </c:pt>
                <c:pt idx="209">
                  <c:v>4935.1679999999997</c:v>
                </c:pt>
                <c:pt idx="210">
                  <c:v>4935.1679999999997</c:v>
                </c:pt>
                <c:pt idx="211">
                  <c:v>4935.1679999999997</c:v>
                </c:pt>
                <c:pt idx="212">
                  <c:v>4449.4848000000002</c:v>
                </c:pt>
                <c:pt idx="213">
                  <c:v>4449.4848000000002</c:v>
                </c:pt>
                <c:pt idx="214">
                  <c:v>4449.4848000000002</c:v>
                </c:pt>
                <c:pt idx="215">
                  <c:v>4449.4848000000002</c:v>
                </c:pt>
                <c:pt idx="216">
                  <c:v>4449.4848000000002</c:v>
                </c:pt>
                <c:pt idx="217">
                  <c:v>4449.4848000000002</c:v>
                </c:pt>
                <c:pt idx="218">
                  <c:v>4449.4848000000002</c:v>
                </c:pt>
                <c:pt idx="219">
                  <c:v>4449.4848000000002</c:v>
                </c:pt>
                <c:pt idx="220">
                  <c:v>4449.4848000000002</c:v>
                </c:pt>
                <c:pt idx="221">
                  <c:v>4449.4848000000002</c:v>
                </c:pt>
                <c:pt idx="222">
                  <c:v>4449.4848000000002</c:v>
                </c:pt>
                <c:pt idx="223">
                  <c:v>4449.4848000000002</c:v>
                </c:pt>
                <c:pt idx="224">
                  <c:v>4449.4848000000002</c:v>
                </c:pt>
                <c:pt idx="225">
                  <c:v>4449.4848000000002</c:v>
                </c:pt>
                <c:pt idx="226">
                  <c:v>4449.4848000000002</c:v>
                </c:pt>
                <c:pt idx="227">
                  <c:v>4449.4848000000002</c:v>
                </c:pt>
                <c:pt idx="228">
                  <c:v>4449.4848000000002</c:v>
                </c:pt>
                <c:pt idx="229">
                  <c:v>4449.4848000000002</c:v>
                </c:pt>
                <c:pt idx="230">
                  <c:v>4449.4848000000002</c:v>
                </c:pt>
                <c:pt idx="231">
                  <c:v>4449.4848000000002</c:v>
                </c:pt>
                <c:pt idx="232">
                  <c:v>4449.4848000000002</c:v>
                </c:pt>
                <c:pt idx="233">
                  <c:v>4449.4848000000002</c:v>
                </c:pt>
                <c:pt idx="234">
                  <c:v>4449.4848000000002</c:v>
                </c:pt>
                <c:pt idx="235">
                  <c:v>4449.4848000000002</c:v>
                </c:pt>
                <c:pt idx="236">
                  <c:v>4449.4848000000002</c:v>
                </c:pt>
                <c:pt idx="237">
                  <c:v>4449.4848000000002</c:v>
                </c:pt>
                <c:pt idx="238">
                  <c:v>4449.4848000000002</c:v>
                </c:pt>
                <c:pt idx="239">
                  <c:v>4449.4848000000002</c:v>
                </c:pt>
                <c:pt idx="240">
                  <c:v>4449.4848000000002</c:v>
                </c:pt>
                <c:pt idx="241">
                  <c:v>4449.4848000000002</c:v>
                </c:pt>
                <c:pt idx="242">
                  <c:v>4449.4848000000002</c:v>
                </c:pt>
                <c:pt idx="243">
                  <c:v>3916.8</c:v>
                </c:pt>
                <c:pt idx="244">
                  <c:v>3916.8</c:v>
                </c:pt>
                <c:pt idx="245">
                  <c:v>3916.8</c:v>
                </c:pt>
                <c:pt idx="246">
                  <c:v>3916.8</c:v>
                </c:pt>
                <c:pt idx="247">
                  <c:v>3916.8</c:v>
                </c:pt>
                <c:pt idx="248">
                  <c:v>3916.8</c:v>
                </c:pt>
                <c:pt idx="249">
                  <c:v>3916.8</c:v>
                </c:pt>
                <c:pt idx="250">
                  <c:v>3916.8</c:v>
                </c:pt>
                <c:pt idx="251">
                  <c:v>3916.8</c:v>
                </c:pt>
                <c:pt idx="252">
                  <c:v>3916.8</c:v>
                </c:pt>
                <c:pt idx="253">
                  <c:v>3916.8</c:v>
                </c:pt>
                <c:pt idx="254">
                  <c:v>3916.8</c:v>
                </c:pt>
                <c:pt idx="255">
                  <c:v>3916.8</c:v>
                </c:pt>
                <c:pt idx="256">
                  <c:v>3916.8</c:v>
                </c:pt>
                <c:pt idx="257">
                  <c:v>3916.8</c:v>
                </c:pt>
                <c:pt idx="258">
                  <c:v>3916.8</c:v>
                </c:pt>
                <c:pt idx="259">
                  <c:v>3916.8</c:v>
                </c:pt>
                <c:pt idx="260">
                  <c:v>3916.8</c:v>
                </c:pt>
                <c:pt idx="261">
                  <c:v>3916.8</c:v>
                </c:pt>
                <c:pt idx="262">
                  <c:v>3916.8</c:v>
                </c:pt>
                <c:pt idx="263">
                  <c:v>3916.8</c:v>
                </c:pt>
                <c:pt idx="264">
                  <c:v>3916.8</c:v>
                </c:pt>
                <c:pt idx="265">
                  <c:v>3916.8</c:v>
                </c:pt>
                <c:pt idx="266">
                  <c:v>3916.8</c:v>
                </c:pt>
                <c:pt idx="267">
                  <c:v>3916.8</c:v>
                </c:pt>
                <c:pt idx="268">
                  <c:v>3916.8</c:v>
                </c:pt>
                <c:pt idx="269">
                  <c:v>3916.8</c:v>
                </c:pt>
                <c:pt idx="270">
                  <c:v>3916.8</c:v>
                </c:pt>
                <c:pt idx="271">
                  <c:v>3916.8</c:v>
                </c:pt>
                <c:pt idx="272">
                  <c:v>3916.8</c:v>
                </c:pt>
                <c:pt idx="273">
                  <c:v>3368.4479999999999</c:v>
                </c:pt>
                <c:pt idx="274">
                  <c:v>3368.4479999999999</c:v>
                </c:pt>
                <c:pt idx="275">
                  <c:v>3368.4479999999999</c:v>
                </c:pt>
                <c:pt idx="276">
                  <c:v>3368.4479999999999</c:v>
                </c:pt>
                <c:pt idx="277">
                  <c:v>3368.4479999999999</c:v>
                </c:pt>
                <c:pt idx="278">
                  <c:v>3368.4479999999999</c:v>
                </c:pt>
                <c:pt idx="279">
                  <c:v>3368.4479999999999</c:v>
                </c:pt>
                <c:pt idx="280">
                  <c:v>3368.4479999999999</c:v>
                </c:pt>
                <c:pt idx="281">
                  <c:v>3368.4479999999999</c:v>
                </c:pt>
                <c:pt idx="282">
                  <c:v>3368.4479999999999</c:v>
                </c:pt>
                <c:pt idx="283">
                  <c:v>3368.4479999999999</c:v>
                </c:pt>
                <c:pt idx="284">
                  <c:v>3368.4479999999999</c:v>
                </c:pt>
                <c:pt idx="285">
                  <c:v>3368.4479999999999</c:v>
                </c:pt>
                <c:pt idx="286">
                  <c:v>3368.4479999999999</c:v>
                </c:pt>
                <c:pt idx="287">
                  <c:v>3368.4479999999999</c:v>
                </c:pt>
                <c:pt idx="288">
                  <c:v>3368.4479999999999</c:v>
                </c:pt>
                <c:pt idx="289">
                  <c:v>3368.4479999999999</c:v>
                </c:pt>
                <c:pt idx="290">
                  <c:v>3368.4479999999999</c:v>
                </c:pt>
                <c:pt idx="291">
                  <c:v>3368.4479999999999</c:v>
                </c:pt>
                <c:pt idx="292">
                  <c:v>3368.4479999999999</c:v>
                </c:pt>
                <c:pt idx="293">
                  <c:v>3368.4479999999999</c:v>
                </c:pt>
                <c:pt idx="294">
                  <c:v>3368.4479999999999</c:v>
                </c:pt>
                <c:pt idx="295">
                  <c:v>3368.4479999999999</c:v>
                </c:pt>
                <c:pt idx="296">
                  <c:v>3368.4479999999999</c:v>
                </c:pt>
                <c:pt idx="297">
                  <c:v>3368.4479999999999</c:v>
                </c:pt>
                <c:pt idx="298">
                  <c:v>3368.4479999999999</c:v>
                </c:pt>
                <c:pt idx="299">
                  <c:v>3368.4479999999999</c:v>
                </c:pt>
                <c:pt idx="300">
                  <c:v>3368.4479999999999</c:v>
                </c:pt>
                <c:pt idx="301">
                  <c:v>3368.4479999999999</c:v>
                </c:pt>
                <c:pt idx="302">
                  <c:v>3368.4479999999999</c:v>
                </c:pt>
                <c:pt idx="303">
                  <c:v>3368.4479999999999</c:v>
                </c:pt>
                <c:pt idx="304">
                  <c:v>2820.0960000000005</c:v>
                </c:pt>
                <c:pt idx="305">
                  <c:v>2820.0960000000005</c:v>
                </c:pt>
                <c:pt idx="306">
                  <c:v>2820.0960000000005</c:v>
                </c:pt>
                <c:pt idx="307">
                  <c:v>2820.0960000000005</c:v>
                </c:pt>
                <c:pt idx="308">
                  <c:v>2820.0960000000005</c:v>
                </c:pt>
                <c:pt idx="309">
                  <c:v>2820.0960000000005</c:v>
                </c:pt>
                <c:pt idx="310">
                  <c:v>2820.0960000000005</c:v>
                </c:pt>
                <c:pt idx="311">
                  <c:v>2820.0960000000005</c:v>
                </c:pt>
                <c:pt idx="312">
                  <c:v>2820.0960000000005</c:v>
                </c:pt>
                <c:pt idx="313">
                  <c:v>2820.0960000000005</c:v>
                </c:pt>
                <c:pt idx="314">
                  <c:v>2820.0960000000005</c:v>
                </c:pt>
                <c:pt idx="315">
                  <c:v>2820.0960000000005</c:v>
                </c:pt>
                <c:pt idx="316">
                  <c:v>2820.0960000000005</c:v>
                </c:pt>
                <c:pt idx="317">
                  <c:v>2820.0960000000005</c:v>
                </c:pt>
                <c:pt idx="318">
                  <c:v>2820.0960000000005</c:v>
                </c:pt>
                <c:pt idx="319">
                  <c:v>2820.0960000000005</c:v>
                </c:pt>
                <c:pt idx="320">
                  <c:v>2820.0960000000005</c:v>
                </c:pt>
                <c:pt idx="321">
                  <c:v>2820.0960000000005</c:v>
                </c:pt>
                <c:pt idx="322">
                  <c:v>2820.0960000000005</c:v>
                </c:pt>
                <c:pt idx="323">
                  <c:v>2820.0960000000005</c:v>
                </c:pt>
                <c:pt idx="324">
                  <c:v>2820.0960000000005</c:v>
                </c:pt>
                <c:pt idx="325">
                  <c:v>2820.0960000000005</c:v>
                </c:pt>
                <c:pt idx="326">
                  <c:v>2820.0960000000005</c:v>
                </c:pt>
                <c:pt idx="327">
                  <c:v>2820.0960000000005</c:v>
                </c:pt>
                <c:pt idx="328">
                  <c:v>2820.0960000000005</c:v>
                </c:pt>
                <c:pt idx="329">
                  <c:v>2820.0960000000005</c:v>
                </c:pt>
                <c:pt idx="330">
                  <c:v>2820.0960000000005</c:v>
                </c:pt>
                <c:pt idx="331">
                  <c:v>2820.0960000000005</c:v>
                </c:pt>
                <c:pt idx="332">
                  <c:v>2820.0960000000005</c:v>
                </c:pt>
                <c:pt idx="333">
                  <c:v>2820.0960000000005</c:v>
                </c:pt>
                <c:pt idx="334">
                  <c:v>2585.0880000000002</c:v>
                </c:pt>
                <c:pt idx="335">
                  <c:v>2585.0880000000002</c:v>
                </c:pt>
                <c:pt idx="336">
                  <c:v>2585.0880000000002</c:v>
                </c:pt>
                <c:pt idx="337">
                  <c:v>2585.0880000000002</c:v>
                </c:pt>
                <c:pt idx="338">
                  <c:v>2585.0880000000002</c:v>
                </c:pt>
                <c:pt idx="339">
                  <c:v>2585.0880000000002</c:v>
                </c:pt>
                <c:pt idx="340">
                  <c:v>2585.0880000000002</c:v>
                </c:pt>
                <c:pt idx="341">
                  <c:v>2585.0880000000002</c:v>
                </c:pt>
                <c:pt idx="342">
                  <c:v>2585.0880000000002</c:v>
                </c:pt>
                <c:pt idx="343">
                  <c:v>2585.0880000000002</c:v>
                </c:pt>
                <c:pt idx="344">
                  <c:v>2585.0880000000002</c:v>
                </c:pt>
                <c:pt idx="345">
                  <c:v>2585.0880000000002</c:v>
                </c:pt>
                <c:pt idx="346">
                  <c:v>2585.0880000000002</c:v>
                </c:pt>
                <c:pt idx="347">
                  <c:v>2585.0880000000002</c:v>
                </c:pt>
                <c:pt idx="348">
                  <c:v>2585.0880000000002</c:v>
                </c:pt>
                <c:pt idx="349">
                  <c:v>2585.0880000000002</c:v>
                </c:pt>
                <c:pt idx="350">
                  <c:v>2585.0880000000002</c:v>
                </c:pt>
                <c:pt idx="351">
                  <c:v>2585.0880000000002</c:v>
                </c:pt>
                <c:pt idx="352">
                  <c:v>2585.0880000000002</c:v>
                </c:pt>
                <c:pt idx="353">
                  <c:v>2585.0880000000002</c:v>
                </c:pt>
                <c:pt idx="354">
                  <c:v>2585.0880000000002</c:v>
                </c:pt>
                <c:pt idx="355">
                  <c:v>2585.0880000000002</c:v>
                </c:pt>
                <c:pt idx="356">
                  <c:v>2585.0880000000002</c:v>
                </c:pt>
                <c:pt idx="357">
                  <c:v>2585.0880000000002</c:v>
                </c:pt>
                <c:pt idx="358">
                  <c:v>2585.0880000000002</c:v>
                </c:pt>
                <c:pt idx="359">
                  <c:v>2585.0880000000002</c:v>
                </c:pt>
                <c:pt idx="360">
                  <c:v>2585.0880000000002</c:v>
                </c:pt>
                <c:pt idx="361">
                  <c:v>2585.0880000000002</c:v>
                </c:pt>
                <c:pt idx="362">
                  <c:v>2585.0880000000002</c:v>
                </c:pt>
                <c:pt idx="363">
                  <c:v>2585.0880000000002</c:v>
                </c:pt>
                <c:pt idx="364">
                  <c:v>2585.0880000000002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0-4DEC-86A4-EB8B9ADC465A}"/>
            </c:ext>
          </c:extLst>
        </c:ser>
        <c:ser>
          <c:idx val="4"/>
          <c:order val="4"/>
          <c:tx>
            <c:strRef>
              <c:f>'Solar Panel'!$K$19:$K$20</c:f>
              <c:strCache>
                <c:ptCount val="2"/>
                <c:pt idx="0">
                  <c:v>E_Battery</c:v>
                </c:pt>
                <c:pt idx="1">
                  <c:v>[Whr]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'Solar Panel'!$K$21:$K$385</c:f>
              <c:numCache>
                <c:formatCode>General</c:formatCode>
                <c:ptCount val="365"/>
                <c:pt idx="0">
                  <c:v>6000</c:v>
                </c:pt>
                <c:pt idx="1">
                  <c:v>5785.3550162339479</c:v>
                </c:pt>
                <c:pt idx="2">
                  <c:v>6000</c:v>
                </c:pt>
                <c:pt idx="3">
                  <c:v>5258.4268921746889</c:v>
                </c:pt>
                <c:pt idx="4">
                  <c:v>4390.1232361313669</c:v>
                </c:pt>
                <c:pt idx="5">
                  <c:v>3521.8195800880449</c:v>
                </c:pt>
                <c:pt idx="6">
                  <c:v>4014.7940659041674</c:v>
                </c:pt>
                <c:pt idx="7">
                  <c:v>5718.2180659041678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5131.696343956678</c:v>
                </c:pt>
                <c:pt idx="16">
                  <c:v>5130.219470991372</c:v>
                </c:pt>
                <c:pt idx="17">
                  <c:v>4261.91581494805</c:v>
                </c:pt>
                <c:pt idx="18">
                  <c:v>3393.6121589047279</c:v>
                </c:pt>
                <c:pt idx="19">
                  <c:v>3926.2549924997534</c:v>
                </c:pt>
                <c:pt idx="20">
                  <c:v>5125.251897458792</c:v>
                </c:pt>
                <c:pt idx="21">
                  <c:v>4256.94824141547</c:v>
                </c:pt>
                <c:pt idx="22">
                  <c:v>3466.9126986895426</c:v>
                </c:pt>
                <c:pt idx="23">
                  <c:v>2598.6090426462206</c:v>
                </c:pt>
                <c:pt idx="24">
                  <c:v>1730.3053866028986</c:v>
                </c:pt>
                <c:pt idx="25">
                  <c:v>2441.3928879966688</c:v>
                </c:pt>
                <c:pt idx="26">
                  <c:v>2934.3673738127914</c:v>
                </c:pt>
                <c:pt idx="27">
                  <c:v>3427.3418596289139</c:v>
                </c:pt>
                <c:pt idx="28">
                  <c:v>5130.7658596289139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5601.7123439566785</c:v>
                </c:pt>
                <c:pt idx="34">
                  <c:v>6000</c:v>
                </c:pt>
                <c:pt idx="35">
                  <c:v>5601.7123439566785</c:v>
                </c:pt>
                <c:pt idx="36">
                  <c:v>5203.424687913357</c:v>
                </c:pt>
                <c:pt idx="37">
                  <c:v>4805.1370318700356</c:v>
                </c:pt>
                <c:pt idx="38">
                  <c:v>4406.8493758267141</c:v>
                </c:pt>
                <c:pt idx="39">
                  <c:v>4800.8247071331225</c:v>
                </c:pt>
                <c:pt idx="40">
                  <c:v>5688.9225652508321</c:v>
                </c:pt>
                <c:pt idx="41">
                  <c:v>6000</c:v>
                </c:pt>
                <c:pt idx="42">
                  <c:v>5601.7123439566785</c:v>
                </c:pt>
                <c:pt idx="43">
                  <c:v>5203.424687913357</c:v>
                </c:pt>
                <c:pt idx="44">
                  <c:v>4805.1370318700356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5935.4722849611771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  <c:pt idx="100">
                  <c:v>6000</c:v>
                </c:pt>
                <c:pt idx="101">
                  <c:v>6000</c:v>
                </c:pt>
                <c:pt idx="102">
                  <c:v>6000</c:v>
                </c:pt>
                <c:pt idx="103">
                  <c:v>6000</c:v>
                </c:pt>
                <c:pt idx="104">
                  <c:v>6000</c:v>
                </c:pt>
                <c:pt idx="105">
                  <c:v>6000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6000</c:v>
                </c:pt>
                <c:pt idx="111">
                  <c:v>6000</c:v>
                </c:pt>
                <c:pt idx="112">
                  <c:v>6000</c:v>
                </c:pt>
                <c:pt idx="113">
                  <c:v>6000</c:v>
                </c:pt>
                <c:pt idx="114">
                  <c:v>6000</c:v>
                </c:pt>
                <c:pt idx="115">
                  <c:v>6000</c:v>
                </c:pt>
                <c:pt idx="116">
                  <c:v>6000</c:v>
                </c:pt>
                <c:pt idx="117">
                  <c:v>6000</c:v>
                </c:pt>
                <c:pt idx="118">
                  <c:v>6000</c:v>
                </c:pt>
                <c:pt idx="119">
                  <c:v>6000</c:v>
                </c:pt>
                <c:pt idx="120">
                  <c:v>6000</c:v>
                </c:pt>
                <c:pt idx="121">
                  <c:v>6000</c:v>
                </c:pt>
                <c:pt idx="122">
                  <c:v>6000</c:v>
                </c:pt>
                <c:pt idx="123">
                  <c:v>6000</c:v>
                </c:pt>
                <c:pt idx="124">
                  <c:v>6000</c:v>
                </c:pt>
                <c:pt idx="125">
                  <c:v>6000</c:v>
                </c:pt>
                <c:pt idx="126">
                  <c:v>6000</c:v>
                </c:pt>
                <c:pt idx="127">
                  <c:v>6000</c:v>
                </c:pt>
                <c:pt idx="128">
                  <c:v>6000</c:v>
                </c:pt>
                <c:pt idx="129">
                  <c:v>6000</c:v>
                </c:pt>
                <c:pt idx="130">
                  <c:v>6000</c:v>
                </c:pt>
                <c:pt idx="131">
                  <c:v>6000</c:v>
                </c:pt>
                <c:pt idx="132">
                  <c:v>6000</c:v>
                </c:pt>
                <c:pt idx="133">
                  <c:v>6000</c:v>
                </c:pt>
                <c:pt idx="134">
                  <c:v>6000</c:v>
                </c:pt>
                <c:pt idx="135">
                  <c:v>6000</c:v>
                </c:pt>
                <c:pt idx="136">
                  <c:v>6000</c:v>
                </c:pt>
                <c:pt idx="137">
                  <c:v>6000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6000</c:v>
                </c:pt>
                <c:pt idx="142">
                  <c:v>6000</c:v>
                </c:pt>
                <c:pt idx="143">
                  <c:v>6000</c:v>
                </c:pt>
                <c:pt idx="144">
                  <c:v>6000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6000</c:v>
                </c:pt>
                <c:pt idx="154">
                  <c:v>6000</c:v>
                </c:pt>
                <c:pt idx="155">
                  <c:v>6000</c:v>
                </c:pt>
                <c:pt idx="156">
                  <c:v>6000</c:v>
                </c:pt>
                <c:pt idx="157">
                  <c:v>6000</c:v>
                </c:pt>
                <c:pt idx="158">
                  <c:v>6000</c:v>
                </c:pt>
                <c:pt idx="159">
                  <c:v>6000</c:v>
                </c:pt>
                <c:pt idx="160">
                  <c:v>6000</c:v>
                </c:pt>
                <c:pt idx="161">
                  <c:v>6000</c:v>
                </c:pt>
                <c:pt idx="162">
                  <c:v>6000</c:v>
                </c:pt>
                <c:pt idx="163">
                  <c:v>6000</c:v>
                </c:pt>
                <c:pt idx="164">
                  <c:v>6000</c:v>
                </c:pt>
                <c:pt idx="165">
                  <c:v>6000</c:v>
                </c:pt>
                <c:pt idx="166">
                  <c:v>6000</c:v>
                </c:pt>
                <c:pt idx="167">
                  <c:v>6000</c:v>
                </c:pt>
                <c:pt idx="168">
                  <c:v>6000</c:v>
                </c:pt>
                <c:pt idx="169">
                  <c:v>6000</c:v>
                </c:pt>
                <c:pt idx="170">
                  <c:v>6000</c:v>
                </c:pt>
                <c:pt idx="171">
                  <c:v>6000</c:v>
                </c:pt>
                <c:pt idx="172">
                  <c:v>6000</c:v>
                </c:pt>
                <c:pt idx="173">
                  <c:v>6000</c:v>
                </c:pt>
                <c:pt idx="174">
                  <c:v>6000</c:v>
                </c:pt>
                <c:pt idx="175">
                  <c:v>6000</c:v>
                </c:pt>
                <c:pt idx="176">
                  <c:v>6000</c:v>
                </c:pt>
                <c:pt idx="177">
                  <c:v>6000</c:v>
                </c:pt>
                <c:pt idx="178">
                  <c:v>6000</c:v>
                </c:pt>
                <c:pt idx="179">
                  <c:v>6000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6000</c:v>
                </c:pt>
                <c:pt idx="185">
                  <c:v>6000</c:v>
                </c:pt>
                <c:pt idx="186">
                  <c:v>6000</c:v>
                </c:pt>
                <c:pt idx="187">
                  <c:v>6000</c:v>
                </c:pt>
                <c:pt idx="188">
                  <c:v>6000</c:v>
                </c:pt>
                <c:pt idx="189">
                  <c:v>6000</c:v>
                </c:pt>
                <c:pt idx="190">
                  <c:v>6000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6000</c:v>
                </c:pt>
                <c:pt idx="196">
                  <c:v>6000</c:v>
                </c:pt>
                <c:pt idx="197">
                  <c:v>6000</c:v>
                </c:pt>
                <c:pt idx="198">
                  <c:v>6000</c:v>
                </c:pt>
                <c:pt idx="199">
                  <c:v>6000</c:v>
                </c:pt>
                <c:pt idx="200">
                  <c:v>6000</c:v>
                </c:pt>
                <c:pt idx="201">
                  <c:v>6000</c:v>
                </c:pt>
                <c:pt idx="202">
                  <c:v>6000</c:v>
                </c:pt>
                <c:pt idx="203">
                  <c:v>6000</c:v>
                </c:pt>
                <c:pt idx="204">
                  <c:v>6000</c:v>
                </c:pt>
                <c:pt idx="205">
                  <c:v>6000</c:v>
                </c:pt>
                <c:pt idx="206">
                  <c:v>6000</c:v>
                </c:pt>
                <c:pt idx="207">
                  <c:v>6000</c:v>
                </c:pt>
                <c:pt idx="208">
                  <c:v>6000</c:v>
                </c:pt>
                <c:pt idx="209">
                  <c:v>6000</c:v>
                </c:pt>
                <c:pt idx="210">
                  <c:v>6000</c:v>
                </c:pt>
                <c:pt idx="211">
                  <c:v>6000</c:v>
                </c:pt>
                <c:pt idx="212">
                  <c:v>6000</c:v>
                </c:pt>
                <c:pt idx="213">
                  <c:v>6000</c:v>
                </c:pt>
                <c:pt idx="214">
                  <c:v>6000</c:v>
                </c:pt>
                <c:pt idx="215">
                  <c:v>6000</c:v>
                </c:pt>
                <c:pt idx="216">
                  <c:v>6000</c:v>
                </c:pt>
                <c:pt idx="217">
                  <c:v>6000</c:v>
                </c:pt>
                <c:pt idx="218">
                  <c:v>6000</c:v>
                </c:pt>
                <c:pt idx="219">
                  <c:v>6000</c:v>
                </c:pt>
                <c:pt idx="220">
                  <c:v>6000</c:v>
                </c:pt>
                <c:pt idx="221">
                  <c:v>6000</c:v>
                </c:pt>
                <c:pt idx="222">
                  <c:v>6000</c:v>
                </c:pt>
                <c:pt idx="223">
                  <c:v>6000</c:v>
                </c:pt>
                <c:pt idx="224">
                  <c:v>6000</c:v>
                </c:pt>
                <c:pt idx="225">
                  <c:v>6000</c:v>
                </c:pt>
                <c:pt idx="226">
                  <c:v>6000</c:v>
                </c:pt>
                <c:pt idx="227">
                  <c:v>6000</c:v>
                </c:pt>
                <c:pt idx="228">
                  <c:v>6000</c:v>
                </c:pt>
                <c:pt idx="229">
                  <c:v>6000</c:v>
                </c:pt>
                <c:pt idx="230">
                  <c:v>6000</c:v>
                </c:pt>
                <c:pt idx="231">
                  <c:v>6000</c:v>
                </c:pt>
                <c:pt idx="232">
                  <c:v>6000</c:v>
                </c:pt>
                <c:pt idx="233">
                  <c:v>6000</c:v>
                </c:pt>
                <c:pt idx="234">
                  <c:v>6000</c:v>
                </c:pt>
                <c:pt idx="235">
                  <c:v>6000</c:v>
                </c:pt>
                <c:pt idx="236">
                  <c:v>6000</c:v>
                </c:pt>
                <c:pt idx="237">
                  <c:v>6000</c:v>
                </c:pt>
                <c:pt idx="238">
                  <c:v>6000</c:v>
                </c:pt>
                <c:pt idx="239">
                  <c:v>6000</c:v>
                </c:pt>
                <c:pt idx="240">
                  <c:v>6000</c:v>
                </c:pt>
                <c:pt idx="241">
                  <c:v>6000</c:v>
                </c:pt>
                <c:pt idx="242">
                  <c:v>6000</c:v>
                </c:pt>
                <c:pt idx="243">
                  <c:v>6000</c:v>
                </c:pt>
                <c:pt idx="244">
                  <c:v>6000</c:v>
                </c:pt>
                <c:pt idx="245">
                  <c:v>6000</c:v>
                </c:pt>
                <c:pt idx="246">
                  <c:v>6000</c:v>
                </c:pt>
                <c:pt idx="247">
                  <c:v>6000</c:v>
                </c:pt>
                <c:pt idx="248">
                  <c:v>6000</c:v>
                </c:pt>
                <c:pt idx="249">
                  <c:v>6000</c:v>
                </c:pt>
                <c:pt idx="250">
                  <c:v>6000</c:v>
                </c:pt>
                <c:pt idx="251">
                  <c:v>6000</c:v>
                </c:pt>
                <c:pt idx="252">
                  <c:v>6000</c:v>
                </c:pt>
                <c:pt idx="253">
                  <c:v>6000</c:v>
                </c:pt>
                <c:pt idx="254">
                  <c:v>6000</c:v>
                </c:pt>
                <c:pt idx="255">
                  <c:v>6000</c:v>
                </c:pt>
                <c:pt idx="256">
                  <c:v>6000</c:v>
                </c:pt>
                <c:pt idx="257">
                  <c:v>6000</c:v>
                </c:pt>
                <c:pt idx="258">
                  <c:v>6000</c:v>
                </c:pt>
                <c:pt idx="259">
                  <c:v>6000</c:v>
                </c:pt>
                <c:pt idx="260">
                  <c:v>6000</c:v>
                </c:pt>
                <c:pt idx="261">
                  <c:v>6000</c:v>
                </c:pt>
                <c:pt idx="262">
                  <c:v>6000</c:v>
                </c:pt>
                <c:pt idx="263">
                  <c:v>6000</c:v>
                </c:pt>
                <c:pt idx="264">
                  <c:v>6000</c:v>
                </c:pt>
                <c:pt idx="265">
                  <c:v>6000</c:v>
                </c:pt>
                <c:pt idx="266">
                  <c:v>6000</c:v>
                </c:pt>
                <c:pt idx="267">
                  <c:v>6000</c:v>
                </c:pt>
                <c:pt idx="268">
                  <c:v>6000</c:v>
                </c:pt>
                <c:pt idx="269">
                  <c:v>6000</c:v>
                </c:pt>
                <c:pt idx="270">
                  <c:v>6000</c:v>
                </c:pt>
                <c:pt idx="271">
                  <c:v>6000</c:v>
                </c:pt>
                <c:pt idx="272">
                  <c:v>6000</c:v>
                </c:pt>
                <c:pt idx="273">
                  <c:v>6000</c:v>
                </c:pt>
                <c:pt idx="274">
                  <c:v>6000</c:v>
                </c:pt>
                <c:pt idx="275">
                  <c:v>6000</c:v>
                </c:pt>
                <c:pt idx="276">
                  <c:v>6000</c:v>
                </c:pt>
                <c:pt idx="277">
                  <c:v>6000</c:v>
                </c:pt>
                <c:pt idx="278">
                  <c:v>6000</c:v>
                </c:pt>
                <c:pt idx="279">
                  <c:v>6000</c:v>
                </c:pt>
                <c:pt idx="280">
                  <c:v>5836.7203439566783</c:v>
                </c:pt>
                <c:pt idx="281">
                  <c:v>6000</c:v>
                </c:pt>
                <c:pt idx="282">
                  <c:v>5836.7203439566783</c:v>
                </c:pt>
                <c:pt idx="283">
                  <c:v>5673.4406879133567</c:v>
                </c:pt>
                <c:pt idx="284">
                  <c:v>5510.161031870035</c:v>
                </c:pt>
                <c:pt idx="285">
                  <c:v>6000</c:v>
                </c:pt>
                <c:pt idx="286">
                  <c:v>6000</c:v>
                </c:pt>
                <c:pt idx="287">
                  <c:v>6000</c:v>
                </c:pt>
                <c:pt idx="288">
                  <c:v>6000</c:v>
                </c:pt>
                <c:pt idx="289">
                  <c:v>5899.091849280032</c:v>
                </c:pt>
                <c:pt idx="290">
                  <c:v>6000</c:v>
                </c:pt>
                <c:pt idx="291">
                  <c:v>5836.7203439566783</c:v>
                </c:pt>
                <c:pt idx="292">
                  <c:v>6000</c:v>
                </c:pt>
                <c:pt idx="293">
                  <c:v>6000</c:v>
                </c:pt>
                <c:pt idx="294">
                  <c:v>6000</c:v>
                </c:pt>
                <c:pt idx="295">
                  <c:v>6000</c:v>
                </c:pt>
                <c:pt idx="296">
                  <c:v>6000</c:v>
                </c:pt>
                <c:pt idx="297">
                  <c:v>6000</c:v>
                </c:pt>
                <c:pt idx="298">
                  <c:v>6000</c:v>
                </c:pt>
                <c:pt idx="299">
                  <c:v>6000</c:v>
                </c:pt>
                <c:pt idx="300">
                  <c:v>6000</c:v>
                </c:pt>
                <c:pt idx="301">
                  <c:v>5836.7203439566783</c:v>
                </c:pt>
                <c:pt idx="302">
                  <c:v>5673.4406879133567</c:v>
                </c:pt>
                <c:pt idx="303">
                  <c:v>5510.161031870035</c:v>
                </c:pt>
                <c:pt idx="304">
                  <c:v>5346.8813758267133</c:v>
                </c:pt>
                <c:pt idx="305">
                  <c:v>6000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5288.3683439566785</c:v>
                </c:pt>
                <c:pt idx="311">
                  <c:v>6000</c:v>
                </c:pt>
                <c:pt idx="312">
                  <c:v>6000</c:v>
                </c:pt>
                <c:pt idx="313">
                  <c:v>6000</c:v>
                </c:pt>
                <c:pt idx="314">
                  <c:v>5288.3683439566785</c:v>
                </c:pt>
                <c:pt idx="315">
                  <c:v>4576.7366879133569</c:v>
                </c:pt>
                <c:pt idx="316">
                  <c:v>3865.1050318700354</c:v>
                </c:pt>
                <c:pt idx="317">
                  <c:v>3451.0988614859239</c:v>
                </c:pt>
                <c:pt idx="318">
                  <c:v>4705.8159050463019</c:v>
                </c:pt>
                <c:pt idx="319">
                  <c:v>4861.0110320809963</c:v>
                </c:pt>
                <c:pt idx="320">
                  <c:v>4149.3793760376748</c:v>
                </c:pt>
                <c:pt idx="321">
                  <c:v>4279.2798943571197</c:v>
                </c:pt>
                <c:pt idx="322">
                  <c:v>6000</c:v>
                </c:pt>
                <c:pt idx="323">
                  <c:v>6000</c:v>
                </c:pt>
                <c:pt idx="324">
                  <c:v>6000</c:v>
                </c:pt>
                <c:pt idx="325">
                  <c:v>6000</c:v>
                </c:pt>
                <c:pt idx="326">
                  <c:v>6000</c:v>
                </c:pt>
                <c:pt idx="327">
                  <c:v>6000</c:v>
                </c:pt>
                <c:pt idx="328">
                  <c:v>6000</c:v>
                </c:pt>
                <c:pt idx="329">
                  <c:v>6000</c:v>
                </c:pt>
                <c:pt idx="330">
                  <c:v>6000</c:v>
                </c:pt>
                <c:pt idx="331">
                  <c:v>6000</c:v>
                </c:pt>
                <c:pt idx="332">
                  <c:v>6000</c:v>
                </c:pt>
                <c:pt idx="333">
                  <c:v>6000</c:v>
                </c:pt>
                <c:pt idx="334">
                  <c:v>5448.0809173413663</c:v>
                </c:pt>
                <c:pt idx="335">
                  <c:v>4501.441261298045</c:v>
                </c:pt>
                <c:pt idx="336">
                  <c:v>3554.8016052547232</c:v>
                </c:pt>
                <c:pt idx="337">
                  <c:v>2608.1619492114014</c:v>
                </c:pt>
                <c:pt idx="338">
                  <c:v>1661.5222931680796</c:v>
                </c:pt>
                <c:pt idx="339">
                  <c:v>714.88263712475782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82.810340645114593</c:v>
                </c:pt>
                <c:pt idx="344">
                  <c:v>0</c:v>
                </c:pt>
                <c:pt idx="345">
                  <c:v>304.23461339986443</c:v>
                </c:pt>
                <c:pt idx="346">
                  <c:v>0</c:v>
                </c:pt>
                <c:pt idx="347">
                  <c:v>1625.0880000000002</c:v>
                </c:pt>
                <c:pt idx="348">
                  <c:v>2120.7834092369067</c:v>
                </c:pt>
                <c:pt idx="349">
                  <c:v>2497.2868032079332</c:v>
                </c:pt>
                <c:pt idx="350">
                  <c:v>3036.3187608090648</c:v>
                </c:pt>
                <c:pt idx="351">
                  <c:v>2089.679104765743</c:v>
                </c:pt>
                <c:pt idx="352">
                  <c:v>1143.0394487224212</c:v>
                </c:pt>
                <c:pt idx="353">
                  <c:v>196.39979267909939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1625.0880000000002</c:v>
                </c:pt>
                <c:pt idx="359">
                  <c:v>3250.1760000000004</c:v>
                </c:pt>
                <c:pt idx="360">
                  <c:v>2303.5363439566786</c:v>
                </c:pt>
                <c:pt idx="361">
                  <c:v>2987.4881323151549</c:v>
                </c:pt>
                <c:pt idx="362">
                  <c:v>4243.3035522321225</c:v>
                </c:pt>
                <c:pt idx="363">
                  <c:v>5868.3915522321222</c:v>
                </c:pt>
                <c:pt idx="364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0-4DEC-86A4-EB8B9ADC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30319"/>
        <c:axId val="973232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'Solar Panel'!$H$19:$H$20</c15:sqref>
                        </c15:formulaRef>
                      </c:ext>
                    </c:extLst>
                    <c:strCache>
                      <c:ptCount val="2"/>
                      <c:pt idx="0">
                        <c:v>E_Out</c:v>
                      </c:pt>
                      <c:pt idx="1">
                        <c:v>[J]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'Solar Panel'!$H$21:$H$385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10361048.341557788</c:v>
                      </c:pt>
                      <c:pt idx="1">
                        <c:v>6198442.0076354574</c:v>
                      </c:pt>
                      <c:pt idx="2">
                        <c:v>12257989.588171121</c:v>
                      </c:pt>
                      <c:pt idx="3">
                        <c:v>12714219.561755959</c:v>
                      </c:pt>
                      <c:pt idx="4">
                        <c:v>12714219.561755959</c:v>
                      </c:pt>
                      <c:pt idx="5">
                        <c:v>7813618.2510619583</c:v>
                      </c:pt>
                      <c:pt idx="6">
                        <c:v>3456000</c:v>
                      </c:pt>
                      <c:pt idx="7">
                        <c:v>3456000</c:v>
                      </c:pt>
                      <c:pt idx="8">
                        <c:v>5936504.960119551</c:v>
                      </c:pt>
                      <c:pt idx="9">
                        <c:v>3456000</c:v>
                      </c:pt>
                      <c:pt idx="10">
                        <c:v>3456000</c:v>
                      </c:pt>
                      <c:pt idx="11">
                        <c:v>3456000</c:v>
                      </c:pt>
                      <c:pt idx="12">
                        <c:v>3456000</c:v>
                      </c:pt>
                      <c:pt idx="13">
                        <c:v>5271937.5421474604</c:v>
                      </c:pt>
                      <c:pt idx="14">
                        <c:v>12714219.561755959</c:v>
                      </c:pt>
                      <c:pt idx="15">
                        <c:v>9593643.1426751018</c:v>
                      </c:pt>
                      <c:pt idx="16">
                        <c:v>12714219.561755959</c:v>
                      </c:pt>
                      <c:pt idx="17">
                        <c:v>12714219.561755959</c:v>
                      </c:pt>
                      <c:pt idx="18">
                        <c:v>7670812.1990579087</c:v>
                      </c:pt>
                      <c:pt idx="19">
                        <c:v>5271937.5421474604</c:v>
                      </c:pt>
                      <c:pt idx="20">
                        <c:v>12714219.561755959</c:v>
                      </c:pt>
                      <c:pt idx="21">
                        <c:v>12432454.353813339</c:v>
                      </c:pt>
                      <c:pt idx="22">
                        <c:v>12714219.561755959</c:v>
                      </c:pt>
                      <c:pt idx="23">
                        <c:v>12714219.561755959</c:v>
                      </c:pt>
                      <c:pt idx="24">
                        <c:v>7028411.3949824264</c:v>
                      </c:pt>
                      <c:pt idx="25">
                        <c:v>7813618.2510619583</c:v>
                      </c:pt>
                      <c:pt idx="26">
                        <c:v>7813618.2510619583</c:v>
                      </c:pt>
                      <c:pt idx="27">
                        <c:v>3456000</c:v>
                      </c:pt>
                      <c:pt idx="28">
                        <c:v>3456000</c:v>
                      </c:pt>
                      <c:pt idx="29">
                        <c:v>5635364.2431826424</c:v>
                      </c:pt>
                      <c:pt idx="30">
                        <c:v>9500888.9292397294</c:v>
                      </c:pt>
                      <c:pt idx="31">
                        <c:v>10439971.976567971</c:v>
                      </c:pt>
                      <c:pt idx="32">
                        <c:v>12714219.561755959</c:v>
                      </c:pt>
                      <c:pt idx="33">
                        <c:v>5635364.2431826424</c:v>
                      </c:pt>
                      <c:pt idx="34">
                        <c:v>12714219.561755959</c:v>
                      </c:pt>
                      <c:pt idx="35">
                        <c:v>12714219.561755959</c:v>
                      </c:pt>
                      <c:pt idx="36">
                        <c:v>12714219.561755959</c:v>
                      </c:pt>
                      <c:pt idx="37">
                        <c:v>12714219.561755959</c:v>
                      </c:pt>
                      <c:pt idx="38">
                        <c:v>9862072.8072969317</c:v>
                      </c:pt>
                      <c:pt idx="39">
                        <c:v>8083231.7107762471</c:v>
                      </c:pt>
                      <c:pt idx="40">
                        <c:v>4785381.2882989179</c:v>
                      </c:pt>
                      <c:pt idx="41">
                        <c:v>12714219.561755959</c:v>
                      </c:pt>
                      <c:pt idx="42">
                        <c:v>12714219.561755959</c:v>
                      </c:pt>
                      <c:pt idx="43">
                        <c:v>12714219.561755959</c:v>
                      </c:pt>
                      <c:pt idx="44">
                        <c:v>4785381.2882989179</c:v>
                      </c:pt>
                      <c:pt idx="45">
                        <c:v>3456000</c:v>
                      </c:pt>
                      <c:pt idx="46">
                        <c:v>3456000</c:v>
                      </c:pt>
                      <c:pt idx="47">
                        <c:v>3456000</c:v>
                      </c:pt>
                      <c:pt idx="48">
                        <c:v>8571429.8311990388</c:v>
                      </c:pt>
                      <c:pt idx="49">
                        <c:v>11512683.774139766</c:v>
                      </c:pt>
                      <c:pt idx="50">
                        <c:v>5271937.5421474604</c:v>
                      </c:pt>
                      <c:pt idx="51">
                        <c:v>3456000</c:v>
                      </c:pt>
                      <c:pt idx="52">
                        <c:v>3456000</c:v>
                      </c:pt>
                      <c:pt idx="53">
                        <c:v>3456000</c:v>
                      </c:pt>
                      <c:pt idx="54">
                        <c:v>4785381.2882989179</c:v>
                      </c:pt>
                      <c:pt idx="55">
                        <c:v>8903029.0582783073</c:v>
                      </c:pt>
                      <c:pt idx="56">
                        <c:v>10745211.681043191</c:v>
                      </c:pt>
                      <c:pt idx="57">
                        <c:v>5271937.5421474604</c:v>
                      </c:pt>
                      <c:pt idx="58">
                        <c:v>3456000</c:v>
                      </c:pt>
                      <c:pt idx="59">
                        <c:v>6432849.3731696447</c:v>
                      </c:pt>
                      <c:pt idx="60">
                        <c:v>3456000</c:v>
                      </c:pt>
                      <c:pt idx="61">
                        <c:v>3456000</c:v>
                      </c:pt>
                      <c:pt idx="62">
                        <c:v>5271937.5421474604</c:v>
                      </c:pt>
                      <c:pt idx="63">
                        <c:v>7028411.3949824264</c:v>
                      </c:pt>
                      <c:pt idx="64">
                        <c:v>5936504.960119551</c:v>
                      </c:pt>
                      <c:pt idx="65">
                        <c:v>3456000</c:v>
                      </c:pt>
                      <c:pt idx="66">
                        <c:v>5271937.5421474604</c:v>
                      </c:pt>
                      <c:pt idx="67">
                        <c:v>5271937.5421474604</c:v>
                      </c:pt>
                      <c:pt idx="68">
                        <c:v>7813618.2510619583</c:v>
                      </c:pt>
                      <c:pt idx="69">
                        <c:v>12316618.535820922</c:v>
                      </c:pt>
                      <c:pt idx="70">
                        <c:v>10670393.417116597</c:v>
                      </c:pt>
                      <c:pt idx="71">
                        <c:v>12714219.561755959</c:v>
                      </c:pt>
                      <c:pt idx="72">
                        <c:v>5635364.2431826424</c:v>
                      </c:pt>
                      <c:pt idx="73">
                        <c:v>3456000</c:v>
                      </c:pt>
                      <c:pt idx="74">
                        <c:v>3456000</c:v>
                      </c:pt>
                      <c:pt idx="75">
                        <c:v>3456000</c:v>
                      </c:pt>
                      <c:pt idx="76">
                        <c:v>12714219.561755959</c:v>
                      </c:pt>
                      <c:pt idx="77">
                        <c:v>12714219.561755959</c:v>
                      </c:pt>
                      <c:pt idx="78">
                        <c:v>12714219.561755959</c:v>
                      </c:pt>
                      <c:pt idx="79">
                        <c:v>3456000</c:v>
                      </c:pt>
                      <c:pt idx="80">
                        <c:v>10033591.557861375</c:v>
                      </c:pt>
                      <c:pt idx="81">
                        <c:v>11035434.067640014</c:v>
                      </c:pt>
                      <c:pt idx="82">
                        <c:v>12714219.561755959</c:v>
                      </c:pt>
                      <c:pt idx="83">
                        <c:v>12714219.561755959</c:v>
                      </c:pt>
                      <c:pt idx="84">
                        <c:v>12714219.561755959</c:v>
                      </c:pt>
                      <c:pt idx="85">
                        <c:v>12714219.561755959</c:v>
                      </c:pt>
                      <c:pt idx="86">
                        <c:v>12714219.561755959</c:v>
                      </c:pt>
                      <c:pt idx="87">
                        <c:v>11175521.948823795</c:v>
                      </c:pt>
                      <c:pt idx="88">
                        <c:v>12714219.561755959</c:v>
                      </c:pt>
                      <c:pt idx="89">
                        <c:v>11706860.146496685</c:v>
                      </c:pt>
                      <c:pt idx="90">
                        <c:v>3456000</c:v>
                      </c:pt>
                      <c:pt idx="91">
                        <c:v>12714219.561755959</c:v>
                      </c:pt>
                      <c:pt idx="92">
                        <c:v>10819093.756604306</c:v>
                      </c:pt>
                      <c:pt idx="93">
                        <c:v>10594605.066631939</c:v>
                      </c:pt>
                      <c:pt idx="94">
                        <c:v>5635364.2431826424</c:v>
                      </c:pt>
                      <c:pt idx="95">
                        <c:v>3456000</c:v>
                      </c:pt>
                      <c:pt idx="96">
                        <c:v>3456000</c:v>
                      </c:pt>
                      <c:pt idx="97">
                        <c:v>3456000</c:v>
                      </c:pt>
                      <c:pt idx="98">
                        <c:v>8083231.7107762471</c:v>
                      </c:pt>
                      <c:pt idx="99">
                        <c:v>12714219.561755959</c:v>
                      </c:pt>
                      <c:pt idx="100">
                        <c:v>10892071.633195836</c:v>
                      </c:pt>
                      <c:pt idx="101">
                        <c:v>12714219.561755959</c:v>
                      </c:pt>
                      <c:pt idx="102">
                        <c:v>12714219.561755959</c:v>
                      </c:pt>
                      <c:pt idx="103">
                        <c:v>6747153.481057724</c:v>
                      </c:pt>
                      <c:pt idx="104">
                        <c:v>12714219.561755959</c:v>
                      </c:pt>
                      <c:pt idx="105">
                        <c:v>7950904.5817043055</c:v>
                      </c:pt>
                      <c:pt idx="106">
                        <c:v>3456000</c:v>
                      </c:pt>
                      <c:pt idx="107">
                        <c:v>3456000</c:v>
                      </c:pt>
                      <c:pt idx="108">
                        <c:v>3456000</c:v>
                      </c:pt>
                      <c:pt idx="109">
                        <c:v>6318582.9774320107</c:v>
                      </c:pt>
                      <c:pt idx="110">
                        <c:v>5271937.5421474604</c:v>
                      </c:pt>
                      <c:pt idx="111">
                        <c:v>10517810.660180405</c:v>
                      </c:pt>
                      <c:pt idx="112">
                        <c:v>10594605.066631939</c:v>
                      </c:pt>
                      <c:pt idx="113">
                        <c:v>7028411.3949824264</c:v>
                      </c:pt>
                      <c:pt idx="114">
                        <c:v>3456000</c:v>
                      </c:pt>
                      <c:pt idx="115">
                        <c:v>8684837.6852740273</c:v>
                      </c:pt>
                      <c:pt idx="116">
                        <c:v>12714219.561755959</c:v>
                      </c:pt>
                      <c:pt idx="117">
                        <c:v>12714219.561755959</c:v>
                      </c:pt>
                      <c:pt idx="118">
                        <c:v>12714219.561755959</c:v>
                      </c:pt>
                      <c:pt idx="119">
                        <c:v>9008199.5736775883</c:v>
                      </c:pt>
                      <c:pt idx="120">
                        <c:v>5936504.960119551</c:v>
                      </c:pt>
                      <c:pt idx="121">
                        <c:v>3456000</c:v>
                      </c:pt>
                      <c:pt idx="122">
                        <c:v>3456000</c:v>
                      </c:pt>
                      <c:pt idx="123">
                        <c:v>12714219.561755959</c:v>
                      </c:pt>
                      <c:pt idx="124">
                        <c:v>5271937.5421474604</c:v>
                      </c:pt>
                      <c:pt idx="125">
                        <c:v>3456000</c:v>
                      </c:pt>
                      <c:pt idx="126">
                        <c:v>3456000</c:v>
                      </c:pt>
                      <c:pt idx="127">
                        <c:v>3456000</c:v>
                      </c:pt>
                      <c:pt idx="128">
                        <c:v>3456000</c:v>
                      </c:pt>
                      <c:pt idx="129">
                        <c:v>5271937.5421474604</c:v>
                      </c:pt>
                      <c:pt idx="130">
                        <c:v>3456000</c:v>
                      </c:pt>
                      <c:pt idx="131">
                        <c:v>3456000</c:v>
                      </c:pt>
                      <c:pt idx="132">
                        <c:v>3456000</c:v>
                      </c:pt>
                      <c:pt idx="133">
                        <c:v>3456000</c:v>
                      </c:pt>
                      <c:pt idx="134">
                        <c:v>3456000</c:v>
                      </c:pt>
                      <c:pt idx="135">
                        <c:v>4785381.2882989179</c:v>
                      </c:pt>
                      <c:pt idx="136">
                        <c:v>3456000</c:v>
                      </c:pt>
                      <c:pt idx="137">
                        <c:v>3456000</c:v>
                      </c:pt>
                      <c:pt idx="138">
                        <c:v>3456000</c:v>
                      </c:pt>
                      <c:pt idx="139">
                        <c:v>3456000</c:v>
                      </c:pt>
                      <c:pt idx="140">
                        <c:v>3456000</c:v>
                      </c:pt>
                      <c:pt idx="141">
                        <c:v>4785381.2882989179</c:v>
                      </c:pt>
                      <c:pt idx="142">
                        <c:v>4785381.2882989179</c:v>
                      </c:pt>
                      <c:pt idx="143">
                        <c:v>3456000</c:v>
                      </c:pt>
                      <c:pt idx="144">
                        <c:v>3456000</c:v>
                      </c:pt>
                      <c:pt idx="145">
                        <c:v>3456000</c:v>
                      </c:pt>
                      <c:pt idx="146">
                        <c:v>3456000</c:v>
                      </c:pt>
                      <c:pt idx="147">
                        <c:v>3456000</c:v>
                      </c:pt>
                      <c:pt idx="148">
                        <c:v>3456000</c:v>
                      </c:pt>
                      <c:pt idx="149">
                        <c:v>3456000</c:v>
                      </c:pt>
                      <c:pt idx="150">
                        <c:v>3456000</c:v>
                      </c:pt>
                      <c:pt idx="151">
                        <c:v>10199769.878575165</c:v>
                      </c:pt>
                      <c:pt idx="152">
                        <c:v>7813618.2510619583</c:v>
                      </c:pt>
                      <c:pt idx="153">
                        <c:v>3456000</c:v>
                      </c:pt>
                      <c:pt idx="154">
                        <c:v>3456000</c:v>
                      </c:pt>
                      <c:pt idx="155">
                        <c:v>3456000</c:v>
                      </c:pt>
                      <c:pt idx="156">
                        <c:v>3456000</c:v>
                      </c:pt>
                      <c:pt idx="157">
                        <c:v>3456000</c:v>
                      </c:pt>
                      <c:pt idx="158">
                        <c:v>3456000</c:v>
                      </c:pt>
                      <c:pt idx="159">
                        <c:v>3456000</c:v>
                      </c:pt>
                      <c:pt idx="160">
                        <c:v>3456000</c:v>
                      </c:pt>
                      <c:pt idx="161">
                        <c:v>3456000</c:v>
                      </c:pt>
                      <c:pt idx="162">
                        <c:v>3456000</c:v>
                      </c:pt>
                      <c:pt idx="163">
                        <c:v>3456000</c:v>
                      </c:pt>
                      <c:pt idx="164">
                        <c:v>3456000</c:v>
                      </c:pt>
                      <c:pt idx="165">
                        <c:v>3456000</c:v>
                      </c:pt>
                      <c:pt idx="166">
                        <c:v>3456000</c:v>
                      </c:pt>
                      <c:pt idx="167">
                        <c:v>3456000</c:v>
                      </c:pt>
                      <c:pt idx="168">
                        <c:v>10033591.557861375</c:v>
                      </c:pt>
                      <c:pt idx="169">
                        <c:v>3456000</c:v>
                      </c:pt>
                      <c:pt idx="170">
                        <c:v>3456000</c:v>
                      </c:pt>
                      <c:pt idx="171">
                        <c:v>3456000</c:v>
                      </c:pt>
                      <c:pt idx="172">
                        <c:v>3456000</c:v>
                      </c:pt>
                      <c:pt idx="173">
                        <c:v>6646588.2544741053</c:v>
                      </c:pt>
                      <c:pt idx="174">
                        <c:v>12257989.588171121</c:v>
                      </c:pt>
                      <c:pt idx="175">
                        <c:v>8571429.8311990388</c:v>
                      </c:pt>
                      <c:pt idx="176">
                        <c:v>3456000</c:v>
                      </c:pt>
                      <c:pt idx="177">
                        <c:v>3456000</c:v>
                      </c:pt>
                      <c:pt idx="178">
                        <c:v>3456000</c:v>
                      </c:pt>
                      <c:pt idx="179">
                        <c:v>3456000</c:v>
                      </c:pt>
                      <c:pt idx="180">
                        <c:v>3456000</c:v>
                      </c:pt>
                      <c:pt idx="181">
                        <c:v>3456000</c:v>
                      </c:pt>
                      <c:pt idx="182">
                        <c:v>3456000</c:v>
                      </c:pt>
                      <c:pt idx="183">
                        <c:v>3456000</c:v>
                      </c:pt>
                      <c:pt idx="184">
                        <c:v>3456000</c:v>
                      </c:pt>
                      <c:pt idx="185">
                        <c:v>3456000</c:v>
                      </c:pt>
                      <c:pt idx="186">
                        <c:v>3456000</c:v>
                      </c:pt>
                      <c:pt idx="187">
                        <c:v>4785381.2882989179</c:v>
                      </c:pt>
                      <c:pt idx="188">
                        <c:v>3456000</c:v>
                      </c:pt>
                      <c:pt idx="189">
                        <c:v>6198442.0076354574</c:v>
                      </c:pt>
                      <c:pt idx="190">
                        <c:v>6432849.3731696447</c:v>
                      </c:pt>
                      <c:pt idx="191">
                        <c:v>7521813.3267471371</c:v>
                      </c:pt>
                      <c:pt idx="192">
                        <c:v>8571429.8311990388</c:v>
                      </c:pt>
                      <c:pt idx="193">
                        <c:v>3456000</c:v>
                      </c:pt>
                      <c:pt idx="194">
                        <c:v>3456000</c:v>
                      </c:pt>
                      <c:pt idx="195">
                        <c:v>3456000</c:v>
                      </c:pt>
                      <c:pt idx="196">
                        <c:v>3456000</c:v>
                      </c:pt>
                      <c:pt idx="197">
                        <c:v>3456000</c:v>
                      </c:pt>
                      <c:pt idx="198">
                        <c:v>3456000</c:v>
                      </c:pt>
                      <c:pt idx="199">
                        <c:v>3456000</c:v>
                      </c:pt>
                      <c:pt idx="200">
                        <c:v>5635364.2431826424</c:v>
                      </c:pt>
                      <c:pt idx="201">
                        <c:v>3456000</c:v>
                      </c:pt>
                      <c:pt idx="202">
                        <c:v>3456000</c:v>
                      </c:pt>
                      <c:pt idx="203">
                        <c:v>10594605.066631939</c:v>
                      </c:pt>
                      <c:pt idx="204">
                        <c:v>8571429.8311990388</c:v>
                      </c:pt>
                      <c:pt idx="205">
                        <c:v>8684837.6852740273</c:v>
                      </c:pt>
                      <c:pt idx="206">
                        <c:v>3456000</c:v>
                      </c:pt>
                      <c:pt idx="207">
                        <c:v>3456000</c:v>
                      </c:pt>
                      <c:pt idx="208">
                        <c:v>3456000</c:v>
                      </c:pt>
                      <c:pt idx="209">
                        <c:v>3456000</c:v>
                      </c:pt>
                      <c:pt idx="210">
                        <c:v>3456000</c:v>
                      </c:pt>
                      <c:pt idx="211">
                        <c:v>3456000</c:v>
                      </c:pt>
                      <c:pt idx="212">
                        <c:v>3456000</c:v>
                      </c:pt>
                      <c:pt idx="213">
                        <c:v>3456000</c:v>
                      </c:pt>
                      <c:pt idx="214">
                        <c:v>3456000</c:v>
                      </c:pt>
                      <c:pt idx="215">
                        <c:v>3456000</c:v>
                      </c:pt>
                      <c:pt idx="216">
                        <c:v>3456000</c:v>
                      </c:pt>
                      <c:pt idx="217">
                        <c:v>8083231.7107762471</c:v>
                      </c:pt>
                      <c:pt idx="218">
                        <c:v>12602806.99281846</c:v>
                      </c:pt>
                      <c:pt idx="219">
                        <c:v>12714219.561755959</c:v>
                      </c:pt>
                      <c:pt idx="220">
                        <c:v>7028411.3949824264</c:v>
                      </c:pt>
                      <c:pt idx="221">
                        <c:v>3456000</c:v>
                      </c:pt>
                      <c:pt idx="222">
                        <c:v>3456000</c:v>
                      </c:pt>
                      <c:pt idx="223">
                        <c:v>3456000</c:v>
                      </c:pt>
                      <c:pt idx="224">
                        <c:v>3456000</c:v>
                      </c:pt>
                      <c:pt idx="225">
                        <c:v>3456000</c:v>
                      </c:pt>
                      <c:pt idx="226">
                        <c:v>3456000</c:v>
                      </c:pt>
                      <c:pt idx="227">
                        <c:v>3456000</c:v>
                      </c:pt>
                      <c:pt idx="228">
                        <c:v>3456000</c:v>
                      </c:pt>
                      <c:pt idx="229">
                        <c:v>3456000</c:v>
                      </c:pt>
                      <c:pt idx="230">
                        <c:v>3456000</c:v>
                      </c:pt>
                      <c:pt idx="231">
                        <c:v>3456000</c:v>
                      </c:pt>
                      <c:pt idx="232">
                        <c:v>3456000</c:v>
                      </c:pt>
                      <c:pt idx="233">
                        <c:v>3456000</c:v>
                      </c:pt>
                      <c:pt idx="234">
                        <c:v>3456000</c:v>
                      </c:pt>
                      <c:pt idx="235">
                        <c:v>3456000</c:v>
                      </c:pt>
                      <c:pt idx="236">
                        <c:v>3456000</c:v>
                      </c:pt>
                      <c:pt idx="237">
                        <c:v>3456000</c:v>
                      </c:pt>
                      <c:pt idx="238">
                        <c:v>7813618.2510619583</c:v>
                      </c:pt>
                      <c:pt idx="239">
                        <c:v>11312535.740921643</c:v>
                      </c:pt>
                      <c:pt idx="240">
                        <c:v>12714219.561755959</c:v>
                      </c:pt>
                      <c:pt idx="241">
                        <c:v>12714219.561755959</c:v>
                      </c:pt>
                      <c:pt idx="242">
                        <c:v>9593643.1426751018</c:v>
                      </c:pt>
                      <c:pt idx="243">
                        <c:v>12714219.561755959</c:v>
                      </c:pt>
                      <c:pt idx="244">
                        <c:v>5936504.960119551</c:v>
                      </c:pt>
                      <c:pt idx="245">
                        <c:v>7521813.3267471371</c:v>
                      </c:pt>
                      <c:pt idx="246">
                        <c:v>3456000</c:v>
                      </c:pt>
                      <c:pt idx="247">
                        <c:v>6844090.3619094864</c:v>
                      </c:pt>
                      <c:pt idx="248">
                        <c:v>3456000</c:v>
                      </c:pt>
                      <c:pt idx="249">
                        <c:v>12714219.561755959</c:v>
                      </c:pt>
                      <c:pt idx="250">
                        <c:v>12139254.297571084</c:v>
                      </c:pt>
                      <c:pt idx="251">
                        <c:v>6646588.2544741053</c:v>
                      </c:pt>
                      <c:pt idx="252">
                        <c:v>3456000</c:v>
                      </c:pt>
                      <c:pt idx="253">
                        <c:v>3456000</c:v>
                      </c:pt>
                      <c:pt idx="254">
                        <c:v>3456000</c:v>
                      </c:pt>
                      <c:pt idx="255">
                        <c:v>3456000</c:v>
                      </c:pt>
                      <c:pt idx="256">
                        <c:v>3456000</c:v>
                      </c:pt>
                      <c:pt idx="257">
                        <c:v>7201762.0281428508</c:v>
                      </c:pt>
                      <c:pt idx="258">
                        <c:v>8571429.8311990388</c:v>
                      </c:pt>
                      <c:pt idx="259">
                        <c:v>7813618.2510619583</c:v>
                      </c:pt>
                      <c:pt idx="260">
                        <c:v>12714219.561755959</c:v>
                      </c:pt>
                      <c:pt idx="261">
                        <c:v>12714219.561755959</c:v>
                      </c:pt>
                      <c:pt idx="262">
                        <c:v>6646588.2544741053</c:v>
                      </c:pt>
                      <c:pt idx="263">
                        <c:v>8684837.6852740273</c:v>
                      </c:pt>
                      <c:pt idx="264">
                        <c:v>12714219.561755959</c:v>
                      </c:pt>
                      <c:pt idx="265">
                        <c:v>12714219.561755959</c:v>
                      </c:pt>
                      <c:pt idx="266">
                        <c:v>11770341.799126606</c:v>
                      </c:pt>
                      <c:pt idx="267">
                        <c:v>6844090.3619094864</c:v>
                      </c:pt>
                      <c:pt idx="268">
                        <c:v>3456000</c:v>
                      </c:pt>
                      <c:pt idx="269">
                        <c:v>3456000</c:v>
                      </c:pt>
                      <c:pt idx="270">
                        <c:v>3456000</c:v>
                      </c:pt>
                      <c:pt idx="271">
                        <c:v>3456000</c:v>
                      </c:pt>
                      <c:pt idx="272">
                        <c:v>3456000</c:v>
                      </c:pt>
                      <c:pt idx="273">
                        <c:v>3456000</c:v>
                      </c:pt>
                      <c:pt idx="274">
                        <c:v>3456000</c:v>
                      </c:pt>
                      <c:pt idx="275">
                        <c:v>3456000</c:v>
                      </c:pt>
                      <c:pt idx="276">
                        <c:v>3456000</c:v>
                      </c:pt>
                      <c:pt idx="277">
                        <c:v>3456000</c:v>
                      </c:pt>
                      <c:pt idx="278">
                        <c:v>8571429.8311990388</c:v>
                      </c:pt>
                      <c:pt idx="279">
                        <c:v>12714219.561755959</c:v>
                      </c:pt>
                      <c:pt idx="280">
                        <c:v>10892071.633195836</c:v>
                      </c:pt>
                      <c:pt idx="281">
                        <c:v>12714219.561755959</c:v>
                      </c:pt>
                      <c:pt idx="282">
                        <c:v>12714219.561755959</c:v>
                      </c:pt>
                      <c:pt idx="283">
                        <c:v>12714219.561755959</c:v>
                      </c:pt>
                      <c:pt idx="284">
                        <c:v>5936504.960119551</c:v>
                      </c:pt>
                      <c:pt idx="285">
                        <c:v>5635364.2431826424</c:v>
                      </c:pt>
                      <c:pt idx="286">
                        <c:v>3456000</c:v>
                      </c:pt>
                      <c:pt idx="287">
                        <c:v>3456000</c:v>
                      </c:pt>
                      <c:pt idx="288">
                        <c:v>12489682.142591882</c:v>
                      </c:pt>
                      <c:pt idx="289">
                        <c:v>9774154.5488646477</c:v>
                      </c:pt>
                      <c:pt idx="290">
                        <c:v>12714219.561755959</c:v>
                      </c:pt>
                      <c:pt idx="291">
                        <c:v>5635364.2431826424</c:v>
                      </c:pt>
                      <c:pt idx="292">
                        <c:v>11244401.368992183</c:v>
                      </c:pt>
                      <c:pt idx="293">
                        <c:v>8571429.8311990388</c:v>
                      </c:pt>
                      <c:pt idx="294">
                        <c:v>11105874.309436671</c:v>
                      </c:pt>
                      <c:pt idx="295">
                        <c:v>3456000</c:v>
                      </c:pt>
                      <c:pt idx="296">
                        <c:v>9500888.9292397294</c:v>
                      </c:pt>
                      <c:pt idx="297">
                        <c:v>8571429.8311990388</c:v>
                      </c:pt>
                      <c:pt idx="298">
                        <c:v>3456000</c:v>
                      </c:pt>
                      <c:pt idx="299">
                        <c:v>9948529.8113135993</c:v>
                      </c:pt>
                      <c:pt idx="300">
                        <c:v>12714219.561755959</c:v>
                      </c:pt>
                      <c:pt idx="301">
                        <c:v>12714219.561755959</c:v>
                      </c:pt>
                      <c:pt idx="302">
                        <c:v>12714219.561755959</c:v>
                      </c:pt>
                      <c:pt idx="303">
                        <c:v>12714219.561755959</c:v>
                      </c:pt>
                      <c:pt idx="304">
                        <c:v>6432849.3731696447</c:v>
                      </c:pt>
                      <c:pt idx="305">
                        <c:v>3456000</c:v>
                      </c:pt>
                      <c:pt idx="306">
                        <c:v>3456000</c:v>
                      </c:pt>
                      <c:pt idx="307">
                        <c:v>8211072.1917604888</c:v>
                      </c:pt>
                      <c:pt idx="308">
                        <c:v>9593643.1426751018</c:v>
                      </c:pt>
                      <c:pt idx="309">
                        <c:v>12714219.561755959</c:v>
                      </c:pt>
                      <c:pt idx="310">
                        <c:v>7365801.752635926</c:v>
                      </c:pt>
                      <c:pt idx="311">
                        <c:v>6844090.3619094864</c:v>
                      </c:pt>
                      <c:pt idx="312">
                        <c:v>3456000</c:v>
                      </c:pt>
                      <c:pt idx="313">
                        <c:v>12714219.561755959</c:v>
                      </c:pt>
                      <c:pt idx="314">
                        <c:v>12714219.561755959</c:v>
                      </c:pt>
                      <c:pt idx="315">
                        <c:v>12714219.561755959</c:v>
                      </c:pt>
                      <c:pt idx="316">
                        <c:v>11642767.813382803</c:v>
                      </c:pt>
                      <c:pt idx="317">
                        <c:v>5635364.2431826424</c:v>
                      </c:pt>
                      <c:pt idx="318">
                        <c:v>9593643.1426751018</c:v>
                      </c:pt>
                      <c:pt idx="319">
                        <c:v>12714219.561755959</c:v>
                      </c:pt>
                      <c:pt idx="320">
                        <c:v>9684703.7340499982</c:v>
                      </c:pt>
                      <c:pt idx="321">
                        <c:v>3456000</c:v>
                      </c:pt>
                      <c:pt idx="322">
                        <c:v>3456000</c:v>
                      </c:pt>
                      <c:pt idx="323">
                        <c:v>3456000</c:v>
                      </c:pt>
                      <c:pt idx="324">
                        <c:v>3456000</c:v>
                      </c:pt>
                      <c:pt idx="325">
                        <c:v>3456000</c:v>
                      </c:pt>
                      <c:pt idx="326">
                        <c:v>3456000</c:v>
                      </c:pt>
                      <c:pt idx="327">
                        <c:v>3456000</c:v>
                      </c:pt>
                      <c:pt idx="328">
                        <c:v>3456000</c:v>
                      </c:pt>
                      <c:pt idx="329">
                        <c:v>3456000</c:v>
                      </c:pt>
                      <c:pt idx="330">
                        <c:v>3456000</c:v>
                      </c:pt>
                      <c:pt idx="331">
                        <c:v>3456000</c:v>
                      </c:pt>
                      <c:pt idx="332">
                        <c:v>3456000</c:v>
                      </c:pt>
                      <c:pt idx="333">
                        <c:v>12139254.297571084</c:v>
                      </c:pt>
                      <c:pt idx="334">
                        <c:v>12714219.561755959</c:v>
                      </c:pt>
                      <c:pt idx="335">
                        <c:v>12714219.561755959</c:v>
                      </c:pt>
                      <c:pt idx="336">
                        <c:v>12714219.561755959</c:v>
                      </c:pt>
                      <c:pt idx="337">
                        <c:v>12714219.561755959</c:v>
                      </c:pt>
                      <c:pt idx="338">
                        <c:v>12714219.561755959</c:v>
                      </c:pt>
                      <c:pt idx="339">
                        <c:v>12714219.561755959</c:v>
                      </c:pt>
                      <c:pt idx="340">
                        <c:v>12714219.561755959</c:v>
                      </c:pt>
                      <c:pt idx="341">
                        <c:v>12714219.561755959</c:v>
                      </c:pt>
                      <c:pt idx="342">
                        <c:v>9008199.5736775883</c:v>
                      </c:pt>
                      <c:pt idx="343">
                        <c:v>11895536.097289201</c:v>
                      </c:pt>
                      <c:pt idx="344">
                        <c:v>8211072.1917604888</c:v>
                      </c:pt>
                      <c:pt idx="345">
                        <c:v>12714219.561755959</c:v>
                      </c:pt>
                      <c:pt idx="346">
                        <c:v>3456000</c:v>
                      </c:pt>
                      <c:pt idx="347">
                        <c:v>7521813.3267471371</c:v>
                      </c:pt>
                      <c:pt idx="348">
                        <c:v>7950904.5817043055</c:v>
                      </c:pt>
                      <c:pt idx="349">
                        <c:v>7365801.752635926</c:v>
                      </c:pt>
                      <c:pt idx="350">
                        <c:v>12714219.561755959</c:v>
                      </c:pt>
                      <c:pt idx="351">
                        <c:v>12714219.561755959</c:v>
                      </c:pt>
                      <c:pt idx="352">
                        <c:v>12714219.561755959</c:v>
                      </c:pt>
                      <c:pt idx="353">
                        <c:v>12714219.561755959</c:v>
                      </c:pt>
                      <c:pt idx="354">
                        <c:v>10819093.756604306</c:v>
                      </c:pt>
                      <c:pt idx="355">
                        <c:v>12714219.561755959</c:v>
                      </c:pt>
                      <c:pt idx="356">
                        <c:v>10964175.537861586</c:v>
                      </c:pt>
                      <c:pt idx="357">
                        <c:v>3456000</c:v>
                      </c:pt>
                      <c:pt idx="358">
                        <c:v>3456000</c:v>
                      </c:pt>
                      <c:pt idx="359">
                        <c:v>12714219.561755959</c:v>
                      </c:pt>
                      <c:pt idx="360">
                        <c:v>6844090.3619094864</c:v>
                      </c:pt>
                      <c:pt idx="361">
                        <c:v>4785381.2882989179</c:v>
                      </c:pt>
                      <c:pt idx="362">
                        <c:v>3456000</c:v>
                      </c:pt>
                      <c:pt idx="363">
                        <c:v>3456000</c:v>
                      </c:pt>
                      <c:pt idx="364">
                        <c:v>3456000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A0-4DEC-86A4-EB8B9ADC46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Panel'!$J$19:$J$20</c15:sqref>
                        </c15:formulaRef>
                      </c:ext>
                    </c:extLst>
                    <c:strCache>
                      <c:ptCount val="2"/>
                      <c:pt idx="0">
                        <c:v>E_Total</c:v>
                      </c:pt>
                      <c:pt idx="1">
                        <c:v>[Whr]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'Solar Panel'!$J$21:$J$385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-214.64498376605206</c:v>
                      </c:pt>
                      <c:pt idx="1">
                        <c:v>941.63455343459509</c:v>
                      </c:pt>
                      <c:pt idx="2">
                        <c:v>-741.57310782531113</c:v>
                      </c:pt>
                      <c:pt idx="3">
                        <c:v>-868.30365604332201</c:v>
                      </c:pt>
                      <c:pt idx="4">
                        <c:v>-868.30365604332201</c:v>
                      </c:pt>
                      <c:pt idx="5">
                        <c:v>492.97448581612252</c:v>
                      </c:pt>
                      <c:pt idx="6">
                        <c:v>1703.424</c:v>
                      </c:pt>
                      <c:pt idx="7">
                        <c:v>1703.424</c:v>
                      </c:pt>
                      <c:pt idx="8">
                        <c:v>1014.3948444112359</c:v>
                      </c:pt>
                      <c:pt idx="9">
                        <c:v>1703.424</c:v>
                      </c:pt>
                      <c:pt idx="10">
                        <c:v>1703.424</c:v>
                      </c:pt>
                      <c:pt idx="11">
                        <c:v>1703.424</c:v>
                      </c:pt>
                      <c:pt idx="12">
                        <c:v>1703.424</c:v>
                      </c:pt>
                      <c:pt idx="13">
                        <c:v>1198.9969049590388</c:v>
                      </c:pt>
                      <c:pt idx="14">
                        <c:v>-868.30365604332201</c:v>
                      </c:pt>
                      <c:pt idx="15">
                        <c:v>-1.4768729653060291</c:v>
                      </c:pt>
                      <c:pt idx="16">
                        <c:v>-868.30365604332201</c:v>
                      </c:pt>
                      <c:pt idx="17">
                        <c:v>-868.30365604332201</c:v>
                      </c:pt>
                      <c:pt idx="18">
                        <c:v>532.64283359502542</c:v>
                      </c:pt>
                      <c:pt idx="19">
                        <c:v>1198.9969049590388</c:v>
                      </c:pt>
                      <c:pt idx="20">
                        <c:v>-868.30365604332201</c:v>
                      </c:pt>
                      <c:pt idx="21">
                        <c:v>-790.03554272592737</c:v>
                      </c:pt>
                      <c:pt idx="22">
                        <c:v>-868.30365604332201</c:v>
                      </c:pt>
                      <c:pt idx="23">
                        <c:v>-868.30365604332201</c:v>
                      </c:pt>
                      <c:pt idx="24">
                        <c:v>711.08750139377048</c:v>
                      </c:pt>
                      <c:pt idx="25">
                        <c:v>492.97448581612252</c:v>
                      </c:pt>
                      <c:pt idx="26">
                        <c:v>492.97448581612252</c:v>
                      </c:pt>
                      <c:pt idx="27">
                        <c:v>1703.424</c:v>
                      </c:pt>
                      <c:pt idx="28">
                        <c:v>1703.424</c:v>
                      </c:pt>
                      <c:pt idx="29">
                        <c:v>1098.0450435603771</c:v>
                      </c:pt>
                      <c:pt idx="30">
                        <c:v>24.288186322297406</c:v>
                      </c:pt>
                      <c:pt idx="31">
                        <c:v>233.44778428667541</c:v>
                      </c:pt>
                      <c:pt idx="32">
                        <c:v>-398.28765604332148</c:v>
                      </c:pt>
                      <c:pt idx="33">
                        <c:v>1568.0610435603776</c:v>
                      </c:pt>
                      <c:pt idx="34">
                        <c:v>-398.28765604332148</c:v>
                      </c:pt>
                      <c:pt idx="35">
                        <c:v>-398.28765604332148</c:v>
                      </c:pt>
                      <c:pt idx="36">
                        <c:v>-398.28765604332148</c:v>
                      </c:pt>
                      <c:pt idx="37">
                        <c:v>-398.28765604332148</c:v>
                      </c:pt>
                      <c:pt idx="38">
                        <c:v>393.97533130640841</c:v>
                      </c:pt>
                      <c:pt idx="39">
                        <c:v>888.09785811770962</c:v>
                      </c:pt>
                      <c:pt idx="40">
                        <c:v>1804.1674199169677</c:v>
                      </c:pt>
                      <c:pt idx="41">
                        <c:v>-398.28765604332148</c:v>
                      </c:pt>
                      <c:pt idx="42">
                        <c:v>-398.28765604332148</c:v>
                      </c:pt>
                      <c:pt idx="43">
                        <c:v>-398.28765604332148</c:v>
                      </c:pt>
                      <c:pt idx="44">
                        <c:v>1804.1674199169677</c:v>
                      </c:pt>
                      <c:pt idx="45">
                        <c:v>2173.4400000000005</c:v>
                      </c:pt>
                      <c:pt idx="46">
                        <c:v>2173.4400000000005</c:v>
                      </c:pt>
                      <c:pt idx="47">
                        <c:v>2173.4400000000005</c:v>
                      </c:pt>
                      <c:pt idx="48">
                        <c:v>752.48726911137874</c:v>
                      </c:pt>
                      <c:pt idx="49">
                        <c:v>-64.527715038823317</c:v>
                      </c:pt>
                      <c:pt idx="50">
                        <c:v>1669.0129049590394</c:v>
                      </c:pt>
                      <c:pt idx="51">
                        <c:v>2173.4400000000005</c:v>
                      </c:pt>
                      <c:pt idx="52">
                        <c:v>2173.4400000000005</c:v>
                      </c:pt>
                      <c:pt idx="53">
                        <c:v>2173.4400000000005</c:v>
                      </c:pt>
                      <c:pt idx="54">
                        <c:v>1804.1674199169677</c:v>
                      </c:pt>
                      <c:pt idx="55">
                        <c:v>660.37637270047071</c:v>
                      </c:pt>
                      <c:pt idx="56">
                        <c:v>148.65897748800307</c:v>
                      </c:pt>
                      <c:pt idx="57">
                        <c:v>1669.0129049590394</c:v>
                      </c:pt>
                      <c:pt idx="58">
                        <c:v>2173.4400000000005</c:v>
                      </c:pt>
                      <c:pt idx="59">
                        <c:v>1910.5565963417655</c:v>
                      </c:pt>
                      <c:pt idx="60">
                        <c:v>2737.4592000000002</c:v>
                      </c:pt>
                      <c:pt idx="61">
                        <c:v>2737.4592000000002</c:v>
                      </c:pt>
                      <c:pt idx="62">
                        <c:v>2233.0321049590393</c:v>
                      </c:pt>
                      <c:pt idx="63">
                        <c:v>1745.1227013937707</c:v>
                      </c:pt>
                      <c:pt idx="64">
                        <c:v>2048.4300444112359</c:v>
                      </c:pt>
                      <c:pt idx="65">
                        <c:v>2737.4592000000002</c:v>
                      </c:pt>
                      <c:pt idx="66">
                        <c:v>2233.0321049590393</c:v>
                      </c:pt>
                      <c:pt idx="67">
                        <c:v>2233.0321049590393</c:v>
                      </c:pt>
                      <c:pt idx="68">
                        <c:v>1527.0096858161228</c:v>
                      </c:pt>
                      <c:pt idx="69">
                        <c:v>276.17627338307739</c:v>
                      </c:pt>
                      <c:pt idx="70">
                        <c:v>733.46102857872302</c:v>
                      </c:pt>
                      <c:pt idx="71">
                        <c:v>165.73154395667825</c:v>
                      </c:pt>
                      <c:pt idx="72">
                        <c:v>2132.0802435603773</c:v>
                      </c:pt>
                      <c:pt idx="73">
                        <c:v>2737.4592000000002</c:v>
                      </c:pt>
                      <c:pt idx="74">
                        <c:v>2737.4592000000002</c:v>
                      </c:pt>
                      <c:pt idx="75">
                        <c:v>2737.4592000000002</c:v>
                      </c:pt>
                      <c:pt idx="76">
                        <c:v>165.73154395667825</c:v>
                      </c:pt>
                      <c:pt idx="77">
                        <c:v>165.73154395667825</c:v>
                      </c:pt>
                      <c:pt idx="78">
                        <c:v>165.73154395667825</c:v>
                      </c:pt>
                      <c:pt idx="79">
                        <c:v>2737.4592000000002</c:v>
                      </c:pt>
                      <c:pt idx="80">
                        <c:v>910.35043392739635</c:v>
                      </c:pt>
                      <c:pt idx="81">
                        <c:v>632.06084787777399</c:v>
                      </c:pt>
                      <c:pt idx="82">
                        <c:v>165.73154395667825</c:v>
                      </c:pt>
                      <c:pt idx="83">
                        <c:v>165.73154395667825</c:v>
                      </c:pt>
                      <c:pt idx="84">
                        <c:v>165.73154395667825</c:v>
                      </c:pt>
                      <c:pt idx="85">
                        <c:v>165.73154395667825</c:v>
                      </c:pt>
                      <c:pt idx="86">
                        <c:v>165.73154395667825</c:v>
                      </c:pt>
                      <c:pt idx="87">
                        <c:v>593.14754754894602</c:v>
                      </c:pt>
                      <c:pt idx="88">
                        <c:v>165.73154395667825</c:v>
                      </c:pt>
                      <c:pt idx="89">
                        <c:v>445.55360375092096</c:v>
                      </c:pt>
                      <c:pt idx="90">
                        <c:v>3301.4784</c:v>
                      </c:pt>
                      <c:pt idx="91">
                        <c:v>729.75074395667798</c:v>
                      </c:pt>
                      <c:pt idx="92">
                        <c:v>1256.1745787210261</c:v>
                      </c:pt>
                      <c:pt idx="93">
                        <c:v>1318.5325481577947</c:v>
                      </c:pt>
                      <c:pt idx="94">
                        <c:v>2696.099443560377</c:v>
                      </c:pt>
                      <c:pt idx="95">
                        <c:v>3301.4784</c:v>
                      </c:pt>
                      <c:pt idx="96">
                        <c:v>3301.4784</c:v>
                      </c:pt>
                      <c:pt idx="97">
                        <c:v>3301.4784</c:v>
                      </c:pt>
                      <c:pt idx="98">
                        <c:v>2016.1362581177091</c:v>
                      </c:pt>
                      <c:pt idx="99">
                        <c:v>729.75074395667798</c:v>
                      </c:pt>
                      <c:pt idx="100">
                        <c:v>1235.90294633449</c:v>
                      </c:pt>
                      <c:pt idx="101">
                        <c:v>729.75074395667798</c:v>
                      </c:pt>
                      <c:pt idx="102">
                        <c:v>729.75074395667798</c:v>
                      </c:pt>
                      <c:pt idx="103">
                        <c:v>2387.2690997061877</c:v>
                      </c:pt>
                      <c:pt idx="104">
                        <c:v>729.75074395667798</c:v>
                      </c:pt>
                      <c:pt idx="105">
                        <c:v>2052.8937939710263</c:v>
                      </c:pt>
                      <c:pt idx="106">
                        <c:v>3301.4784</c:v>
                      </c:pt>
                      <c:pt idx="107">
                        <c:v>3301.4784</c:v>
                      </c:pt>
                      <c:pt idx="108">
                        <c:v>3301.4784</c:v>
                      </c:pt>
                      <c:pt idx="109">
                        <c:v>2506.3164618244414</c:v>
                      </c:pt>
                      <c:pt idx="110">
                        <c:v>2797.051304959039</c:v>
                      </c:pt>
                      <c:pt idx="111">
                        <c:v>1339.8643277276651</c:v>
                      </c:pt>
                      <c:pt idx="112">
                        <c:v>1318.5325481577947</c:v>
                      </c:pt>
                      <c:pt idx="113">
                        <c:v>2309.1419013937702</c:v>
                      </c:pt>
                      <c:pt idx="114">
                        <c:v>3301.4784</c:v>
                      </c:pt>
                      <c:pt idx="115">
                        <c:v>1849.0234874238813</c:v>
                      </c:pt>
                      <c:pt idx="116">
                        <c:v>729.75074395667798</c:v>
                      </c:pt>
                      <c:pt idx="117">
                        <c:v>729.75074395667798</c:v>
                      </c:pt>
                      <c:pt idx="118">
                        <c:v>729.75074395667798</c:v>
                      </c:pt>
                      <c:pt idx="119">
                        <c:v>1759.2007406451144</c:v>
                      </c:pt>
                      <c:pt idx="120">
                        <c:v>3145.1340444112357</c:v>
                      </c:pt>
                      <c:pt idx="121">
                        <c:v>3834.1632</c:v>
                      </c:pt>
                      <c:pt idx="122">
                        <c:v>3834.1632</c:v>
                      </c:pt>
                      <c:pt idx="123">
                        <c:v>1262.435543956678</c:v>
                      </c:pt>
                      <c:pt idx="124">
                        <c:v>3329.736104959039</c:v>
                      </c:pt>
                      <c:pt idx="125">
                        <c:v>3834.1632</c:v>
                      </c:pt>
                      <c:pt idx="126">
                        <c:v>3834.1632</c:v>
                      </c:pt>
                      <c:pt idx="127">
                        <c:v>3834.1632</c:v>
                      </c:pt>
                      <c:pt idx="128">
                        <c:v>3834.1632</c:v>
                      </c:pt>
                      <c:pt idx="129">
                        <c:v>3329.736104959039</c:v>
                      </c:pt>
                      <c:pt idx="130">
                        <c:v>3834.1632</c:v>
                      </c:pt>
                      <c:pt idx="131">
                        <c:v>3834.1632</c:v>
                      </c:pt>
                      <c:pt idx="132">
                        <c:v>3834.1632</c:v>
                      </c:pt>
                      <c:pt idx="133">
                        <c:v>3834.1632</c:v>
                      </c:pt>
                      <c:pt idx="134">
                        <c:v>3834.1632</c:v>
                      </c:pt>
                      <c:pt idx="135">
                        <c:v>3464.8906199169669</c:v>
                      </c:pt>
                      <c:pt idx="136">
                        <c:v>3834.1632</c:v>
                      </c:pt>
                      <c:pt idx="137">
                        <c:v>3834.1632</c:v>
                      </c:pt>
                      <c:pt idx="138">
                        <c:v>3834.1632</c:v>
                      </c:pt>
                      <c:pt idx="139">
                        <c:v>3834.1632</c:v>
                      </c:pt>
                      <c:pt idx="140">
                        <c:v>3834.1632</c:v>
                      </c:pt>
                      <c:pt idx="141">
                        <c:v>3464.8906199169669</c:v>
                      </c:pt>
                      <c:pt idx="142">
                        <c:v>3464.8906199169669</c:v>
                      </c:pt>
                      <c:pt idx="143">
                        <c:v>3834.1632</c:v>
                      </c:pt>
                      <c:pt idx="144">
                        <c:v>3834.1632</c:v>
                      </c:pt>
                      <c:pt idx="145">
                        <c:v>3834.1632</c:v>
                      </c:pt>
                      <c:pt idx="146">
                        <c:v>3834.1632</c:v>
                      </c:pt>
                      <c:pt idx="147">
                        <c:v>3834.1632</c:v>
                      </c:pt>
                      <c:pt idx="148">
                        <c:v>3834.1632</c:v>
                      </c:pt>
                      <c:pt idx="149">
                        <c:v>3834.1632</c:v>
                      </c:pt>
                      <c:pt idx="150">
                        <c:v>3834.1632</c:v>
                      </c:pt>
                      <c:pt idx="151">
                        <c:v>2180.2345892846765</c:v>
                      </c:pt>
                      <c:pt idx="152">
                        <c:v>2843.0544858161225</c:v>
                      </c:pt>
                      <c:pt idx="153">
                        <c:v>4053.5039999999999</c:v>
                      </c:pt>
                      <c:pt idx="154">
                        <c:v>4053.5039999999999</c:v>
                      </c:pt>
                      <c:pt idx="155">
                        <c:v>4053.5039999999999</c:v>
                      </c:pt>
                      <c:pt idx="156">
                        <c:v>4053.5039999999999</c:v>
                      </c:pt>
                      <c:pt idx="157">
                        <c:v>4053.5039999999999</c:v>
                      </c:pt>
                      <c:pt idx="158">
                        <c:v>4053.5039999999999</c:v>
                      </c:pt>
                      <c:pt idx="159">
                        <c:v>4053.5039999999999</c:v>
                      </c:pt>
                      <c:pt idx="160">
                        <c:v>4053.5039999999999</c:v>
                      </c:pt>
                      <c:pt idx="161">
                        <c:v>4053.5039999999999</c:v>
                      </c:pt>
                      <c:pt idx="162">
                        <c:v>4053.5039999999999</c:v>
                      </c:pt>
                      <c:pt idx="163">
                        <c:v>4053.5039999999999</c:v>
                      </c:pt>
                      <c:pt idx="164">
                        <c:v>4053.5039999999999</c:v>
                      </c:pt>
                      <c:pt idx="165">
                        <c:v>4053.5039999999999</c:v>
                      </c:pt>
                      <c:pt idx="166">
                        <c:v>4053.5039999999999</c:v>
                      </c:pt>
                      <c:pt idx="167">
                        <c:v>4053.5039999999999</c:v>
                      </c:pt>
                      <c:pt idx="168">
                        <c:v>2226.395233927396</c:v>
                      </c:pt>
                      <c:pt idx="169">
                        <c:v>4053.5039999999999</c:v>
                      </c:pt>
                      <c:pt idx="170">
                        <c:v>4053.5039999999999</c:v>
                      </c:pt>
                      <c:pt idx="171">
                        <c:v>4053.5039999999999</c:v>
                      </c:pt>
                      <c:pt idx="172">
                        <c:v>4053.5039999999999</c:v>
                      </c:pt>
                      <c:pt idx="173">
                        <c:v>3167.2294848683041</c:v>
                      </c:pt>
                      <c:pt idx="174">
                        <c:v>1608.5068921746888</c:v>
                      </c:pt>
                      <c:pt idx="175">
                        <c:v>2632.5512691113781</c:v>
                      </c:pt>
                      <c:pt idx="176">
                        <c:v>4053.5039999999999</c:v>
                      </c:pt>
                      <c:pt idx="177">
                        <c:v>4053.5039999999999</c:v>
                      </c:pt>
                      <c:pt idx="178">
                        <c:v>4053.5039999999999</c:v>
                      </c:pt>
                      <c:pt idx="179">
                        <c:v>4053.5039999999999</c:v>
                      </c:pt>
                      <c:pt idx="180">
                        <c:v>4053.5039999999999</c:v>
                      </c:pt>
                      <c:pt idx="181">
                        <c:v>3975.1679999999997</c:v>
                      </c:pt>
                      <c:pt idx="182">
                        <c:v>3975.1679999999997</c:v>
                      </c:pt>
                      <c:pt idx="183">
                        <c:v>3975.1679999999997</c:v>
                      </c:pt>
                      <c:pt idx="184">
                        <c:v>3975.1679999999997</c:v>
                      </c:pt>
                      <c:pt idx="185">
                        <c:v>3975.1679999999997</c:v>
                      </c:pt>
                      <c:pt idx="186">
                        <c:v>3975.1679999999997</c:v>
                      </c:pt>
                      <c:pt idx="187">
                        <c:v>3605.8954199169666</c:v>
                      </c:pt>
                      <c:pt idx="188">
                        <c:v>3975.1679999999997</c:v>
                      </c:pt>
                      <c:pt idx="189">
                        <c:v>3213.3785534345948</c:v>
                      </c:pt>
                      <c:pt idx="190">
                        <c:v>3148.2653963417652</c:v>
                      </c:pt>
                      <c:pt idx="191">
                        <c:v>2845.7754092369059</c:v>
                      </c:pt>
                      <c:pt idx="192">
                        <c:v>2554.2152691113779</c:v>
                      </c:pt>
                      <c:pt idx="193">
                        <c:v>3975.1679999999997</c:v>
                      </c:pt>
                      <c:pt idx="194">
                        <c:v>3975.1679999999997</c:v>
                      </c:pt>
                      <c:pt idx="195">
                        <c:v>3975.1679999999997</c:v>
                      </c:pt>
                      <c:pt idx="196">
                        <c:v>3975.1679999999997</c:v>
                      </c:pt>
                      <c:pt idx="197">
                        <c:v>3975.1679999999997</c:v>
                      </c:pt>
                      <c:pt idx="198">
                        <c:v>3975.1679999999997</c:v>
                      </c:pt>
                      <c:pt idx="199">
                        <c:v>3975.1679999999997</c:v>
                      </c:pt>
                      <c:pt idx="200">
                        <c:v>3369.7890435603767</c:v>
                      </c:pt>
                      <c:pt idx="201">
                        <c:v>3975.1679999999997</c:v>
                      </c:pt>
                      <c:pt idx="202">
                        <c:v>3975.1679999999997</c:v>
                      </c:pt>
                      <c:pt idx="203">
                        <c:v>1992.2221481577944</c:v>
                      </c:pt>
                      <c:pt idx="204">
                        <c:v>2554.2152691113779</c:v>
                      </c:pt>
                      <c:pt idx="205">
                        <c:v>2522.713087423881</c:v>
                      </c:pt>
                      <c:pt idx="206">
                        <c:v>3975.1679999999997</c:v>
                      </c:pt>
                      <c:pt idx="207">
                        <c:v>3975.1679999999997</c:v>
                      </c:pt>
                      <c:pt idx="208">
                        <c:v>3975.1679999999997</c:v>
                      </c:pt>
                      <c:pt idx="209">
                        <c:v>3975.1679999999997</c:v>
                      </c:pt>
                      <c:pt idx="210">
                        <c:v>3975.1679999999997</c:v>
                      </c:pt>
                      <c:pt idx="211">
                        <c:v>3975.1679999999997</c:v>
                      </c:pt>
                      <c:pt idx="212">
                        <c:v>3489.4848000000002</c:v>
                      </c:pt>
                      <c:pt idx="213">
                        <c:v>3489.4848000000002</c:v>
                      </c:pt>
                      <c:pt idx="214">
                        <c:v>3489.4848000000002</c:v>
                      </c:pt>
                      <c:pt idx="215">
                        <c:v>3489.4848000000002</c:v>
                      </c:pt>
                      <c:pt idx="216">
                        <c:v>3489.4848000000002</c:v>
                      </c:pt>
                      <c:pt idx="217">
                        <c:v>2204.1426581177093</c:v>
                      </c:pt>
                      <c:pt idx="218">
                        <c:v>948.70507977265015</c:v>
                      </c:pt>
                      <c:pt idx="219">
                        <c:v>917.75714395667819</c:v>
                      </c:pt>
                      <c:pt idx="220">
                        <c:v>2497.1483013937705</c:v>
                      </c:pt>
                      <c:pt idx="221">
                        <c:v>3489.4848000000002</c:v>
                      </c:pt>
                      <c:pt idx="222">
                        <c:v>3489.4848000000002</c:v>
                      </c:pt>
                      <c:pt idx="223">
                        <c:v>3489.4848000000002</c:v>
                      </c:pt>
                      <c:pt idx="224">
                        <c:v>3489.4848000000002</c:v>
                      </c:pt>
                      <c:pt idx="225">
                        <c:v>3489.4848000000002</c:v>
                      </c:pt>
                      <c:pt idx="226">
                        <c:v>3489.4848000000002</c:v>
                      </c:pt>
                      <c:pt idx="227">
                        <c:v>3489.4848000000002</c:v>
                      </c:pt>
                      <c:pt idx="228">
                        <c:v>3489.4848000000002</c:v>
                      </c:pt>
                      <c:pt idx="229">
                        <c:v>3489.4848000000002</c:v>
                      </c:pt>
                      <c:pt idx="230">
                        <c:v>3489.4848000000002</c:v>
                      </c:pt>
                      <c:pt idx="231">
                        <c:v>3489.4848000000002</c:v>
                      </c:pt>
                      <c:pt idx="232">
                        <c:v>3489.4848000000002</c:v>
                      </c:pt>
                      <c:pt idx="233">
                        <c:v>3489.4848000000002</c:v>
                      </c:pt>
                      <c:pt idx="234">
                        <c:v>3489.4848000000002</c:v>
                      </c:pt>
                      <c:pt idx="235">
                        <c:v>3489.4848000000002</c:v>
                      </c:pt>
                      <c:pt idx="236">
                        <c:v>3489.4848000000002</c:v>
                      </c:pt>
                      <c:pt idx="237">
                        <c:v>3489.4848000000002</c:v>
                      </c:pt>
                      <c:pt idx="238">
                        <c:v>2279.0352858161227</c:v>
                      </c:pt>
                      <c:pt idx="239">
                        <c:v>1307.1137608550994</c:v>
                      </c:pt>
                      <c:pt idx="240">
                        <c:v>917.75714395667819</c:v>
                      </c:pt>
                      <c:pt idx="241">
                        <c:v>917.75714395667819</c:v>
                      </c:pt>
                      <c:pt idx="242">
                        <c:v>1784.5839270346942</c:v>
                      </c:pt>
                      <c:pt idx="243">
                        <c:v>385.0723439566782</c:v>
                      </c:pt>
                      <c:pt idx="244">
                        <c:v>2267.7708444112359</c:v>
                      </c:pt>
                      <c:pt idx="245">
                        <c:v>1827.4074092369065</c:v>
                      </c:pt>
                      <c:pt idx="246">
                        <c:v>2956.8</c:v>
                      </c:pt>
                      <c:pt idx="247">
                        <c:v>2015.6637883584763</c:v>
                      </c:pt>
                      <c:pt idx="248">
                        <c:v>2956.8</c:v>
                      </c:pt>
                      <c:pt idx="249">
                        <c:v>385.0723439566782</c:v>
                      </c:pt>
                      <c:pt idx="250">
                        <c:v>544.78491734136605</c:v>
                      </c:pt>
                      <c:pt idx="251">
                        <c:v>2070.5254848683044</c:v>
                      </c:pt>
                      <c:pt idx="252">
                        <c:v>2956.8</c:v>
                      </c:pt>
                      <c:pt idx="253">
                        <c:v>2956.8</c:v>
                      </c:pt>
                      <c:pt idx="254">
                        <c:v>2956.8</c:v>
                      </c:pt>
                      <c:pt idx="255">
                        <c:v>2956.8</c:v>
                      </c:pt>
                      <c:pt idx="256">
                        <c:v>2956.8</c:v>
                      </c:pt>
                      <c:pt idx="257">
                        <c:v>1916.3105477380971</c:v>
                      </c:pt>
                      <c:pt idx="258">
                        <c:v>1535.8472691113784</c:v>
                      </c:pt>
                      <c:pt idx="259">
                        <c:v>1746.3504858161227</c:v>
                      </c:pt>
                      <c:pt idx="260">
                        <c:v>385.0723439566782</c:v>
                      </c:pt>
                      <c:pt idx="261">
                        <c:v>385.0723439566782</c:v>
                      </c:pt>
                      <c:pt idx="262">
                        <c:v>2070.5254848683044</c:v>
                      </c:pt>
                      <c:pt idx="263">
                        <c:v>1504.3450874238815</c:v>
                      </c:pt>
                      <c:pt idx="264">
                        <c:v>385.0723439566782</c:v>
                      </c:pt>
                      <c:pt idx="265">
                        <c:v>385.0723439566782</c:v>
                      </c:pt>
                      <c:pt idx="266">
                        <c:v>647.26061135372083</c:v>
                      </c:pt>
                      <c:pt idx="267">
                        <c:v>2015.6637883584763</c:v>
                      </c:pt>
                      <c:pt idx="268">
                        <c:v>2956.8</c:v>
                      </c:pt>
                      <c:pt idx="269">
                        <c:v>2956.8</c:v>
                      </c:pt>
                      <c:pt idx="270">
                        <c:v>2956.8</c:v>
                      </c:pt>
                      <c:pt idx="271">
                        <c:v>2956.8</c:v>
                      </c:pt>
                      <c:pt idx="272">
                        <c:v>2956.8</c:v>
                      </c:pt>
                      <c:pt idx="273">
                        <c:v>2408.4479999999999</c:v>
                      </c:pt>
                      <c:pt idx="274">
                        <c:v>2408.4479999999999</c:v>
                      </c:pt>
                      <c:pt idx="275">
                        <c:v>2408.4479999999999</c:v>
                      </c:pt>
                      <c:pt idx="276">
                        <c:v>2408.4479999999999</c:v>
                      </c:pt>
                      <c:pt idx="277">
                        <c:v>2408.4479999999999</c:v>
                      </c:pt>
                      <c:pt idx="278">
                        <c:v>987.49526911137809</c:v>
                      </c:pt>
                      <c:pt idx="279">
                        <c:v>-163.27965604332212</c:v>
                      </c:pt>
                      <c:pt idx="280">
                        <c:v>342.87254633448993</c:v>
                      </c:pt>
                      <c:pt idx="281">
                        <c:v>-163.27965604332212</c:v>
                      </c:pt>
                      <c:pt idx="282">
                        <c:v>-163.27965604332212</c:v>
                      </c:pt>
                      <c:pt idx="283">
                        <c:v>-163.27965604332212</c:v>
                      </c:pt>
                      <c:pt idx="284">
                        <c:v>1719.4188444112358</c:v>
                      </c:pt>
                      <c:pt idx="285">
                        <c:v>1803.0690435603769</c:v>
                      </c:pt>
                      <c:pt idx="286">
                        <c:v>2408.4479999999999</c:v>
                      </c:pt>
                      <c:pt idx="287">
                        <c:v>2408.4479999999999</c:v>
                      </c:pt>
                      <c:pt idx="288">
                        <c:v>-100.90815071996758</c:v>
                      </c:pt>
                      <c:pt idx="289">
                        <c:v>653.40506975981998</c:v>
                      </c:pt>
                      <c:pt idx="290">
                        <c:v>-163.27965604332212</c:v>
                      </c:pt>
                      <c:pt idx="291">
                        <c:v>1803.0690435603769</c:v>
                      </c:pt>
                      <c:pt idx="292">
                        <c:v>245.00317527994912</c:v>
                      </c:pt>
                      <c:pt idx="293">
                        <c:v>987.49526911137809</c:v>
                      </c:pt>
                      <c:pt idx="294">
                        <c:v>283.48291404536894</c:v>
                      </c:pt>
                      <c:pt idx="295">
                        <c:v>2408.4479999999999</c:v>
                      </c:pt>
                      <c:pt idx="296">
                        <c:v>729.31218632229729</c:v>
                      </c:pt>
                      <c:pt idx="297">
                        <c:v>987.49526911137809</c:v>
                      </c:pt>
                      <c:pt idx="298">
                        <c:v>2408.4479999999999</c:v>
                      </c:pt>
                      <c:pt idx="299">
                        <c:v>604.96749685733357</c:v>
                      </c:pt>
                      <c:pt idx="300">
                        <c:v>-163.27965604332212</c:v>
                      </c:pt>
                      <c:pt idx="301">
                        <c:v>-163.27965604332212</c:v>
                      </c:pt>
                      <c:pt idx="302">
                        <c:v>-163.27965604332212</c:v>
                      </c:pt>
                      <c:pt idx="303">
                        <c:v>-163.27965604332212</c:v>
                      </c:pt>
                      <c:pt idx="304">
                        <c:v>1033.1933963417657</c:v>
                      </c:pt>
                      <c:pt idx="305">
                        <c:v>1860.0960000000005</c:v>
                      </c:pt>
                      <c:pt idx="306">
                        <c:v>1860.0960000000005</c:v>
                      </c:pt>
                      <c:pt idx="307">
                        <c:v>539.24261339986469</c:v>
                      </c:pt>
                      <c:pt idx="308">
                        <c:v>155.19512703469445</c:v>
                      </c:pt>
                      <c:pt idx="309">
                        <c:v>-711.63165604332153</c:v>
                      </c:pt>
                      <c:pt idx="310">
                        <c:v>774.03995760113207</c:v>
                      </c:pt>
                      <c:pt idx="311">
                        <c:v>918.95978835847654</c:v>
                      </c:pt>
                      <c:pt idx="312">
                        <c:v>1860.0960000000005</c:v>
                      </c:pt>
                      <c:pt idx="313">
                        <c:v>-711.63165604332153</c:v>
                      </c:pt>
                      <c:pt idx="314">
                        <c:v>-711.63165604332153</c:v>
                      </c:pt>
                      <c:pt idx="315">
                        <c:v>-711.63165604332153</c:v>
                      </c:pt>
                      <c:pt idx="316">
                        <c:v>-414.00617038411156</c:v>
                      </c:pt>
                      <c:pt idx="317">
                        <c:v>1254.7170435603775</c:v>
                      </c:pt>
                      <c:pt idx="318">
                        <c:v>155.19512703469445</c:v>
                      </c:pt>
                      <c:pt idx="319">
                        <c:v>-711.63165604332153</c:v>
                      </c:pt>
                      <c:pt idx="320">
                        <c:v>129.90051831944538</c:v>
                      </c:pt>
                      <c:pt idx="321">
                        <c:v>1860.0960000000005</c:v>
                      </c:pt>
                      <c:pt idx="322">
                        <c:v>1860.0960000000005</c:v>
                      </c:pt>
                      <c:pt idx="323">
                        <c:v>1860.0960000000005</c:v>
                      </c:pt>
                      <c:pt idx="324">
                        <c:v>1860.0960000000005</c:v>
                      </c:pt>
                      <c:pt idx="325">
                        <c:v>1860.0960000000005</c:v>
                      </c:pt>
                      <c:pt idx="326">
                        <c:v>1860.0960000000005</c:v>
                      </c:pt>
                      <c:pt idx="327">
                        <c:v>1860.0960000000005</c:v>
                      </c:pt>
                      <c:pt idx="328">
                        <c:v>1860.0960000000005</c:v>
                      </c:pt>
                      <c:pt idx="329">
                        <c:v>1860.0960000000005</c:v>
                      </c:pt>
                      <c:pt idx="330">
                        <c:v>1860.0960000000005</c:v>
                      </c:pt>
                      <c:pt idx="331">
                        <c:v>1860.0960000000005</c:v>
                      </c:pt>
                      <c:pt idx="332">
                        <c:v>1860.0960000000005</c:v>
                      </c:pt>
                      <c:pt idx="333">
                        <c:v>-551.91908265863367</c:v>
                      </c:pt>
                      <c:pt idx="334">
                        <c:v>-946.63965604332179</c:v>
                      </c:pt>
                      <c:pt idx="335">
                        <c:v>-946.63965604332179</c:v>
                      </c:pt>
                      <c:pt idx="336">
                        <c:v>-946.63965604332179</c:v>
                      </c:pt>
                      <c:pt idx="337">
                        <c:v>-946.63965604332179</c:v>
                      </c:pt>
                      <c:pt idx="338">
                        <c:v>-946.63965604332179</c:v>
                      </c:pt>
                      <c:pt idx="339">
                        <c:v>-946.63965604332179</c:v>
                      </c:pt>
                      <c:pt idx="340">
                        <c:v>-946.63965604332179</c:v>
                      </c:pt>
                      <c:pt idx="341">
                        <c:v>-946.63965604332179</c:v>
                      </c:pt>
                      <c:pt idx="342">
                        <c:v>82.810340645114593</c:v>
                      </c:pt>
                      <c:pt idx="343">
                        <c:v>-719.22758258033355</c:v>
                      </c:pt>
                      <c:pt idx="344">
                        <c:v>304.23461339986443</c:v>
                      </c:pt>
                      <c:pt idx="345">
                        <c:v>-946.63965604332179</c:v>
                      </c:pt>
                      <c:pt idx="346">
                        <c:v>1625.0880000000002</c:v>
                      </c:pt>
                      <c:pt idx="347">
                        <c:v>495.69540923690647</c:v>
                      </c:pt>
                      <c:pt idx="348">
                        <c:v>376.50339397102653</c:v>
                      </c:pt>
                      <c:pt idx="349">
                        <c:v>539.03195760113181</c:v>
                      </c:pt>
                      <c:pt idx="350">
                        <c:v>-946.63965604332179</c:v>
                      </c:pt>
                      <c:pt idx="351">
                        <c:v>-946.63965604332179</c:v>
                      </c:pt>
                      <c:pt idx="352">
                        <c:v>-946.63965604332179</c:v>
                      </c:pt>
                      <c:pt idx="353">
                        <c:v>-946.63965604332179</c:v>
                      </c:pt>
                      <c:pt idx="354">
                        <c:v>-420.21582127897364</c:v>
                      </c:pt>
                      <c:pt idx="355">
                        <c:v>-946.63965604332179</c:v>
                      </c:pt>
                      <c:pt idx="356">
                        <c:v>-460.51631607266245</c:v>
                      </c:pt>
                      <c:pt idx="357">
                        <c:v>1625.0880000000002</c:v>
                      </c:pt>
                      <c:pt idx="358">
                        <c:v>1625.0880000000002</c:v>
                      </c:pt>
                      <c:pt idx="359">
                        <c:v>-946.63965604332179</c:v>
                      </c:pt>
                      <c:pt idx="360">
                        <c:v>683.95178835847628</c:v>
                      </c:pt>
                      <c:pt idx="361">
                        <c:v>1255.8154199169674</c:v>
                      </c:pt>
                      <c:pt idx="362">
                        <c:v>1625.0880000000002</c:v>
                      </c:pt>
                      <c:pt idx="363">
                        <c:v>1625.0880000000002</c:v>
                      </c:pt>
                      <c:pt idx="364">
                        <c:v>1625.0880000000002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A0-4DEC-86A4-EB8B9ADC465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2"/>
          <c:order val="2"/>
          <c:tx>
            <c:strRef>
              <c:f>'Solar Panel'!$I$19:$I$20</c:f>
              <c:strCache>
                <c:ptCount val="2"/>
                <c:pt idx="0">
                  <c:v>E_Needed</c:v>
                </c:pt>
                <c:pt idx="1">
                  <c:v>[Whr]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'Solar Panel'!$I$21:$I$385</c:f>
              <c:numCache>
                <c:formatCode>General</c:formatCode>
                <c:ptCount val="365"/>
                <c:pt idx="0">
                  <c:v>2878.068983766052</c:v>
                </c:pt>
                <c:pt idx="1">
                  <c:v>1721.7894465654049</c:v>
                </c:pt>
                <c:pt idx="2">
                  <c:v>3404.9971078253111</c:v>
                </c:pt>
                <c:pt idx="3">
                  <c:v>3531.727656043322</c:v>
                </c:pt>
                <c:pt idx="4">
                  <c:v>3531.727656043322</c:v>
                </c:pt>
                <c:pt idx="5">
                  <c:v>2170.4495141838775</c:v>
                </c:pt>
                <c:pt idx="6">
                  <c:v>960</c:v>
                </c:pt>
                <c:pt idx="7">
                  <c:v>960</c:v>
                </c:pt>
                <c:pt idx="8">
                  <c:v>1649.0291555887641</c:v>
                </c:pt>
                <c:pt idx="9">
                  <c:v>960</c:v>
                </c:pt>
                <c:pt idx="10">
                  <c:v>960</c:v>
                </c:pt>
                <c:pt idx="11">
                  <c:v>960</c:v>
                </c:pt>
                <c:pt idx="12">
                  <c:v>960</c:v>
                </c:pt>
                <c:pt idx="13">
                  <c:v>1464.4270950409611</c:v>
                </c:pt>
                <c:pt idx="14">
                  <c:v>3531.727656043322</c:v>
                </c:pt>
                <c:pt idx="15">
                  <c:v>2664.900872965306</c:v>
                </c:pt>
                <c:pt idx="16">
                  <c:v>3531.727656043322</c:v>
                </c:pt>
                <c:pt idx="17">
                  <c:v>3531.727656043322</c:v>
                </c:pt>
                <c:pt idx="18">
                  <c:v>2130.7811664049746</c:v>
                </c:pt>
                <c:pt idx="19">
                  <c:v>1464.4270950409611</c:v>
                </c:pt>
                <c:pt idx="20">
                  <c:v>3531.727656043322</c:v>
                </c:pt>
                <c:pt idx="21">
                  <c:v>3453.4595427259273</c:v>
                </c:pt>
                <c:pt idx="22">
                  <c:v>3531.727656043322</c:v>
                </c:pt>
                <c:pt idx="23">
                  <c:v>3531.727656043322</c:v>
                </c:pt>
                <c:pt idx="24">
                  <c:v>1952.3364986062295</c:v>
                </c:pt>
                <c:pt idx="25">
                  <c:v>2170.4495141838775</c:v>
                </c:pt>
                <c:pt idx="26">
                  <c:v>2170.4495141838775</c:v>
                </c:pt>
                <c:pt idx="27">
                  <c:v>960</c:v>
                </c:pt>
                <c:pt idx="28">
                  <c:v>960</c:v>
                </c:pt>
                <c:pt idx="29">
                  <c:v>1565.3789564396229</c:v>
                </c:pt>
                <c:pt idx="30">
                  <c:v>2639.1358136777026</c:v>
                </c:pt>
                <c:pt idx="31">
                  <c:v>2899.9922157133251</c:v>
                </c:pt>
                <c:pt idx="32">
                  <c:v>3531.727656043322</c:v>
                </c:pt>
                <c:pt idx="33">
                  <c:v>1565.3789564396229</c:v>
                </c:pt>
                <c:pt idx="34">
                  <c:v>3531.727656043322</c:v>
                </c:pt>
                <c:pt idx="35">
                  <c:v>3531.727656043322</c:v>
                </c:pt>
                <c:pt idx="36">
                  <c:v>3531.727656043322</c:v>
                </c:pt>
                <c:pt idx="37">
                  <c:v>3531.727656043322</c:v>
                </c:pt>
                <c:pt idx="38">
                  <c:v>2739.4646686935921</c:v>
                </c:pt>
                <c:pt idx="39">
                  <c:v>2245.3421418822909</c:v>
                </c:pt>
                <c:pt idx="40">
                  <c:v>1329.2725800830328</c:v>
                </c:pt>
                <c:pt idx="41">
                  <c:v>3531.727656043322</c:v>
                </c:pt>
                <c:pt idx="42">
                  <c:v>3531.727656043322</c:v>
                </c:pt>
                <c:pt idx="43">
                  <c:v>3531.727656043322</c:v>
                </c:pt>
                <c:pt idx="44">
                  <c:v>1329.2725800830328</c:v>
                </c:pt>
                <c:pt idx="45">
                  <c:v>960</c:v>
                </c:pt>
                <c:pt idx="46">
                  <c:v>960</c:v>
                </c:pt>
                <c:pt idx="47">
                  <c:v>960</c:v>
                </c:pt>
                <c:pt idx="48">
                  <c:v>2380.9527308886218</c:v>
                </c:pt>
                <c:pt idx="49">
                  <c:v>3197.9677150388238</c:v>
                </c:pt>
                <c:pt idx="50">
                  <c:v>1464.4270950409611</c:v>
                </c:pt>
                <c:pt idx="51">
                  <c:v>960</c:v>
                </c:pt>
                <c:pt idx="52">
                  <c:v>960</c:v>
                </c:pt>
                <c:pt idx="53">
                  <c:v>960</c:v>
                </c:pt>
                <c:pt idx="54">
                  <c:v>1329.2725800830328</c:v>
                </c:pt>
                <c:pt idx="55">
                  <c:v>2473.0636272995298</c:v>
                </c:pt>
                <c:pt idx="56">
                  <c:v>2984.7810225119974</c:v>
                </c:pt>
                <c:pt idx="57">
                  <c:v>1464.4270950409611</c:v>
                </c:pt>
                <c:pt idx="58">
                  <c:v>960</c:v>
                </c:pt>
                <c:pt idx="59">
                  <c:v>1786.9026036582347</c:v>
                </c:pt>
                <c:pt idx="60">
                  <c:v>960</c:v>
                </c:pt>
                <c:pt idx="61">
                  <c:v>960</c:v>
                </c:pt>
                <c:pt idx="62">
                  <c:v>1464.4270950409611</c:v>
                </c:pt>
                <c:pt idx="63">
                  <c:v>1952.3364986062295</c:v>
                </c:pt>
                <c:pt idx="64">
                  <c:v>1649.0291555887641</c:v>
                </c:pt>
                <c:pt idx="65">
                  <c:v>960</c:v>
                </c:pt>
                <c:pt idx="66">
                  <c:v>1464.4270950409611</c:v>
                </c:pt>
                <c:pt idx="67">
                  <c:v>1464.4270950409611</c:v>
                </c:pt>
                <c:pt idx="68">
                  <c:v>2170.4495141838775</c:v>
                </c:pt>
                <c:pt idx="69">
                  <c:v>3421.2829266169229</c:v>
                </c:pt>
                <c:pt idx="70">
                  <c:v>2963.9981714212772</c:v>
                </c:pt>
                <c:pt idx="71">
                  <c:v>3531.727656043322</c:v>
                </c:pt>
                <c:pt idx="72">
                  <c:v>1565.3789564396229</c:v>
                </c:pt>
                <c:pt idx="73">
                  <c:v>960</c:v>
                </c:pt>
                <c:pt idx="74">
                  <c:v>960</c:v>
                </c:pt>
                <c:pt idx="75">
                  <c:v>960</c:v>
                </c:pt>
                <c:pt idx="76">
                  <c:v>3531.727656043322</c:v>
                </c:pt>
                <c:pt idx="77">
                  <c:v>3531.727656043322</c:v>
                </c:pt>
                <c:pt idx="78">
                  <c:v>3531.727656043322</c:v>
                </c:pt>
                <c:pt idx="79">
                  <c:v>960</c:v>
                </c:pt>
                <c:pt idx="80">
                  <c:v>2787.1087660726039</c:v>
                </c:pt>
                <c:pt idx="81">
                  <c:v>3065.3983521222262</c:v>
                </c:pt>
                <c:pt idx="82">
                  <c:v>3531.727656043322</c:v>
                </c:pt>
                <c:pt idx="83">
                  <c:v>3531.727656043322</c:v>
                </c:pt>
                <c:pt idx="84">
                  <c:v>3531.727656043322</c:v>
                </c:pt>
                <c:pt idx="85">
                  <c:v>3531.727656043322</c:v>
                </c:pt>
                <c:pt idx="86">
                  <c:v>3531.727656043322</c:v>
                </c:pt>
                <c:pt idx="87">
                  <c:v>3104.3116524510542</c:v>
                </c:pt>
                <c:pt idx="88">
                  <c:v>3531.727656043322</c:v>
                </c:pt>
                <c:pt idx="89">
                  <c:v>3251.9055962490793</c:v>
                </c:pt>
                <c:pt idx="90">
                  <c:v>960</c:v>
                </c:pt>
                <c:pt idx="91">
                  <c:v>3531.727656043322</c:v>
                </c:pt>
                <c:pt idx="92">
                  <c:v>3005.3038212789738</c:v>
                </c:pt>
                <c:pt idx="93">
                  <c:v>2942.9458518422052</c:v>
                </c:pt>
                <c:pt idx="94">
                  <c:v>1565.3789564396229</c:v>
                </c:pt>
                <c:pt idx="95">
                  <c:v>960</c:v>
                </c:pt>
                <c:pt idx="96">
                  <c:v>960</c:v>
                </c:pt>
                <c:pt idx="97">
                  <c:v>960</c:v>
                </c:pt>
                <c:pt idx="98">
                  <c:v>2245.3421418822909</c:v>
                </c:pt>
                <c:pt idx="99">
                  <c:v>3531.727656043322</c:v>
                </c:pt>
                <c:pt idx="100">
                  <c:v>3025.5754536655099</c:v>
                </c:pt>
                <c:pt idx="101">
                  <c:v>3531.727656043322</c:v>
                </c:pt>
                <c:pt idx="102">
                  <c:v>3531.727656043322</c:v>
                </c:pt>
                <c:pt idx="103">
                  <c:v>1874.2093002938122</c:v>
                </c:pt>
                <c:pt idx="104">
                  <c:v>3531.727656043322</c:v>
                </c:pt>
                <c:pt idx="105">
                  <c:v>2208.5846060289737</c:v>
                </c:pt>
                <c:pt idx="106">
                  <c:v>960</c:v>
                </c:pt>
                <c:pt idx="107">
                  <c:v>960</c:v>
                </c:pt>
                <c:pt idx="108">
                  <c:v>960</c:v>
                </c:pt>
                <c:pt idx="109">
                  <c:v>1755.1619381755586</c:v>
                </c:pt>
                <c:pt idx="110">
                  <c:v>1464.4270950409611</c:v>
                </c:pt>
                <c:pt idx="111">
                  <c:v>2921.6140722723349</c:v>
                </c:pt>
                <c:pt idx="112">
                  <c:v>2942.9458518422052</c:v>
                </c:pt>
                <c:pt idx="113">
                  <c:v>1952.3364986062295</c:v>
                </c:pt>
                <c:pt idx="114">
                  <c:v>960</c:v>
                </c:pt>
                <c:pt idx="115">
                  <c:v>2412.4549125761187</c:v>
                </c:pt>
                <c:pt idx="116">
                  <c:v>3531.727656043322</c:v>
                </c:pt>
                <c:pt idx="117">
                  <c:v>3531.727656043322</c:v>
                </c:pt>
                <c:pt idx="118">
                  <c:v>3531.727656043322</c:v>
                </c:pt>
                <c:pt idx="119">
                  <c:v>2502.2776593548856</c:v>
                </c:pt>
                <c:pt idx="120">
                  <c:v>1649.0291555887641</c:v>
                </c:pt>
                <c:pt idx="121">
                  <c:v>960</c:v>
                </c:pt>
                <c:pt idx="122">
                  <c:v>960</c:v>
                </c:pt>
                <c:pt idx="123">
                  <c:v>3531.727656043322</c:v>
                </c:pt>
                <c:pt idx="124">
                  <c:v>1464.4270950409611</c:v>
                </c:pt>
                <c:pt idx="125">
                  <c:v>960</c:v>
                </c:pt>
                <c:pt idx="126">
                  <c:v>960</c:v>
                </c:pt>
                <c:pt idx="127">
                  <c:v>960</c:v>
                </c:pt>
                <c:pt idx="128">
                  <c:v>960</c:v>
                </c:pt>
                <c:pt idx="129">
                  <c:v>1464.4270950409611</c:v>
                </c:pt>
                <c:pt idx="130">
                  <c:v>960</c:v>
                </c:pt>
                <c:pt idx="131">
                  <c:v>960</c:v>
                </c:pt>
                <c:pt idx="132">
                  <c:v>960</c:v>
                </c:pt>
                <c:pt idx="133">
                  <c:v>960</c:v>
                </c:pt>
                <c:pt idx="134">
                  <c:v>960</c:v>
                </c:pt>
                <c:pt idx="135">
                  <c:v>1329.2725800830328</c:v>
                </c:pt>
                <c:pt idx="136">
                  <c:v>960</c:v>
                </c:pt>
                <c:pt idx="137">
                  <c:v>960</c:v>
                </c:pt>
                <c:pt idx="138">
                  <c:v>960</c:v>
                </c:pt>
                <c:pt idx="139">
                  <c:v>960</c:v>
                </c:pt>
                <c:pt idx="140">
                  <c:v>960</c:v>
                </c:pt>
                <c:pt idx="141">
                  <c:v>1329.2725800830328</c:v>
                </c:pt>
                <c:pt idx="142">
                  <c:v>1329.2725800830328</c:v>
                </c:pt>
                <c:pt idx="143">
                  <c:v>960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960</c:v>
                </c:pt>
                <c:pt idx="148">
                  <c:v>960</c:v>
                </c:pt>
                <c:pt idx="149">
                  <c:v>960</c:v>
                </c:pt>
                <c:pt idx="150">
                  <c:v>960</c:v>
                </c:pt>
                <c:pt idx="151">
                  <c:v>2833.2694107153234</c:v>
                </c:pt>
                <c:pt idx="152">
                  <c:v>2170.4495141838775</c:v>
                </c:pt>
                <c:pt idx="153">
                  <c:v>960</c:v>
                </c:pt>
                <c:pt idx="154">
                  <c:v>960</c:v>
                </c:pt>
                <c:pt idx="155">
                  <c:v>960</c:v>
                </c:pt>
                <c:pt idx="156">
                  <c:v>960</c:v>
                </c:pt>
                <c:pt idx="157">
                  <c:v>960</c:v>
                </c:pt>
                <c:pt idx="158">
                  <c:v>960</c:v>
                </c:pt>
                <c:pt idx="159">
                  <c:v>960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960</c:v>
                </c:pt>
                <c:pt idx="164">
                  <c:v>960</c:v>
                </c:pt>
                <c:pt idx="165">
                  <c:v>960</c:v>
                </c:pt>
                <c:pt idx="166">
                  <c:v>960</c:v>
                </c:pt>
                <c:pt idx="167">
                  <c:v>960</c:v>
                </c:pt>
                <c:pt idx="168">
                  <c:v>2787.1087660726039</c:v>
                </c:pt>
                <c:pt idx="169">
                  <c:v>960</c:v>
                </c:pt>
                <c:pt idx="170">
                  <c:v>960</c:v>
                </c:pt>
                <c:pt idx="171">
                  <c:v>960</c:v>
                </c:pt>
                <c:pt idx="172">
                  <c:v>960</c:v>
                </c:pt>
                <c:pt idx="173">
                  <c:v>1846.2745151316958</c:v>
                </c:pt>
                <c:pt idx="174">
                  <c:v>3404.9971078253111</c:v>
                </c:pt>
                <c:pt idx="175">
                  <c:v>2380.9527308886218</c:v>
                </c:pt>
                <c:pt idx="176">
                  <c:v>960</c:v>
                </c:pt>
                <c:pt idx="177">
                  <c:v>960</c:v>
                </c:pt>
                <c:pt idx="178">
                  <c:v>960</c:v>
                </c:pt>
                <c:pt idx="179">
                  <c:v>960</c:v>
                </c:pt>
                <c:pt idx="180">
                  <c:v>960</c:v>
                </c:pt>
                <c:pt idx="181">
                  <c:v>960</c:v>
                </c:pt>
                <c:pt idx="182">
                  <c:v>960</c:v>
                </c:pt>
                <c:pt idx="183">
                  <c:v>960</c:v>
                </c:pt>
                <c:pt idx="184">
                  <c:v>960</c:v>
                </c:pt>
                <c:pt idx="185">
                  <c:v>960</c:v>
                </c:pt>
                <c:pt idx="186">
                  <c:v>960</c:v>
                </c:pt>
                <c:pt idx="187">
                  <c:v>1329.2725800830328</c:v>
                </c:pt>
                <c:pt idx="188">
                  <c:v>960</c:v>
                </c:pt>
                <c:pt idx="189">
                  <c:v>1721.7894465654049</c:v>
                </c:pt>
                <c:pt idx="190">
                  <c:v>1786.9026036582347</c:v>
                </c:pt>
                <c:pt idx="191">
                  <c:v>2089.3925907630937</c:v>
                </c:pt>
                <c:pt idx="192">
                  <c:v>2380.9527308886218</c:v>
                </c:pt>
                <c:pt idx="193">
                  <c:v>960</c:v>
                </c:pt>
                <c:pt idx="194">
                  <c:v>960</c:v>
                </c:pt>
                <c:pt idx="195">
                  <c:v>960</c:v>
                </c:pt>
                <c:pt idx="196">
                  <c:v>960</c:v>
                </c:pt>
                <c:pt idx="197">
                  <c:v>960</c:v>
                </c:pt>
                <c:pt idx="198">
                  <c:v>960</c:v>
                </c:pt>
                <c:pt idx="199">
                  <c:v>960</c:v>
                </c:pt>
                <c:pt idx="200">
                  <c:v>1565.3789564396229</c:v>
                </c:pt>
                <c:pt idx="201">
                  <c:v>960</c:v>
                </c:pt>
                <c:pt idx="202">
                  <c:v>960</c:v>
                </c:pt>
                <c:pt idx="203">
                  <c:v>2942.9458518422052</c:v>
                </c:pt>
                <c:pt idx="204">
                  <c:v>2380.9527308886218</c:v>
                </c:pt>
                <c:pt idx="205">
                  <c:v>2412.4549125761187</c:v>
                </c:pt>
                <c:pt idx="206">
                  <c:v>960</c:v>
                </c:pt>
                <c:pt idx="207">
                  <c:v>960</c:v>
                </c:pt>
                <c:pt idx="208">
                  <c:v>960</c:v>
                </c:pt>
                <c:pt idx="209">
                  <c:v>960</c:v>
                </c:pt>
                <c:pt idx="210">
                  <c:v>960</c:v>
                </c:pt>
                <c:pt idx="211">
                  <c:v>960</c:v>
                </c:pt>
                <c:pt idx="212">
                  <c:v>960</c:v>
                </c:pt>
                <c:pt idx="213">
                  <c:v>960</c:v>
                </c:pt>
                <c:pt idx="214">
                  <c:v>960</c:v>
                </c:pt>
                <c:pt idx="215">
                  <c:v>960</c:v>
                </c:pt>
                <c:pt idx="216">
                  <c:v>960</c:v>
                </c:pt>
                <c:pt idx="217">
                  <c:v>2245.3421418822909</c:v>
                </c:pt>
                <c:pt idx="218">
                  <c:v>3500.77972022735</c:v>
                </c:pt>
                <c:pt idx="219">
                  <c:v>3531.727656043322</c:v>
                </c:pt>
                <c:pt idx="220">
                  <c:v>1952.3364986062295</c:v>
                </c:pt>
                <c:pt idx="221">
                  <c:v>960</c:v>
                </c:pt>
                <c:pt idx="222">
                  <c:v>960</c:v>
                </c:pt>
                <c:pt idx="223">
                  <c:v>960</c:v>
                </c:pt>
                <c:pt idx="224">
                  <c:v>960</c:v>
                </c:pt>
                <c:pt idx="225">
                  <c:v>960</c:v>
                </c:pt>
                <c:pt idx="226">
                  <c:v>960</c:v>
                </c:pt>
                <c:pt idx="227">
                  <c:v>960</c:v>
                </c:pt>
                <c:pt idx="228">
                  <c:v>960</c:v>
                </c:pt>
                <c:pt idx="229">
                  <c:v>960</c:v>
                </c:pt>
                <c:pt idx="230">
                  <c:v>960</c:v>
                </c:pt>
                <c:pt idx="231">
                  <c:v>960</c:v>
                </c:pt>
                <c:pt idx="232">
                  <c:v>960</c:v>
                </c:pt>
                <c:pt idx="233">
                  <c:v>960</c:v>
                </c:pt>
                <c:pt idx="234">
                  <c:v>960</c:v>
                </c:pt>
                <c:pt idx="235">
                  <c:v>960</c:v>
                </c:pt>
                <c:pt idx="236">
                  <c:v>960</c:v>
                </c:pt>
                <c:pt idx="237">
                  <c:v>960</c:v>
                </c:pt>
                <c:pt idx="238">
                  <c:v>2170.4495141838775</c:v>
                </c:pt>
                <c:pt idx="239">
                  <c:v>3142.3710391449008</c:v>
                </c:pt>
                <c:pt idx="240">
                  <c:v>3531.727656043322</c:v>
                </c:pt>
                <c:pt idx="241">
                  <c:v>3531.727656043322</c:v>
                </c:pt>
                <c:pt idx="242">
                  <c:v>2664.900872965306</c:v>
                </c:pt>
                <c:pt idx="243">
                  <c:v>3531.727656043322</c:v>
                </c:pt>
                <c:pt idx="244">
                  <c:v>1649.0291555887641</c:v>
                </c:pt>
                <c:pt idx="245">
                  <c:v>2089.3925907630937</c:v>
                </c:pt>
                <c:pt idx="246">
                  <c:v>960</c:v>
                </c:pt>
                <c:pt idx="247">
                  <c:v>1901.1362116415239</c:v>
                </c:pt>
                <c:pt idx="248">
                  <c:v>960</c:v>
                </c:pt>
                <c:pt idx="249">
                  <c:v>3531.727656043322</c:v>
                </c:pt>
                <c:pt idx="250">
                  <c:v>3372.0150826586341</c:v>
                </c:pt>
                <c:pt idx="251">
                  <c:v>1846.2745151316958</c:v>
                </c:pt>
                <c:pt idx="252">
                  <c:v>960</c:v>
                </c:pt>
                <c:pt idx="253">
                  <c:v>960</c:v>
                </c:pt>
                <c:pt idx="254">
                  <c:v>960</c:v>
                </c:pt>
                <c:pt idx="255">
                  <c:v>960</c:v>
                </c:pt>
                <c:pt idx="256">
                  <c:v>960</c:v>
                </c:pt>
                <c:pt idx="257">
                  <c:v>2000.4894522619031</c:v>
                </c:pt>
                <c:pt idx="258">
                  <c:v>2380.9527308886218</c:v>
                </c:pt>
                <c:pt idx="259">
                  <c:v>2170.4495141838775</c:v>
                </c:pt>
                <c:pt idx="260">
                  <c:v>3531.727656043322</c:v>
                </c:pt>
                <c:pt idx="261">
                  <c:v>3531.727656043322</c:v>
                </c:pt>
                <c:pt idx="262">
                  <c:v>1846.2745151316958</c:v>
                </c:pt>
                <c:pt idx="263">
                  <c:v>2412.4549125761187</c:v>
                </c:pt>
                <c:pt idx="264">
                  <c:v>3531.727656043322</c:v>
                </c:pt>
                <c:pt idx="265">
                  <c:v>3531.727656043322</c:v>
                </c:pt>
                <c:pt idx="266">
                  <c:v>3269.5393886462793</c:v>
                </c:pt>
                <c:pt idx="267">
                  <c:v>1901.1362116415239</c:v>
                </c:pt>
                <c:pt idx="268">
                  <c:v>960</c:v>
                </c:pt>
                <c:pt idx="269">
                  <c:v>960</c:v>
                </c:pt>
                <c:pt idx="270">
                  <c:v>960</c:v>
                </c:pt>
                <c:pt idx="271">
                  <c:v>960</c:v>
                </c:pt>
                <c:pt idx="272">
                  <c:v>960</c:v>
                </c:pt>
                <c:pt idx="273">
                  <c:v>960</c:v>
                </c:pt>
                <c:pt idx="274">
                  <c:v>960</c:v>
                </c:pt>
                <c:pt idx="275">
                  <c:v>960</c:v>
                </c:pt>
                <c:pt idx="276">
                  <c:v>960</c:v>
                </c:pt>
                <c:pt idx="277">
                  <c:v>960</c:v>
                </c:pt>
                <c:pt idx="278">
                  <c:v>2380.9527308886218</c:v>
                </c:pt>
                <c:pt idx="279">
                  <c:v>3531.727656043322</c:v>
                </c:pt>
                <c:pt idx="280">
                  <c:v>3025.5754536655099</c:v>
                </c:pt>
                <c:pt idx="281">
                  <c:v>3531.727656043322</c:v>
                </c:pt>
                <c:pt idx="282">
                  <c:v>3531.727656043322</c:v>
                </c:pt>
                <c:pt idx="283">
                  <c:v>3531.727656043322</c:v>
                </c:pt>
                <c:pt idx="284">
                  <c:v>1649.0291555887641</c:v>
                </c:pt>
                <c:pt idx="285">
                  <c:v>1565.3789564396229</c:v>
                </c:pt>
                <c:pt idx="286">
                  <c:v>960</c:v>
                </c:pt>
                <c:pt idx="287">
                  <c:v>960</c:v>
                </c:pt>
                <c:pt idx="288">
                  <c:v>3469.3561507199674</c:v>
                </c:pt>
                <c:pt idx="289">
                  <c:v>2715.0429302401799</c:v>
                </c:pt>
                <c:pt idx="290">
                  <c:v>3531.727656043322</c:v>
                </c:pt>
                <c:pt idx="291">
                  <c:v>1565.3789564396229</c:v>
                </c:pt>
                <c:pt idx="292">
                  <c:v>3123.4448247200507</c:v>
                </c:pt>
                <c:pt idx="293">
                  <c:v>2380.9527308886218</c:v>
                </c:pt>
                <c:pt idx="294">
                  <c:v>3084.9650859546309</c:v>
                </c:pt>
                <c:pt idx="295">
                  <c:v>960</c:v>
                </c:pt>
                <c:pt idx="296">
                  <c:v>2639.1358136777026</c:v>
                </c:pt>
                <c:pt idx="297">
                  <c:v>2380.9527308886218</c:v>
                </c:pt>
                <c:pt idx="298">
                  <c:v>960</c:v>
                </c:pt>
                <c:pt idx="299">
                  <c:v>2763.4805031426663</c:v>
                </c:pt>
                <c:pt idx="300">
                  <c:v>3531.727656043322</c:v>
                </c:pt>
                <c:pt idx="301">
                  <c:v>3531.727656043322</c:v>
                </c:pt>
                <c:pt idx="302">
                  <c:v>3531.727656043322</c:v>
                </c:pt>
                <c:pt idx="303">
                  <c:v>3531.727656043322</c:v>
                </c:pt>
                <c:pt idx="304">
                  <c:v>1786.9026036582347</c:v>
                </c:pt>
                <c:pt idx="305">
                  <c:v>960</c:v>
                </c:pt>
                <c:pt idx="306">
                  <c:v>960</c:v>
                </c:pt>
                <c:pt idx="307">
                  <c:v>2280.8533866001358</c:v>
                </c:pt>
                <c:pt idx="308">
                  <c:v>2664.900872965306</c:v>
                </c:pt>
                <c:pt idx="309">
                  <c:v>3531.727656043322</c:v>
                </c:pt>
                <c:pt idx="310">
                  <c:v>2046.0560423988684</c:v>
                </c:pt>
                <c:pt idx="311">
                  <c:v>1901.1362116415239</c:v>
                </c:pt>
                <c:pt idx="312">
                  <c:v>960</c:v>
                </c:pt>
                <c:pt idx="313">
                  <c:v>3531.727656043322</c:v>
                </c:pt>
                <c:pt idx="314">
                  <c:v>3531.727656043322</c:v>
                </c:pt>
                <c:pt idx="315">
                  <c:v>3531.727656043322</c:v>
                </c:pt>
                <c:pt idx="316">
                  <c:v>3234.102170384112</c:v>
                </c:pt>
                <c:pt idx="317">
                  <c:v>1565.3789564396229</c:v>
                </c:pt>
                <c:pt idx="318">
                  <c:v>2664.900872965306</c:v>
                </c:pt>
                <c:pt idx="319">
                  <c:v>3531.727656043322</c:v>
                </c:pt>
                <c:pt idx="320">
                  <c:v>2690.1954816805551</c:v>
                </c:pt>
                <c:pt idx="321">
                  <c:v>960</c:v>
                </c:pt>
                <c:pt idx="322">
                  <c:v>960</c:v>
                </c:pt>
                <c:pt idx="323">
                  <c:v>960</c:v>
                </c:pt>
                <c:pt idx="324">
                  <c:v>960</c:v>
                </c:pt>
                <c:pt idx="325">
                  <c:v>960</c:v>
                </c:pt>
                <c:pt idx="326">
                  <c:v>960</c:v>
                </c:pt>
                <c:pt idx="327">
                  <c:v>960</c:v>
                </c:pt>
                <c:pt idx="328">
                  <c:v>960</c:v>
                </c:pt>
                <c:pt idx="329">
                  <c:v>960</c:v>
                </c:pt>
                <c:pt idx="330">
                  <c:v>960</c:v>
                </c:pt>
                <c:pt idx="331">
                  <c:v>960</c:v>
                </c:pt>
                <c:pt idx="332">
                  <c:v>960</c:v>
                </c:pt>
                <c:pt idx="333">
                  <c:v>3372.0150826586341</c:v>
                </c:pt>
                <c:pt idx="334">
                  <c:v>3531.727656043322</c:v>
                </c:pt>
                <c:pt idx="335">
                  <c:v>3531.727656043322</c:v>
                </c:pt>
                <c:pt idx="336">
                  <c:v>3531.727656043322</c:v>
                </c:pt>
                <c:pt idx="337">
                  <c:v>3531.727656043322</c:v>
                </c:pt>
                <c:pt idx="338">
                  <c:v>3531.727656043322</c:v>
                </c:pt>
                <c:pt idx="339">
                  <c:v>3531.727656043322</c:v>
                </c:pt>
                <c:pt idx="340">
                  <c:v>3531.727656043322</c:v>
                </c:pt>
                <c:pt idx="341">
                  <c:v>3531.727656043322</c:v>
                </c:pt>
                <c:pt idx="342">
                  <c:v>2502.2776593548856</c:v>
                </c:pt>
                <c:pt idx="343">
                  <c:v>3304.3155825803337</c:v>
                </c:pt>
                <c:pt idx="344">
                  <c:v>2280.8533866001358</c:v>
                </c:pt>
                <c:pt idx="345">
                  <c:v>3531.727656043322</c:v>
                </c:pt>
                <c:pt idx="346">
                  <c:v>960</c:v>
                </c:pt>
                <c:pt idx="347">
                  <c:v>2089.3925907630937</c:v>
                </c:pt>
                <c:pt idx="348">
                  <c:v>2208.5846060289737</c:v>
                </c:pt>
                <c:pt idx="349">
                  <c:v>2046.0560423988684</c:v>
                </c:pt>
                <c:pt idx="350">
                  <c:v>3531.727656043322</c:v>
                </c:pt>
                <c:pt idx="351">
                  <c:v>3531.727656043322</c:v>
                </c:pt>
                <c:pt idx="352">
                  <c:v>3531.727656043322</c:v>
                </c:pt>
                <c:pt idx="353">
                  <c:v>3531.727656043322</c:v>
                </c:pt>
                <c:pt idx="354">
                  <c:v>3005.3038212789738</c:v>
                </c:pt>
                <c:pt idx="355">
                  <c:v>3531.727656043322</c:v>
                </c:pt>
                <c:pt idx="356">
                  <c:v>3045.6043160726626</c:v>
                </c:pt>
                <c:pt idx="357">
                  <c:v>960</c:v>
                </c:pt>
                <c:pt idx="358">
                  <c:v>960</c:v>
                </c:pt>
                <c:pt idx="359">
                  <c:v>3531.727656043322</c:v>
                </c:pt>
                <c:pt idx="360">
                  <c:v>1901.1362116415239</c:v>
                </c:pt>
                <c:pt idx="361">
                  <c:v>1329.2725800830328</c:v>
                </c:pt>
                <c:pt idx="362">
                  <c:v>960</c:v>
                </c:pt>
                <c:pt idx="363">
                  <c:v>960</c:v>
                </c:pt>
                <c:pt idx="364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0-4DEC-86A4-EB8B9ADC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30319"/>
        <c:axId val="973232239"/>
      </c:scatterChart>
      <c:catAx>
        <c:axId val="97323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239"/>
        <c:crosses val="autoZero"/>
        <c:auto val="1"/>
        <c:lblAlgn val="ctr"/>
        <c:lblOffset val="100"/>
        <c:noMultiLvlLbl val="0"/>
      </c:catAx>
      <c:valAx>
        <c:axId val="9732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Demand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'On Demand Flow Calcs'!$C$24:$C$25</c:f>
              <c:strCache>
                <c:ptCount val="2"/>
                <c:pt idx="0">
                  <c:v>Pressure Loss</c:v>
                </c:pt>
                <c:pt idx="1">
                  <c:v>[Pa]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'On Demand Flow Calcs'!$B$26:$B$79</c:f>
              <c:numCache>
                <c:formatCode>0.0</c:formatCode>
                <c:ptCount val="54"/>
                <c:pt idx="0" formatCode="General">
                  <c:v>0</c:v>
                </c:pt>
                <c:pt idx="1">
                  <c:v>0.94247779607693805</c:v>
                </c:pt>
                <c:pt idx="2">
                  <c:v>1.8849555921538761</c:v>
                </c:pt>
                <c:pt idx="3">
                  <c:v>2.8274333882308147</c:v>
                </c:pt>
                <c:pt idx="4">
                  <c:v>3.7699111843077522</c:v>
                </c:pt>
                <c:pt idx="5">
                  <c:v>4.7123889803846897</c:v>
                </c:pt>
                <c:pt idx="6">
                  <c:v>5.6548667764616276</c:v>
                </c:pt>
                <c:pt idx="7">
                  <c:v>6.5973445725385647</c:v>
                </c:pt>
                <c:pt idx="8">
                  <c:v>7.5398223686155026</c:v>
                </c:pt>
                <c:pt idx="9">
                  <c:v>8.4823001646924414</c:v>
                </c:pt>
                <c:pt idx="10">
                  <c:v>9.4247779607693776</c:v>
                </c:pt>
                <c:pt idx="11">
                  <c:v>10.367255756846316</c:v>
                </c:pt>
                <c:pt idx="12">
                  <c:v>11.309733552923255</c:v>
                </c:pt>
                <c:pt idx="13">
                  <c:v>12.252211349000193</c:v>
                </c:pt>
                <c:pt idx="14">
                  <c:v>13.194689145077131</c:v>
                </c:pt>
                <c:pt idx="15">
                  <c:v>14.137166941154071</c:v>
                </c:pt>
                <c:pt idx="16">
                  <c:v>15.079644737231009</c:v>
                </c:pt>
                <c:pt idx="17">
                  <c:v>16.022122533307947</c:v>
                </c:pt>
                <c:pt idx="18">
                  <c:v>16.964600329384886</c:v>
                </c:pt>
                <c:pt idx="19">
                  <c:v>17.90707812546183</c:v>
                </c:pt>
                <c:pt idx="20">
                  <c:v>18.849555921538762</c:v>
                </c:pt>
                <c:pt idx="21">
                  <c:v>19.792033717615698</c:v>
                </c:pt>
                <c:pt idx="22">
                  <c:v>20.734511513692642</c:v>
                </c:pt>
                <c:pt idx="23">
                  <c:v>21.676989309769578</c:v>
                </c:pt>
                <c:pt idx="24">
                  <c:v>22.619467105846518</c:v>
                </c:pt>
                <c:pt idx="25">
                  <c:v>23.561944901923457</c:v>
                </c:pt>
                <c:pt idx="26">
                  <c:v>24.504422698000393</c:v>
                </c:pt>
                <c:pt idx="27">
                  <c:v>25.446900494077333</c:v>
                </c:pt>
                <c:pt idx="28">
                  <c:v>26.389378290154273</c:v>
                </c:pt>
                <c:pt idx="29">
                  <c:v>27.331856086231213</c:v>
                </c:pt>
                <c:pt idx="30">
                  <c:v>28.274333882308152</c:v>
                </c:pt>
                <c:pt idx="31">
                  <c:v>29.216811678385088</c:v>
                </c:pt>
                <c:pt idx="32">
                  <c:v>30.159289474462032</c:v>
                </c:pt>
                <c:pt idx="33">
                  <c:v>31.101767270538964</c:v>
                </c:pt>
                <c:pt idx="34">
                  <c:v>32.044245066615908</c:v>
                </c:pt>
                <c:pt idx="35">
                  <c:v>32.986722862692844</c:v>
                </c:pt>
                <c:pt idx="36">
                  <c:v>33.92920065876978</c:v>
                </c:pt>
                <c:pt idx="37">
                  <c:v>34.871678454846716</c:v>
                </c:pt>
                <c:pt idx="38">
                  <c:v>35.814156250923659</c:v>
                </c:pt>
                <c:pt idx="39">
                  <c:v>36.756634047000603</c:v>
                </c:pt>
                <c:pt idx="40">
                  <c:v>37.699111843077539</c:v>
                </c:pt>
                <c:pt idx="41">
                  <c:v>38.641589639154468</c:v>
                </c:pt>
                <c:pt idx="42">
                  <c:v>39.584067435231397</c:v>
                </c:pt>
                <c:pt idx="43">
                  <c:v>40.52654523130834</c:v>
                </c:pt>
                <c:pt idx="44">
                  <c:v>41.469023027385269</c:v>
                </c:pt>
                <c:pt idx="45">
                  <c:v>42.411500823462205</c:v>
                </c:pt>
                <c:pt idx="46">
                  <c:v>43.353978619539141</c:v>
                </c:pt>
                <c:pt idx="47">
                  <c:v>44.296456415616078</c:v>
                </c:pt>
                <c:pt idx="48">
                  <c:v>45.238934211693014</c:v>
                </c:pt>
                <c:pt idx="49">
                  <c:v>46.181412007769943</c:v>
                </c:pt>
                <c:pt idx="50">
                  <c:v>47.123889803846879</c:v>
                </c:pt>
                <c:pt idx="51">
                  <c:v>48.066367599923815</c:v>
                </c:pt>
                <c:pt idx="52">
                  <c:v>49.008845396000751</c:v>
                </c:pt>
                <c:pt idx="53">
                  <c:v>49.951323192077687</c:v>
                </c:pt>
              </c:numCache>
            </c:numRef>
          </c:cat>
          <c:val>
            <c:numRef>
              <c:f>'On Demand Flow Calcs'!$C$26:$C$79</c:f>
              <c:numCache>
                <c:formatCode>0.0</c:formatCode>
                <c:ptCount val="54"/>
                <c:pt idx="0" formatCode="General">
                  <c:v>0</c:v>
                </c:pt>
                <c:pt idx="1">
                  <c:v>213.2590240695238</c:v>
                </c:pt>
                <c:pt idx="2">
                  <c:v>853.03609627809521</c:v>
                </c:pt>
                <c:pt idx="3">
                  <c:v>1919.3312166257144</c:v>
                </c:pt>
                <c:pt idx="4">
                  <c:v>3412.1443851123809</c:v>
                </c:pt>
                <c:pt idx="5">
                  <c:v>5331.4756017380942</c:v>
                </c:pt>
                <c:pt idx="6">
                  <c:v>7677.324866502855</c:v>
                </c:pt>
                <c:pt idx="7">
                  <c:v>10449.692179406664</c:v>
                </c:pt>
                <c:pt idx="8">
                  <c:v>13648.57754044952</c:v>
                </c:pt>
                <c:pt idx="9">
                  <c:v>17273.980949631423</c:v>
                </c:pt>
                <c:pt idx="10">
                  <c:v>21325.902406952373</c:v>
                </c:pt>
                <c:pt idx="11">
                  <c:v>25804.341912412368</c:v>
                </c:pt>
                <c:pt idx="12">
                  <c:v>30709.29946601142</c:v>
                </c:pt>
                <c:pt idx="13">
                  <c:v>36040.775067749521</c:v>
                </c:pt>
                <c:pt idx="14">
                  <c:v>41798.76871762667</c:v>
                </c:pt>
                <c:pt idx="15">
                  <c:v>47983.280415642868</c:v>
                </c:pt>
                <c:pt idx="16">
                  <c:v>54594.310161798101</c:v>
                </c:pt>
                <c:pt idx="17">
                  <c:v>61631.857956092397</c:v>
                </c:pt>
                <c:pt idx="18">
                  <c:v>69095.923798525735</c:v>
                </c:pt>
                <c:pt idx="19">
                  <c:v>76986.507689098129</c:v>
                </c:pt>
                <c:pt idx="20">
                  <c:v>85303.60962780955</c:v>
                </c:pt>
                <c:pt idx="21">
                  <c:v>94047.229614660027</c:v>
                </c:pt>
                <c:pt idx="22">
                  <c:v>103217.36764964956</c:v>
                </c:pt>
                <c:pt idx="23">
                  <c:v>112814.02373277815</c:v>
                </c:pt>
                <c:pt idx="24">
                  <c:v>122837.19786404578</c:v>
                </c:pt>
                <c:pt idx="25">
                  <c:v>133286.89004345244</c:v>
                </c:pt>
                <c:pt idx="26">
                  <c:v>144163.10027099817</c:v>
                </c:pt>
                <c:pt idx="27">
                  <c:v>155465.82854668293</c:v>
                </c:pt>
                <c:pt idx="28">
                  <c:v>167195.07487050677</c:v>
                </c:pt>
                <c:pt idx="29">
                  <c:v>179350.83924246964</c:v>
                </c:pt>
                <c:pt idx="30">
                  <c:v>191933.12166257153</c:v>
                </c:pt>
                <c:pt idx="31">
                  <c:v>204941.92213081251</c:v>
                </c:pt>
                <c:pt idx="32">
                  <c:v>218377.24064719252</c:v>
                </c:pt>
                <c:pt idx="33">
                  <c:v>232239.07721171161</c:v>
                </c:pt>
                <c:pt idx="34">
                  <c:v>246527.43182436971</c:v>
                </c:pt>
                <c:pt idx="35">
                  <c:v>261242.30448516688</c:v>
                </c:pt>
                <c:pt idx="36">
                  <c:v>276383.69519410306</c:v>
                </c:pt>
                <c:pt idx="37">
                  <c:v>291951.60395117832</c:v>
                </c:pt>
                <c:pt idx="38">
                  <c:v>307946.03075639263</c:v>
                </c:pt>
                <c:pt idx="39">
                  <c:v>324366.975609746</c:v>
                </c:pt>
                <c:pt idx="40">
                  <c:v>341214.43851123832</c:v>
                </c:pt>
                <c:pt idx="41">
                  <c:v>358488.41946086974</c:v>
                </c:pt>
                <c:pt idx="42">
                  <c:v>376188.91845864011</c:v>
                </c:pt>
                <c:pt idx="43">
                  <c:v>394315.93550454959</c:v>
                </c:pt>
                <c:pt idx="44">
                  <c:v>412869.47059859807</c:v>
                </c:pt>
                <c:pt idx="45">
                  <c:v>431849.5237407856</c:v>
                </c:pt>
                <c:pt idx="46">
                  <c:v>451256.09493111219</c:v>
                </c:pt>
                <c:pt idx="47">
                  <c:v>471089.18416957784</c:v>
                </c:pt>
                <c:pt idx="48">
                  <c:v>491348.79145618249</c:v>
                </c:pt>
                <c:pt idx="49">
                  <c:v>512034.91679092631</c:v>
                </c:pt>
                <c:pt idx="50">
                  <c:v>533147.56017380906</c:v>
                </c:pt>
                <c:pt idx="51">
                  <c:v>554686.72160483082</c:v>
                </c:pt>
                <c:pt idx="52">
                  <c:v>576652.40108399175</c:v>
                </c:pt>
                <c:pt idx="53">
                  <c:v>599044.59861129161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9-455C-AF84-0BC3C742A99A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'On Demand Flow Calcs'!$B$26:$B$79</c:f>
              <c:numCache>
                <c:formatCode>0.0</c:formatCode>
                <c:ptCount val="54"/>
                <c:pt idx="0" formatCode="General">
                  <c:v>0</c:v>
                </c:pt>
                <c:pt idx="1">
                  <c:v>0.94247779607693805</c:v>
                </c:pt>
                <c:pt idx="2">
                  <c:v>1.8849555921538761</c:v>
                </c:pt>
                <c:pt idx="3">
                  <c:v>2.8274333882308147</c:v>
                </c:pt>
                <c:pt idx="4">
                  <c:v>3.7699111843077522</c:v>
                </c:pt>
                <c:pt idx="5">
                  <c:v>4.7123889803846897</c:v>
                </c:pt>
                <c:pt idx="6">
                  <c:v>5.6548667764616276</c:v>
                </c:pt>
                <c:pt idx="7">
                  <c:v>6.5973445725385647</c:v>
                </c:pt>
                <c:pt idx="8">
                  <c:v>7.5398223686155026</c:v>
                </c:pt>
                <c:pt idx="9">
                  <c:v>8.4823001646924414</c:v>
                </c:pt>
                <c:pt idx="10">
                  <c:v>9.4247779607693776</c:v>
                </c:pt>
                <c:pt idx="11">
                  <c:v>10.367255756846316</c:v>
                </c:pt>
                <c:pt idx="12">
                  <c:v>11.309733552923255</c:v>
                </c:pt>
                <c:pt idx="13">
                  <c:v>12.252211349000193</c:v>
                </c:pt>
                <c:pt idx="14">
                  <c:v>13.194689145077131</c:v>
                </c:pt>
                <c:pt idx="15">
                  <c:v>14.137166941154071</c:v>
                </c:pt>
                <c:pt idx="16">
                  <c:v>15.079644737231009</c:v>
                </c:pt>
                <c:pt idx="17">
                  <c:v>16.022122533307947</c:v>
                </c:pt>
                <c:pt idx="18">
                  <c:v>16.964600329384886</c:v>
                </c:pt>
                <c:pt idx="19">
                  <c:v>17.90707812546183</c:v>
                </c:pt>
                <c:pt idx="20">
                  <c:v>18.849555921538762</c:v>
                </c:pt>
                <c:pt idx="21">
                  <c:v>19.792033717615698</c:v>
                </c:pt>
                <c:pt idx="22">
                  <c:v>20.734511513692642</c:v>
                </c:pt>
                <c:pt idx="23">
                  <c:v>21.676989309769578</c:v>
                </c:pt>
                <c:pt idx="24">
                  <c:v>22.619467105846518</c:v>
                </c:pt>
                <c:pt idx="25">
                  <c:v>23.561944901923457</c:v>
                </c:pt>
                <c:pt idx="26">
                  <c:v>24.504422698000393</c:v>
                </c:pt>
                <c:pt idx="27">
                  <c:v>25.446900494077333</c:v>
                </c:pt>
                <c:pt idx="28">
                  <c:v>26.389378290154273</c:v>
                </c:pt>
                <c:pt idx="29">
                  <c:v>27.331856086231213</c:v>
                </c:pt>
                <c:pt idx="30">
                  <c:v>28.274333882308152</c:v>
                </c:pt>
                <c:pt idx="31">
                  <c:v>29.216811678385088</c:v>
                </c:pt>
                <c:pt idx="32">
                  <c:v>30.159289474462032</c:v>
                </c:pt>
                <c:pt idx="33">
                  <c:v>31.101767270538964</c:v>
                </c:pt>
                <c:pt idx="34">
                  <c:v>32.044245066615908</c:v>
                </c:pt>
                <c:pt idx="35">
                  <c:v>32.986722862692844</c:v>
                </c:pt>
                <c:pt idx="36">
                  <c:v>33.92920065876978</c:v>
                </c:pt>
                <c:pt idx="37">
                  <c:v>34.871678454846716</c:v>
                </c:pt>
                <c:pt idx="38">
                  <c:v>35.814156250923659</c:v>
                </c:pt>
                <c:pt idx="39">
                  <c:v>36.756634047000603</c:v>
                </c:pt>
                <c:pt idx="40">
                  <c:v>37.699111843077539</c:v>
                </c:pt>
                <c:pt idx="41">
                  <c:v>38.641589639154468</c:v>
                </c:pt>
                <c:pt idx="42">
                  <c:v>39.584067435231397</c:v>
                </c:pt>
                <c:pt idx="43">
                  <c:v>40.52654523130834</c:v>
                </c:pt>
                <c:pt idx="44">
                  <c:v>41.469023027385269</c:v>
                </c:pt>
                <c:pt idx="45">
                  <c:v>42.411500823462205</c:v>
                </c:pt>
                <c:pt idx="46">
                  <c:v>43.353978619539141</c:v>
                </c:pt>
                <c:pt idx="47">
                  <c:v>44.296456415616078</c:v>
                </c:pt>
                <c:pt idx="48">
                  <c:v>45.238934211693014</c:v>
                </c:pt>
                <c:pt idx="49">
                  <c:v>46.181412007769943</c:v>
                </c:pt>
                <c:pt idx="50">
                  <c:v>47.123889803846879</c:v>
                </c:pt>
                <c:pt idx="51">
                  <c:v>48.066367599923815</c:v>
                </c:pt>
                <c:pt idx="52">
                  <c:v>49.008845396000751</c:v>
                </c:pt>
                <c:pt idx="53">
                  <c:v>49.951323192077687</c:v>
                </c:pt>
              </c:numCache>
            </c:numRef>
          </c:cat>
          <c:val>
            <c:numRef>
              <c:f>'On Demand Flow Calcs'!$D$26:$D$79</c:f>
              <c:numCache>
                <c:formatCode>General</c:formatCode>
                <c:ptCount val="54"/>
                <c:pt idx="0">
                  <c:v>196200</c:v>
                </c:pt>
                <c:pt idx="1">
                  <c:v>196200</c:v>
                </c:pt>
                <c:pt idx="2">
                  <c:v>196200</c:v>
                </c:pt>
                <c:pt idx="3">
                  <c:v>196200</c:v>
                </c:pt>
                <c:pt idx="4">
                  <c:v>196200</c:v>
                </c:pt>
                <c:pt idx="5">
                  <c:v>196200</c:v>
                </c:pt>
                <c:pt idx="6">
                  <c:v>196200</c:v>
                </c:pt>
                <c:pt idx="7">
                  <c:v>196200</c:v>
                </c:pt>
                <c:pt idx="8">
                  <c:v>196200</c:v>
                </c:pt>
                <c:pt idx="9">
                  <c:v>196200</c:v>
                </c:pt>
                <c:pt idx="10">
                  <c:v>196200</c:v>
                </c:pt>
                <c:pt idx="11">
                  <c:v>196200</c:v>
                </c:pt>
                <c:pt idx="12">
                  <c:v>196200</c:v>
                </c:pt>
                <c:pt idx="13">
                  <c:v>196200</c:v>
                </c:pt>
                <c:pt idx="14">
                  <c:v>196200</c:v>
                </c:pt>
                <c:pt idx="15">
                  <c:v>196200</c:v>
                </c:pt>
                <c:pt idx="16">
                  <c:v>196200</c:v>
                </c:pt>
                <c:pt idx="17">
                  <c:v>196200</c:v>
                </c:pt>
                <c:pt idx="18">
                  <c:v>196200</c:v>
                </c:pt>
                <c:pt idx="19">
                  <c:v>196200</c:v>
                </c:pt>
                <c:pt idx="20">
                  <c:v>196200</c:v>
                </c:pt>
                <c:pt idx="21">
                  <c:v>196200</c:v>
                </c:pt>
                <c:pt idx="22">
                  <c:v>196200</c:v>
                </c:pt>
                <c:pt idx="23">
                  <c:v>196200</c:v>
                </c:pt>
                <c:pt idx="24">
                  <c:v>196200</c:v>
                </c:pt>
                <c:pt idx="25">
                  <c:v>196200</c:v>
                </c:pt>
                <c:pt idx="26">
                  <c:v>196200</c:v>
                </c:pt>
                <c:pt idx="27">
                  <c:v>196200</c:v>
                </c:pt>
                <c:pt idx="28">
                  <c:v>196200</c:v>
                </c:pt>
                <c:pt idx="29">
                  <c:v>196200</c:v>
                </c:pt>
                <c:pt idx="30">
                  <c:v>196200</c:v>
                </c:pt>
                <c:pt idx="31">
                  <c:v>196200</c:v>
                </c:pt>
                <c:pt idx="32">
                  <c:v>196200</c:v>
                </c:pt>
                <c:pt idx="33">
                  <c:v>196200</c:v>
                </c:pt>
                <c:pt idx="34">
                  <c:v>196200</c:v>
                </c:pt>
                <c:pt idx="35">
                  <c:v>196200</c:v>
                </c:pt>
                <c:pt idx="36">
                  <c:v>196200</c:v>
                </c:pt>
                <c:pt idx="37">
                  <c:v>196200</c:v>
                </c:pt>
                <c:pt idx="38">
                  <c:v>196200</c:v>
                </c:pt>
                <c:pt idx="39">
                  <c:v>196200</c:v>
                </c:pt>
                <c:pt idx="40">
                  <c:v>196200</c:v>
                </c:pt>
                <c:pt idx="41">
                  <c:v>196200</c:v>
                </c:pt>
                <c:pt idx="42">
                  <c:v>196200</c:v>
                </c:pt>
                <c:pt idx="43">
                  <c:v>196200</c:v>
                </c:pt>
                <c:pt idx="44">
                  <c:v>196200</c:v>
                </c:pt>
                <c:pt idx="45">
                  <c:v>196200</c:v>
                </c:pt>
                <c:pt idx="46">
                  <c:v>196200</c:v>
                </c:pt>
                <c:pt idx="47">
                  <c:v>196200</c:v>
                </c:pt>
                <c:pt idx="48">
                  <c:v>196200</c:v>
                </c:pt>
                <c:pt idx="49">
                  <c:v>196200</c:v>
                </c:pt>
                <c:pt idx="50">
                  <c:v>196200</c:v>
                </c:pt>
                <c:pt idx="51">
                  <c:v>196200</c:v>
                </c:pt>
                <c:pt idx="52">
                  <c:v>196200</c:v>
                </c:pt>
                <c:pt idx="53">
                  <c:v>196200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9-455C-AF84-0BC3C742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10535"/>
        <c:axId val="976770055"/>
      </c:lineChart>
      <c:catAx>
        <c:axId val="98191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70055"/>
        <c:crosses val="autoZero"/>
        <c:auto val="1"/>
        <c:lblAlgn val="ctr"/>
        <c:lblOffset val="100"/>
        <c:noMultiLvlLbl val="0"/>
      </c:catAx>
      <c:valAx>
        <c:axId val="976770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1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Pressure &amp; System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Pump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'Updated Pump Parameters'!$B$10:$B$25</c:f>
              <c:numCache>
                <c:formatCode>0.00</c:formatCode>
                <c:ptCount val="16"/>
                <c:pt idx="0">
                  <c:v>0</c:v>
                </c:pt>
                <c:pt idx="1">
                  <c:v>3.7699111843077522</c:v>
                </c:pt>
                <c:pt idx="2">
                  <c:v>7.5398223686155044</c:v>
                </c:pt>
                <c:pt idx="3">
                  <c:v>11.309733552923257</c:v>
                </c:pt>
                <c:pt idx="4">
                  <c:v>15.079644737231009</c:v>
                </c:pt>
                <c:pt idx="5">
                  <c:v>18.849555921538759</c:v>
                </c:pt>
                <c:pt idx="6">
                  <c:v>22.619467105846507</c:v>
                </c:pt>
                <c:pt idx="7">
                  <c:v>26.389378290154262</c:v>
                </c:pt>
                <c:pt idx="8">
                  <c:v>30.15928947446201</c:v>
                </c:pt>
                <c:pt idx="9">
                  <c:v>33.929200658769766</c:v>
                </c:pt>
                <c:pt idx="10">
                  <c:v>37.69911184307751</c:v>
                </c:pt>
                <c:pt idx="11">
                  <c:v>41.469023027385262</c:v>
                </c:pt>
                <c:pt idx="12">
                  <c:v>45.238934211693014</c:v>
                </c:pt>
                <c:pt idx="13">
                  <c:v>49.008845396000773</c:v>
                </c:pt>
                <c:pt idx="14">
                  <c:v>52.778756580308531</c:v>
                </c:pt>
                <c:pt idx="15">
                  <c:v>56.548667764616283</c:v>
                </c:pt>
              </c:numCache>
            </c:numRef>
          </c:cat>
          <c:val>
            <c:numRef>
              <c:f>'Updated Pump Parameters'!$C$10:$C$25</c:f>
              <c:numCache>
                <c:formatCode>0.00</c:formatCode>
                <c:ptCount val="16"/>
                <c:pt idx="0">
                  <c:v>356.8</c:v>
                </c:pt>
                <c:pt idx="1">
                  <c:v>354.50591231263854</c:v>
                </c:pt>
                <c:pt idx="2">
                  <c:v>351.78261526908256</c:v>
                </c:pt>
                <c:pt idx="3">
                  <c:v>348.63010886933193</c:v>
                </c:pt>
                <c:pt idx="4">
                  <c:v>345.04839311338679</c:v>
                </c:pt>
                <c:pt idx="5">
                  <c:v>341.03746800124708</c:v>
                </c:pt>
                <c:pt idx="6">
                  <c:v>336.59733353291273</c:v>
                </c:pt>
                <c:pt idx="7">
                  <c:v>331.72798970838386</c:v>
                </c:pt>
                <c:pt idx="8">
                  <c:v>326.42943652766041</c:v>
                </c:pt>
                <c:pt idx="9">
                  <c:v>320.70167399074239</c:v>
                </c:pt>
                <c:pt idx="10">
                  <c:v>314.54470209762974</c:v>
                </c:pt>
                <c:pt idx="11">
                  <c:v>307.95852084832256</c:v>
                </c:pt>
                <c:pt idx="12">
                  <c:v>300.94313024282081</c:v>
                </c:pt>
                <c:pt idx="13">
                  <c:v>293.49853028112449</c:v>
                </c:pt>
                <c:pt idx="14">
                  <c:v>285.62472096323359</c:v>
                </c:pt>
                <c:pt idx="15">
                  <c:v>277.32170228914811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A9D-413F-AE37-303CA79D1CD5}"/>
            </c:ext>
          </c:extLst>
        </c:ser>
        <c:ser>
          <c:idx val="1"/>
          <c:order val="1"/>
          <c:tx>
            <c:v>System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'Updated Pump Parameters'!$B$10:$B$25</c:f>
              <c:numCache>
                <c:formatCode>0.00</c:formatCode>
                <c:ptCount val="16"/>
                <c:pt idx="0">
                  <c:v>0</c:v>
                </c:pt>
                <c:pt idx="1">
                  <c:v>3.7699111843077522</c:v>
                </c:pt>
                <c:pt idx="2">
                  <c:v>7.5398223686155044</c:v>
                </c:pt>
                <c:pt idx="3">
                  <c:v>11.309733552923257</c:v>
                </c:pt>
                <c:pt idx="4">
                  <c:v>15.079644737231009</c:v>
                </c:pt>
                <c:pt idx="5">
                  <c:v>18.849555921538759</c:v>
                </c:pt>
                <c:pt idx="6">
                  <c:v>22.619467105846507</c:v>
                </c:pt>
                <c:pt idx="7">
                  <c:v>26.389378290154262</c:v>
                </c:pt>
                <c:pt idx="8">
                  <c:v>30.15928947446201</c:v>
                </c:pt>
                <c:pt idx="9">
                  <c:v>33.929200658769766</c:v>
                </c:pt>
                <c:pt idx="10">
                  <c:v>37.69911184307751</c:v>
                </c:pt>
                <c:pt idx="11">
                  <c:v>41.469023027385262</c:v>
                </c:pt>
                <c:pt idx="12">
                  <c:v>45.238934211693014</c:v>
                </c:pt>
                <c:pt idx="13">
                  <c:v>49.008845396000773</c:v>
                </c:pt>
                <c:pt idx="14">
                  <c:v>52.778756580308531</c:v>
                </c:pt>
                <c:pt idx="15">
                  <c:v>56.548667764616283</c:v>
                </c:pt>
              </c:numCache>
            </c:numRef>
          </c:cat>
          <c:val>
            <c:numRef>
              <c:f>'Updated Pump Parameters'!$D$10:$D$25</c:f>
              <c:numCache>
                <c:formatCode>General</c:formatCode>
                <c:ptCount val="16"/>
                <c:pt idx="0">
                  <c:v>210.91499999999999</c:v>
                </c:pt>
                <c:pt idx="1">
                  <c:v>215.03702596390542</c:v>
                </c:pt>
                <c:pt idx="2">
                  <c:v>225.87221233562167</c:v>
                </c:pt>
                <c:pt idx="3">
                  <c:v>243.42055911514876</c:v>
                </c:pt>
                <c:pt idx="4">
                  <c:v>267.6820663024867</c:v>
                </c:pt>
                <c:pt idx="5">
                  <c:v>298.65673389763543</c:v>
                </c:pt>
                <c:pt idx="6">
                  <c:v>336.34456190059501</c:v>
                </c:pt>
                <c:pt idx="7">
                  <c:v>380.74555031136538</c:v>
                </c:pt>
                <c:pt idx="8">
                  <c:v>431.8596991299467</c:v>
                </c:pt>
                <c:pt idx="9">
                  <c:v>489.68700835633877</c:v>
                </c:pt>
                <c:pt idx="10">
                  <c:v>554.22747799054173</c:v>
                </c:pt>
                <c:pt idx="11">
                  <c:v>625.48110803255543</c:v>
                </c:pt>
                <c:pt idx="12">
                  <c:v>703.44789848238008</c:v>
                </c:pt>
                <c:pt idx="13">
                  <c:v>788.12784934001559</c:v>
                </c:pt>
                <c:pt idx="14">
                  <c:v>879.52096060546194</c:v>
                </c:pt>
                <c:pt idx="15">
                  <c:v>977.62723227871925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A9D-413F-AE37-303CA79D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01543"/>
        <c:axId val="2044803591"/>
      </c:lineChart>
      <c:catAx>
        <c:axId val="2044801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3591"/>
        <c:crosses val="autoZero"/>
        <c:auto val="1"/>
        <c:lblAlgn val="ctr"/>
        <c:lblOffset val="100"/>
        <c:noMultiLvlLbl val="1"/>
      </c:catAx>
      <c:valAx>
        <c:axId val="204480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1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System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'W11 Filter Loss Coefficient Exp'!$B$22</c:f>
              <c:strCache>
                <c:ptCount val="1"/>
                <c:pt idx="0">
                  <c:v>Pressure [Pa]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backward val="7.400000000000001E-2"/>
            <c:intercept val="0"/>
            <c:dispRSqr val="0"/>
            <c:dispEq val="1"/>
            <c:trendlineLbl>
              <c:layout>
                <c:manualLayout>
                  <c:x val="-0.33132365438560868"/>
                  <c:y val="-4.17794406904810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311498x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+ 15040x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'W11 Filter Loss Coefficient Exp'!$A$23:$A$27</c:f>
              <c:numCache>
                <c:formatCode>0.00</c:formatCode>
                <c:ptCount val="5"/>
                <c:pt idx="0">
                  <c:v>7.476450644363844E-2</c:v>
                </c:pt>
                <c:pt idx="1">
                  <c:v>9.0815944702935997E-2</c:v>
                </c:pt>
                <c:pt idx="2">
                  <c:v>0.10548794902528275</c:v>
                </c:pt>
                <c:pt idx="3">
                  <c:v>0.14386887511131782</c:v>
                </c:pt>
                <c:pt idx="4">
                  <c:v>0.15612992577990958</c:v>
                </c:pt>
              </c:numCache>
            </c:numRef>
          </c:xVal>
          <c:yVal>
            <c:numRef>
              <c:f>'W11 Filter Loss Coefficient Exp'!$B$23:$B$27</c:f>
              <c:numCache>
                <c:formatCode>General</c:formatCode>
                <c:ptCount val="5"/>
                <c:pt idx="0">
                  <c:v>2943</c:v>
                </c:pt>
                <c:pt idx="1">
                  <c:v>3924</c:v>
                </c:pt>
                <c:pt idx="2">
                  <c:v>4905</c:v>
                </c:pt>
                <c:pt idx="3">
                  <c:v>8829</c:v>
                </c:pt>
                <c:pt idx="4">
                  <c:v>9810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1-4AE0-821D-D210347B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1360"/>
        <c:axId val="105122800"/>
      </c:scatterChart>
      <c:valAx>
        <c:axId val="1051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Flow Velocity</a:t>
                </a:r>
                <a:r>
                  <a:rPr lang="en-CA" b="1" baseline="0"/>
                  <a:t> [m/s]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2800"/>
        <c:crosses val="autoZero"/>
        <c:crossBetween val="midCat"/>
      </c:valAx>
      <c:valAx>
        <c:axId val="1051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5794</xdr:colOff>
      <xdr:row>1</xdr:row>
      <xdr:rowOff>7493</xdr:rowOff>
    </xdr:from>
    <xdr:to>
      <xdr:col>22</xdr:col>
      <xdr:colOff>58000</xdr:colOff>
      <xdr:row>16</xdr:row>
      <xdr:rowOff>3097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27E0D364-0C3C-700C-6886-360CF04AA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23</xdr:row>
      <xdr:rowOff>76200</xdr:rowOff>
    </xdr:from>
    <xdr:to>
      <xdr:col>17</xdr:col>
      <xdr:colOff>600075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D492F-7777-0F6F-D12E-05C9C58A2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8</xdr:row>
      <xdr:rowOff>57150</xdr:rowOff>
    </xdr:from>
    <xdr:to>
      <xdr:col>19</xdr:col>
      <xdr:colOff>419100</xdr:colOff>
      <xdr:row>36</xdr:row>
      <xdr:rowOff>114300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66512206-3E7B-ED97-1B46-1DD01BB9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1158240</xdr:colOff>
      <xdr:row>15</xdr:row>
      <xdr:rowOff>144780</xdr:rowOff>
    </xdr:from>
    <xdr:to>
      <xdr:col>8</xdr:col>
      <xdr:colOff>624840</xdr:colOff>
      <xdr:row>36</xdr:row>
      <xdr:rowOff>0</xdr:rowOff>
    </xdr:to>
    <xdr:graphicFrame macro="">
      <xdr:nvGraphicFramePr>
        <xdr:cNvPr id="136" name="Chart 19">
          <a:extLst>
            <a:ext uri="{FF2B5EF4-FFF2-40B4-BE49-F238E27FC236}">
              <a16:creationId xmlns:a16="http://schemas.microsoft.com/office/drawing/2014/main" id="{800960BB-4B66-E253-003E-9D5F0169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5475-1BA9-4C9D-96B4-C88D49446AF5}">
  <dimension ref="A1:X36"/>
  <sheetViews>
    <sheetView tabSelected="1" topLeftCell="E1" zoomScale="88" workbookViewId="0">
      <selection activeCell="E36" sqref="E36"/>
    </sheetView>
  </sheetViews>
  <sheetFormatPr defaultRowHeight="14.45"/>
  <cols>
    <col min="1" max="1" width="32.85546875" bestFit="1" customWidth="1"/>
    <col min="2" max="2" width="19.140625" bestFit="1" customWidth="1"/>
    <col min="3" max="3" width="28.5703125" customWidth="1"/>
    <col min="4" max="4" width="11.85546875" bestFit="1" customWidth="1"/>
    <col min="5" max="5" width="36.5703125" bestFit="1" customWidth="1"/>
    <col min="6" max="6" width="12" bestFit="1" customWidth="1"/>
    <col min="7" max="7" width="25.28515625" bestFit="1" customWidth="1"/>
    <col min="8" max="8" width="12.42578125" bestFit="1" customWidth="1"/>
    <col min="9" max="9" width="9.28515625" bestFit="1" customWidth="1"/>
    <col min="10" max="10" width="19.85546875" bestFit="1" customWidth="1"/>
    <col min="11" max="11" width="11.140625" customWidth="1"/>
    <col min="12" max="12" width="15" customWidth="1"/>
    <col min="14" max="14" width="16.5703125" bestFit="1" customWidth="1"/>
    <col min="15" max="15" width="31.28515625" bestFit="1" customWidth="1"/>
    <col min="16" max="16" width="11" customWidth="1"/>
    <col min="18" max="18" width="15.5703125" customWidth="1"/>
    <col min="19" max="19" width="36.5703125" bestFit="1" customWidth="1"/>
    <col min="20" max="20" width="11.42578125" customWidth="1"/>
    <col min="22" max="22" width="18.42578125" bestFit="1" customWidth="1"/>
  </cols>
  <sheetData>
    <row r="1" spans="1:20" ht="14.45" customHeight="1">
      <c r="A1" s="460" t="s">
        <v>0</v>
      </c>
      <c r="B1" s="461" t="s">
        <v>1</v>
      </c>
      <c r="C1" s="461">
        <f>SUM(O7+O6)</f>
        <v>20</v>
      </c>
      <c r="D1" s="462" t="s">
        <v>2</v>
      </c>
      <c r="G1" t="s">
        <v>3</v>
      </c>
      <c r="J1" s="504" t="s">
        <v>4</v>
      </c>
      <c r="K1" s="505"/>
      <c r="L1" s="506"/>
      <c r="N1" s="190"/>
      <c r="O1" s="191" t="s">
        <v>5</v>
      </c>
      <c r="P1" s="192"/>
      <c r="R1" s="259"/>
      <c r="S1" s="268" t="s">
        <v>6</v>
      </c>
      <c r="T1" s="260"/>
    </row>
    <row r="2" spans="1:20">
      <c r="A2" s="463" t="s">
        <v>7</v>
      </c>
      <c r="B2" s="88" t="s">
        <v>8</v>
      </c>
      <c r="C2" s="88">
        <f>O5</f>
        <v>63.93160407810835</v>
      </c>
      <c r="D2" s="464" t="s">
        <v>2</v>
      </c>
      <c r="J2" s="251" t="s">
        <v>9</v>
      </c>
      <c r="K2" s="249" t="s">
        <v>10</v>
      </c>
      <c r="L2" s="252"/>
      <c r="N2" s="193" t="s">
        <v>11</v>
      </c>
      <c r="O2" s="194">
        <v>36</v>
      </c>
      <c r="P2" s="195" t="s">
        <v>12</v>
      </c>
      <c r="R2" s="261" t="s">
        <v>13</v>
      </c>
      <c r="S2" s="262" t="str">
        <f>K2</f>
        <v>Whole roof</v>
      </c>
      <c r="T2" s="263"/>
    </row>
    <row r="3" spans="1:20">
      <c r="A3" s="463" t="s">
        <v>14</v>
      </c>
      <c r="B3" s="88" t="s">
        <v>15</v>
      </c>
      <c r="C3" s="458">
        <v>0.02</v>
      </c>
      <c r="D3" s="464" t="s">
        <v>2</v>
      </c>
      <c r="G3" s="284" t="s">
        <v>16</v>
      </c>
      <c r="H3" s="285">
        <v>15040</v>
      </c>
      <c r="J3" s="251" t="s">
        <v>17</v>
      </c>
      <c r="K3" s="10">
        <v>0</v>
      </c>
      <c r="L3" s="252" t="s">
        <v>2</v>
      </c>
      <c r="N3" s="508" t="s">
        <v>18</v>
      </c>
      <c r="O3" s="185" t="s">
        <v>19</v>
      </c>
      <c r="P3" s="196">
        <v>-45</v>
      </c>
      <c r="R3" s="261" t="s">
        <v>20</v>
      </c>
      <c r="S3" s="264">
        <f>IF(S2="Half roof",50,IF(S2="Whole roof",100,100+K3))</f>
        <v>100</v>
      </c>
      <c r="T3" s="263" t="s">
        <v>21</v>
      </c>
    </row>
    <row r="4" spans="1:20" ht="14.45" customHeight="1">
      <c r="A4" s="463" t="s">
        <v>22</v>
      </c>
      <c r="B4" s="88" t="s">
        <v>23</v>
      </c>
      <c r="C4" s="88">
        <f>PI()*($C$3/2)^2</f>
        <v>3.1415926535897931E-4</v>
      </c>
      <c r="D4" s="464" t="s">
        <v>24</v>
      </c>
      <c r="J4" s="507" t="s">
        <v>25</v>
      </c>
      <c r="K4" s="189" t="s">
        <v>19</v>
      </c>
      <c r="L4" s="253">
        <v>1</v>
      </c>
      <c r="N4" s="508"/>
      <c r="O4" s="185" t="s">
        <v>26</v>
      </c>
      <c r="P4" s="196">
        <v>-40</v>
      </c>
      <c r="R4" s="261" t="s">
        <v>27</v>
      </c>
      <c r="S4" s="262">
        <f>IF(S2="Half roof",0,IF(S2="Whole roof",350,350 + 150*K3+S5*45))</f>
        <v>350</v>
      </c>
      <c r="T4" s="263" t="s">
        <v>28</v>
      </c>
    </row>
    <row r="5" spans="1:20" ht="14.45" customHeight="1">
      <c r="A5" s="463" t="s">
        <v>29</v>
      </c>
      <c r="B5" s="88" t="s">
        <v>30</v>
      </c>
      <c r="C5" s="458">
        <v>0.05</v>
      </c>
      <c r="D5" s="464"/>
      <c r="J5" s="507"/>
      <c r="K5" s="189" t="s">
        <v>26</v>
      </c>
      <c r="L5" s="253">
        <v>1</v>
      </c>
      <c r="N5" s="193" t="s">
        <v>31</v>
      </c>
      <c r="O5" s="283">
        <f>SQRT(P3^2+P4^2 +(O6+O7+1.5)^2)</f>
        <v>63.93160407810835</v>
      </c>
      <c r="P5" s="197" t="s">
        <v>2</v>
      </c>
      <c r="R5" s="265" t="s">
        <v>32</v>
      </c>
      <c r="S5" s="266" t="str">
        <f>IF(S2="Additional Catchment",SQRT(L4^2+L5^2),"N/A")</f>
        <v>N/A</v>
      </c>
      <c r="T5" s="267" t="s">
        <v>21</v>
      </c>
    </row>
    <row r="6" spans="1:20" ht="28.9">
      <c r="A6" s="463" t="s">
        <v>33</v>
      </c>
      <c r="B6" s="88" t="s">
        <v>34</v>
      </c>
      <c r="C6" s="458">
        <v>8</v>
      </c>
      <c r="D6" s="465">
        <v>12</v>
      </c>
      <c r="E6" s="322" t="s">
        <v>35</v>
      </c>
      <c r="J6" s="254" t="s">
        <v>36</v>
      </c>
      <c r="K6" s="250">
        <v>1500</v>
      </c>
      <c r="L6" s="255" t="s">
        <v>8</v>
      </c>
      <c r="N6" s="193" t="s">
        <v>37</v>
      </c>
      <c r="O6" s="194">
        <v>20</v>
      </c>
      <c r="P6" s="197" t="s">
        <v>21</v>
      </c>
    </row>
    <row r="7" spans="1:20">
      <c r="A7" s="463" t="s">
        <v>38</v>
      </c>
      <c r="B7" s="88" t="s">
        <v>39</v>
      </c>
      <c r="C7" s="88">
        <f>9.81*1000*(InputOutputData!C1)</f>
        <v>196200</v>
      </c>
      <c r="D7" s="464" t="s">
        <v>40</v>
      </c>
      <c r="E7" t="s">
        <v>41</v>
      </c>
      <c r="J7" s="256" t="s">
        <v>42</v>
      </c>
      <c r="K7" s="257">
        <f>IF(K6=400,200,IF(K6=1500,500,IF(K6=2500,900,2000)))</f>
        <v>500</v>
      </c>
      <c r="L7" s="258" t="s">
        <v>28</v>
      </c>
      <c r="N7" s="198" t="s">
        <v>43</v>
      </c>
      <c r="O7" s="199">
        <v>0</v>
      </c>
      <c r="P7" s="200" t="s">
        <v>2</v>
      </c>
    </row>
    <row r="8" spans="1:20">
      <c r="A8" s="463" t="s">
        <v>44</v>
      </c>
      <c r="B8" s="88" t="s">
        <v>45</v>
      </c>
      <c r="C8" s="459">
        <v>432</v>
      </c>
      <c r="D8" s="464" t="s">
        <v>46</v>
      </c>
      <c r="N8" t="s">
        <v>47</v>
      </c>
      <c r="O8">
        <f>275*O2</f>
        <v>9900</v>
      </c>
      <c r="P8" t="s">
        <v>28</v>
      </c>
    </row>
    <row r="9" spans="1:20">
      <c r="A9" s="466" t="s">
        <v>38</v>
      </c>
      <c r="B9" s="467" t="s">
        <v>39</v>
      </c>
      <c r="C9" s="467">
        <f>1000*9.81*(O6+O7)</f>
        <v>196200</v>
      </c>
      <c r="D9" s="468" t="s">
        <v>40</v>
      </c>
      <c r="E9" t="s">
        <v>48</v>
      </c>
      <c r="N9" t="s">
        <v>49</v>
      </c>
      <c r="O9" s="9">
        <f>IF(O7=0,0,20*(O2)^1.6 + 120*(O7)^1.8)</f>
        <v>0</v>
      </c>
      <c r="P9" t="s">
        <v>28</v>
      </c>
    </row>
    <row r="10" spans="1:20" ht="14.45" customHeight="1">
      <c r="J10" s="509" t="s">
        <v>50</v>
      </c>
      <c r="K10" s="510"/>
      <c r="L10" s="511"/>
      <c r="O10" s="209"/>
      <c r="P10" s="210" t="s">
        <v>51</v>
      </c>
    </row>
    <row r="11" spans="1:20">
      <c r="C11" s="102" t="s">
        <v>52</v>
      </c>
      <c r="D11" s="104" t="s">
        <v>53</v>
      </c>
      <c r="E11" s="502" t="s">
        <v>54</v>
      </c>
      <c r="F11" s="502"/>
      <c r="G11" s="503"/>
      <c r="J11" s="201" t="s">
        <v>55</v>
      </c>
      <c r="K11" s="202" t="s">
        <v>56</v>
      </c>
      <c r="L11" s="203"/>
      <c r="O11" s="211" t="s">
        <v>18</v>
      </c>
      <c r="P11" s="212" t="s">
        <v>57</v>
      </c>
    </row>
    <row r="12" spans="1:20" ht="21" customHeight="1">
      <c r="A12" s="92" t="s">
        <v>58</v>
      </c>
      <c r="B12" s="103" t="s">
        <v>59</v>
      </c>
      <c r="C12" s="105" t="s">
        <v>60</v>
      </c>
      <c r="D12" s="1" t="s">
        <v>61</v>
      </c>
      <c r="E12" s="100" t="s">
        <v>62</v>
      </c>
      <c r="F12" s="1" t="s">
        <v>63</v>
      </c>
      <c r="G12" s="101" t="s">
        <v>64</v>
      </c>
      <c r="J12" s="201" t="s">
        <v>65</v>
      </c>
      <c r="K12" s="204">
        <f>IF(K11="Pump A",-0.0172,IF(K11="Pump B",-0.0039,-0.0151))</f>
        <v>-1.5100000000000001E-2</v>
      </c>
      <c r="L12" s="203"/>
    </row>
    <row r="13" spans="1:20">
      <c r="A13" s="96" t="s">
        <v>66</v>
      </c>
      <c r="B13" s="125" t="s">
        <v>26</v>
      </c>
      <c r="C13" s="115">
        <f>0.167*$H$3</f>
        <v>2511.6800000000003</v>
      </c>
      <c r="D13" s="95">
        <f>IF(B13&lt;&gt;"y","Filter req'd!",IF(B14="y",F13,IF(B15="y",G13,E13)))</f>
        <v>20000</v>
      </c>
      <c r="E13" s="117">
        <v>5000</v>
      </c>
      <c r="F13" s="118">
        <v>20000</v>
      </c>
      <c r="G13" s="119">
        <v>15000</v>
      </c>
      <c r="J13" s="201" t="s">
        <v>67</v>
      </c>
      <c r="K13" s="205">
        <f>IF(K11="Pump A",-0.3605,IF(K11="Pump B",-0.096,-0.5516))</f>
        <v>-0.55159999999999998</v>
      </c>
      <c r="L13" s="203"/>
    </row>
    <row r="14" spans="1:20">
      <c r="A14" s="97" t="s">
        <v>68</v>
      </c>
      <c r="B14" s="126" t="s">
        <v>26</v>
      </c>
      <c r="C14" s="115">
        <f>0.0833*$H$3</f>
        <v>1252.8319999999999</v>
      </c>
      <c r="D14" s="93">
        <f>IF(B14="n","",IF(B15="y",G14,E14))</f>
        <v>20000</v>
      </c>
      <c r="E14" s="120">
        <v>10000</v>
      </c>
      <c r="F14" s="115"/>
      <c r="G14" s="121">
        <v>20000</v>
      </c>
      <c r="J14" s="201" t="s">
        <v>69</v>
      </c>
      <c r="K14" s="205">
        <f>IF(K11="Pump A",150.9,IF(K11="Pump B",237.86,356.8))</f>
        <v>356.8</v>
      </c>
      <c r="L14" s="203"/>
    </row>
    <row r="15" spans="1:20">
      <c r="A15" s="97" t="s">
        <v>70</v>
      </c>
      <c r="B15" s="126" t="s">
        <v>26</v>
      </c>
      <c r="C15" s="115">
        <f>0.00417*$H$3</f>
        <v>62.716799999999999</v>
      </c>
      <c r="D15" s="94">
        <f>IF(B15="y",E15,0)</f>
        <v>20000</v>
      </c>
      <c r="E15" s="122">
        <v>20000</v>
      </c>
      <c r="F15" s="123"/>
      <c r="G15" s="124"/>
      <c r="J15" s="201" t="s">
        <v>23</v>
      </c>
      <c r="K15" s="205">
        <f>IF(K11="Pump A",0.7,IF(K11="Pump B",0.94,0.72))</f>
        <v>0.72</v>
      </c>
      <c r="L15" s="203"/>
    </row>
    <row r="16" spans="1:20">
      <c r="A16" s="116" t="s">
        <v>71</v>
      </c>
      <c r="B16" s="107"/>
      <c r="C16" s="106">
        <f>IF(B13="y",C13,0)+IF(B14="y",C14,0)+IF(B15="y",C15,0)</f>
        <v>3827.2288000000003</v>
      </c>
      <c r="J16" s="206" t="s">
        <v>72</v>
      </c>
      <c r="K16" s="207">
        <f>IF(K11="Pump A",0.39,IF(K11="Pump B",0.85,0.55))</f>
        <v>0.55000000000000004</v>
      </c>
      <c r="L16" s="208"/>
    </row>
    <row r="17" spans="1:24">
      <c r="N17" s="496" t="s">
        <v>73</v>
      </c>
      <c r="O17" s="497"/>
      <c r="P17" s="498"/>
      <c r="Q17" s="1"/>
      <c r="R17" s="499" t="s">
        <v>74</v>
      </c>
      <c r="S17" s="500"/>
      <c r="T17" s="501"/>
      <c r="V17" s="217"/>
      <c r="W17" s="218" t="s">
        <v>75</v>
      </c>
      <c r="X17" s="219"/>
    </row>
    <row r="18" spans="1:24">
      <c r="J18" s="226"/>
      <c r="K18" s="232" t="s">
        <v>76</v>
      </c>
      <c r="L18" s="227"/>
      <c r="N18" s="213"/>
      <c r="O18" s="403">
        <f>K19</f>
        <v>40</v>
      </c>
      <c r="P18" s="214" t="s">
        <v>77</v>
      </c>
      <c r="R18" s="470" t="s">
        <v>78</v>
      </c>
      <c r="S18" s="469">
        <v>10</v>
      </c>
      <c r="T18" s="471" t="s">
        <v>79</v>
      </c>
      <c r="V18" s="220" t="s">
        <v>80</v>
      </c>
      <c r="W18" s="224">
        <v>10</v>
      </c>
      <c r="X18" s="221" t="s">
        <v>81</v>
      </c>
    </row>
    <row r="19" spans="1:24">
      <c r="A19" s="108" t="s">
        <v>82</v>
      </c>
      <c r="B19" s="109"/>
      <c r="C19" s="98"/>
      <c r="D19" s="111" t="s">
        <v>83</v>
      </c>
      <c r="E19" s="112" t="s">
        <v>84</v>
      </c>
      <c r="F19" s="113"/>
      <c r="J19" s="228" t="s">
        <v>73</v>
      </c>
      <c r="K19" s="235">
        <v>40</v>
      </c>
      <c r="L19" s="229" t="s">
        <v>77</v>
      </c>
      <c r="N19" s="213" t="s">
        <v>85</v>
      </c>
      <c r="O19" s="237">
        <f>IF(O18=50,850,IF(O18=40,600,500))</f>
        <v>600</v>
      </c>
      <c r="P19" s="214" t="s">
        <v>28</v>
      </c>
      <c r="Q19" s="188"/>
      <c r="R19" s="470" t="s">
        <v>86</v>
      </c>
      <c r="S19" s="469">
        <v>50</v>
      </c>
      <c r="T19" s="471" t="s">
        <v>87</v>
      </c>
      <c r="V19" s="220" t="s">
        <v>88</v>
      </c>
      <c r="W19" s="224">
        <v>100</v>
      </c>
      <c r="X19" s="221" t="s">
        <v>89</v>
      </c>
    </row>
    <row r="20" spans="1:24">
      <c r="A20" s="110" t="s">
        <v>90</v>
      </c>
      <c r="B20" s="295">
        <f>C8</f>
        <v>432</v>
      </c>
      <c r="C20" t="s">
        <v>91</v>
      </c>
      <c r="D20" s="183">
        <f>'Satisfaction Values'!E7</f>
        <v>0.13</v>
      </c>
      <c r="E20" s="114" t="s">
        <v>92</v>
      </c>
      <c r="F20" s="291">
        <f>'Satisfaction Values'!J7</f>
        <v>61.750181486980757</v>
      </c>
      <c r="J20" s="230" t="s">
        <v>93</v>
      </c>
      <c r="K20" s="236" t="s">
        <v>75</v>
      </c>
      <c r="L20" s="231">
        <f>COUNTIF(K20,"Ozone")</f>
        <v>0</v>
      </c>
      <c r="N20" s="213" t="s">
        <v>94</v>
      </c>
      <c r="O20" s="237">
        <f>IF(O18=50,110,IF(O18=40,80,60))</f>
        <v>80</v>
      </c>
      <c r="P20" s="214" t="s">
        <v>28</v>
      </c>
      <c r="Q20" s="188"/>
      <c r="R20" s="470" t="s">
        <v>95</v>
      </c>
      <c r="S20" s="469">
        <v>2</v>
      </c>
      <c r="T20" s="471" t="s">
        <v>96</v>
      </c>
      <c r="V20" s="220" t="s">
        <v>97</v>
      </c>
      <c r="W20" s="224">
        <v>5</v>
      </c>
      <c r="X20" s="221" t="s">
        <v>98</v>
      </c>
    </row>
    <row r="21" spans="1:24">
      <c r="A21" s="110" t="s">
        <v>99</v>
      </c>
      <c r="B21" s="295">
        <f>'Satisfaction Values'!D8</f>
        <v>20</v>
      </c>
      <c r="C21" t="s">
        <v>100</v>
      </c>
      <c r="D21" s="183">
        <f>'Satisfaction Values'!E8</f>
        <v>0.15</v>
      </c>
      <c r="E21" s="114" t="s">
        <v>101</v>
      </c>
      <c r="F21" s="291">
        <f>'Satisfaction Values'!J8</f>
        <v>81.174490092936679</v>
      </c>
      <c r="N21" s="213" t="s">
        <v>102</v>
      </c>
      <c r="O21" s="237">
        <v>365</v>
      </c>
      <c r="P21" s="214" t="s">
        <v>103</v>
      </c>
      <c r="Q21" s="188"/>
      <c r="R21" s="472" t="s">
        <v>85</v>
      </c>
      <c r="S21" s="473">
        <v>4000</v>
      </c>
      <c r="T21" s="474" t="s">
        <v>28</v>
      </c>
      <c r="V21" s="220" t="s">
        <v>85</v>
      </c>
      <c r="W21" s="224">
        <v>700</v>
      </c>
      <c r="X21" s="221" t="s">
        <v>28</v>
      </c>
    </row>
    <row r="22" spans="1:24">
      <c r="A22" s="110" t="s">
        <v>104</v>
      </c>
      <c r="B22" s="488">
        <f>'Satisfaction Values'!D9</f>
        <v>28.586890637205048</v>
      </c>
      <c r="C22" t="s">
        <v>105</v>
      </c>
      <c r="D22" s="290">
        <f>'Satisfaction Values'!E9</f>
        <v>0.13</v>
      </c>
      <c r="E22" s="114" t="s">
        <v>106</v>
      </c>
      <c r="F22" s="291">
        <f>'Satisfaction Values'!J9</f>
        <v>56.807922345532369</v>
      </c>
      <c r="N22" s="213" t="s">
        <v>107</v>
      </c>
      <c r="O22" s="237">
        <f>O18</f>
        <v>40</v>
      </c>
      <c r="P22" s="214" t="s">
        <v>77</v>
      </c>
      <c r="Q22" s="188"/>
      <c r="V22" s="220" t="s">
        <v>108</v>
      </c>
      <c r="W22" s="224">
        <v>100</v>
      </c>
      <c r="X22" s="221" t="s">
        <v>28</v>
      </c>
    </row>
    <row r="23" spans="1:24">
      <c r="A23" s="286" t="s">
        <v>109</v>
      </c>
      <c r="B23" s="489">
        <f>'Satisfaction Values'!D10</f>
        <v>44.44035976071509</v>
      </c>
      <c r="C23" s="287" t="s">
        <v>110</v>
      </c>
      <c r="D23" s="294">
        <f>'Satisfaction Values'!E10</f>
        <v>0.22</v>
      </c>
      <c r="E23" s="297" t="s">
        <v>111</v>
      </c>
      <c r="F23" s="292">
        <f>'Satisfaction Values'!J10</f>
        <v>82.88143942766304</v>
      </c>
      <c r="J23" s="233" t="s">
        <v>112</v>
      </c>
      <c r="K23" s="234" t="s">
        <v>113</v>
      </c>
      <c r="N23" s="215" t="s">
        <v>114</v>
      </c>
      <c r="O23" s="238">
        <f>IF(O18=36,25,IF(O18=40,35,40))</f>
        <v>35</v>
      </c>
      <c r="P23" s="216" t="s">
        <v>115</v>
      </c>
      <c r="Q23" s="188"/>
      <c r="V23" s="222" t="s">
        <v>116</v>
      </c>
      <c r="W23" s="225">
        <v>3</v>
      </c>
      <c r="X23" s="223" t="s">
        <v>117</v>
      </c>
    </row>
    <row r="24" spans="1:24">
      <c r="A24" s="288" t="s">
        <v>118</v>
      </c>
      <c r="B24" s="270">
        <f>'Satisfaction Values'!D11</f>
        <v>14.161044784154875</v>
      </c>
      <c r="C24" s="13" t="s">
        <v>119</v>
      </c>
      <c r="D24" s="295">
        <f>'Satisfaction Values'!E11</f>
        <v>7.0000000000000007E-2</v>
      </c>
      <c r="E24" s="35" t="s">
        <v>120</v>
      </c>
      <c r="F24" s="293">
        <f>'Satisfaction Values'!J11</f>
        <v>61.741014975442312</v>
      </c>
    </row>
    <row r="25" spans="1:24">
      <c r="A25" s="288" t="s">
        <v>121</v>
      </c>
      <c r="B25" s="360">
        <f>'Satisfaction Values'!D12</f>
        <v>69.192576268486306</v>
      </c>
      <c r="C25" s="13" t="s">
        <v>110</v>
      </c>
      <c r="D25" s="295">
        <f>'Satisfaction Values'!E12</f>
        <v>0.05</v>
      </c>
      <c r="E25" s="35" t="s">
        <v>122</v>
      </c>
      <c r="F25" s="293">
        <f>'Satisfaction Values'!J12</f>
        <v>31.144846618276777</v>
      </c>
      <c r="H25" s="239"/>
      <c r="I25" s="240" t="s">
        <v>113</v>
      </c>
      <c r="J25" s="241"/>
      <c r="N25" s="394" t="s">
        <v>123</v>
      </c>
      <c r="O25" s="395">
        <v>3</v>
      </c>
      <c r="P25" s="396" t="s">
        <v>124</v>
      </c>
    </row>
    <row r="26" spans="1:24">
      <c r="A26" s="288" t="s">
        <v>125</v>
      </c>
      <c r="B26" s="360">
        <f>'Satisfaction Values'!D13</f>
        <v>346</v>
      </c>
      <c r="C26" s="13" t="s">
        <v>126</v>
      </c>
      <c r="D26" s="295">
        <f>'Satisfaction Values'!E13</f>
        <v>0.1</v>
      </c>
      <c r="E26" s="35" t="s">
        <v>127</v>
      </c>
      <c r="F26" s="293">
        <f>'Satisfaction Values'!J13</f>
        <v>96.338072638267434</v>
      </c>
      <c r="H26" s="242" t="s">
        <v>128</v>
      </c>
      <c r="I26" s="248" t="s">
        <v>129</v>
      </c>
      <c r="J26" s="243"/>
      <c r="N26" s="397" t="s">
        <v>130</v>
      </c>
      <c r="O26" s="398">
        <v>0.96</v>
      </c>
      <c r="P26" s="399"/>
    </row>
    <row r="27" spans="1:24">
      <c r="A27" s="177" t="s">
        <v>131</v>
      </c>
      <c r="B27" s="326">
        <f>'Satisfaction Values'!D14</f>
        <v>0.10861892675750173</v>
      </c>
      <c r="C27" s="289" t="s">
        <v>132</v>
      </c>
      <c r="D27" s="296">
        <f>'Satisfaction Values'!E14</f>
        <v>0.15</v>
      </c>
      <c r="E27" s="35" t="s">
        <v>133</v>
      </c>
      <c r="F27" s="293">
        <f>'Satisfaction Values'!J14</f>
        <v>83.020838378833901</v>
      </c>
      <c r="H27" s="242" t="s">
        <v>20</v>
      </c>
      <c r="I27" s="246">
        <f>IF(I26="HES-260",1.6,IF(I26="SW-80",0.62,2))</f>
        <v>1.6</v>
      </c>
      <c r="J27" s="243" t="s">
        <v>24</v>
      </c>
      <c r="N27" s="397" t="s">
        <v>134</v>
      </c>
      <c r="O27" s="398">
        <v>0.96</v>
      </c>
      <c r="P27" s="399"/>
    </row>
    <row r="28" spans="1:24">
      <c r="E28" s="299" t="s">
        <v>135</v>
      </c>
      <c r="F28" s="298">
        <f>'Satisfaction Values'!B18</f>
        <v>73.788690086099706</v>
      </c>
      <c r="H28" s="242" t="s">
        <v>85</v>
      </c>
      <c r="I28" s="246">
        <f>IF(I26="HES-260",550,IF(I26="SW-80",205,450))</f>
        <v>550</v>
      </c>
      <c r="J28" s="243" t="s">
        <v>28</v>
      </c>
      <c r="N28" s="400" t="s">
        <v>136</v>
      </c>
      <c r="O28" s="401">
        <v>2000</v>
      </c>
      <c r="P28" s="402" t="s">
        <v>137</v>
      </c>
    </row>
    <row r="29" spans="1:24">
      <c r="H29" s="242" t="s">
        <v>138</v>
      </c>
      <c r="I29" s="246">
        <f>IF(I26="HES-260",0.17,IF(I26="SW-80",0.15,0.16))</f>
        <v>0.17</v>
      </c>
      <c r="J29" s="243"/>
      <c r="N29" s="310"/>
      <c r="P29" s="311"/>
    </row>
    <row r="30" spans="1:24">
      <c r="H30" s="242" t="s">
        <v>139</v>
      </c>
      <c r="I30" s="246">
        <f>IF(I26="HES-260",496,IF(I26="SW-80",192,620))</f>
        <v>496</v>
      </c>
      <c r="J30" s="243" t="s">
        <v>140</v>
      </c>
      <c r="N30" s="310"/>
      <c r="P30" s="311"/>
    </row>
    <row r="31" spans="1:24">
      <c r="C31" t="s">
        <v>141</v>
      </c>
      <c r="H31" s="242" t="s">
        <v>142</v>
      </c>
      <c r="I31" s="246">
        <v>4</v>
      </c>
      <c r="J31" s="243" t="s">
        <v>143</v>
      </c>
      <c r="N31" s="306"/>
      <c r="O31" s="312"/>
      <c r="P31" s="313"/>
    </row>
    <row r="32" spans="1:24">
      <c r="C32" t="s">
        <v>144</v>
      </c>
      <c r="H32" s="244" t="s">
        <v>145</v>
      </c>
      <c r="I32" s="247">
        <v>4</v>
      </c>
      <c r="J32" s="245" t="s">
        <v>124</v>
      </c>
    </row>
    <row r="33" spans="1:13">
      <c r="C33" t="s">
        <v>146</v>
      </c>
      <c r="H33" s="447" t="s">
        <v>147</v>
      </c>
      <c r="I33" s="447" t="str">
        <f>IF(K23="Solar","Yes","no")</f>
        <v>Yes</v>
      </c>
      <c r="J33" s="447"/>
      <c r="L33" s="448" t="s">
        <v>148</v>
      </c>
      <c r="M33" s="449" t="str">
        <f>IF(K23="Diesel","y","no")</f>
        <v>no</v>
      </c>
    </row>
    <row r="34" spans="1:13">
      <c r="C34" t="s">
        <v>149</v>
      </c>
      <c r="H34" s="447" t="s">
        <v>42</v>
      </c>
      <c r="I34" s="447">
        <v>2639</v>
      </c>
      <c r="J34" s="447" t="s">
        <v>28</v>
      </c>
      <c r="L34" s="450" t="s">
        <v>85</v>
      </c>
      <c r="M34" s="451">
        <v>3250</v>
      </c>
    </row>
    <row r="35" spans="1:13">
      <c r="C35" t="s">
        <v>150</v>
      </c>
      <c r="H35" s="447" t="s">
        <v>138</v>
      </c>
      <c r="I35" s="447">
        <v>0.92</v>
      </c>
      <c r="J35" s="447"/>
      <c r="L35" s="452" t="s">
        <v>138</v>
      </c>
      <c r="M35" s="453">
        <v>0.35</v>
      </c>
    </row>
    <row r="36" spans="1:13">
      <c r="A36" t="s">
        <v>151</v>
      </c>
      <c r="B36" t="s">
        <v>152</v>
      </c>
      <c r="D36" s="494" t="s">
        <v>153</v>
      </c>
      <c r="E36" s="495">
        <v>2</v>
      </c>
      <c r="H36" s="447" t="s">
        <v>139</v>
      </c>
      <c r="I36" s="447">
        <v>100</v>
      </c>
      <c r="J36" s="447" t="s">
        <v>140</v>
      </c>
    </row>
  </sheetData>
  <mergeCells count="7">
    <mergeCell ref="N17:P17"/>
    <mergeCell ref="R17:T17"/>
    <mergeCell ref="E11:G11"/>
    <mergeCell ref="J1:L1"/>
    <mergeCell ref="J4:J5"/>
    <mergeCell ref="N3:N4"/>
    <mergeCell ref="J10:L10"/>
  </mergeCells>
  <dataValidations count="10">
    <dataValidation type="list" allowBlank="1" showInputMessage="1" showErrorMessage="1" sqref="K2" xr:uid="{E2C82B48-FA8C-43F6-B878-7988CEFFE1EB}">
      <formula1>"None,Half roof, Whole roof,Additional Catchment"</formula1>
    </dataValidation>
    <dataValidation allowBlank="1" showInputMessage="1" showErrorMessage="1" sqref="K3" xr:uid="{E1DC682B-531B-403D-A2C1-2F16114349EB}"/>
    <dataValidation type="list" allowBlank="1" showInputMessage="1" showErrorMessage="1" sqref="K11" xr:uid="{7FA36E36-06E5-43B5-BF20-B3EDEC420D83}">
      <formula1>"Pump A,Pump B, Pump C"</formula1>
    </dataValidation>
    <dataValidation type="list" allowBlank="1" showInputMessage="1" showErrorMessage="1" sqref="P11" xr:uid="{51F9270A-809A-419B-B124-206C76413C16}">
      <formula1>"Up,Down"</formula1>
    </dataValidation>
    <dataValidation type="list" allowBlank="1" showInputMessage="1" showErrorMessage="1" sqref="K19" xr:uid="{323E6F2E-BD3B-4589-9D4C-2C1A342E4A4A}">
      <formula1>"36,40,50"</formula1>
    </dataValidation>
    <dataValidation type="list" allowBlank="1" showInputMessage="1" showErrorMessage="1" sqref="K20" xr:uid="{EBB83073-EB86-4B6C-8570-195EF66AAF45}">
      <formula1>"Ozone,Chlorine"</formula1>
    </dataValidation>
    <dataValidation type="list" allowBlank="1" showInputMessage="1" showErrorMessage="1" sqref="K23" xr:uid="{9D7158F0-29D4-4370-8E95-A9A532689588}">
      <formula1>"Solar,Diesel"</formula1>
    </dataValidation>
    <dataValidation type="list" allowBlank="1" showInputMessage="1" showErrorMessage="1" sqref="I26" xr:uid="{A9D78B84-9C06-49F6-9798-735B81A87306}">
      <formula1>"HES-260,SW-80,HES-305P"</formula1>
    </dataValidation>
    <dataValidation type="list" allowBlank="1" showInputMessage="1" showErrorMessage="1" sqref="K6" xr:uid="{1A44A955-3EFF-419C-A70D-E3E67010C6A0}">
      <formula1>"400,1500,2500,10000"</formula1>
    </dataValidation>
    <dataValidation type="list" allowBlank="1" showInputMessage="1" showErrorMessage="1" sqref="E36" xr:uid="{B7D3D854-0906-4038-B1FD-67D073C6B94F}">
      <formula1>"1,2,3,4"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AAF3-616C-4C55-8163-3E52BFCD1BC6}">
  <dimension ref="B2:F368"/>
  <sheetViews>
    <sheetView workbookViewId="0">
      <selection activeCell="E12" sqref="E12"/>
    </sheetView>
  </sheetViews>
  <sheetFormatPr defaultRowHeight="14.45"/>
  <cols>
    <col min="2" max="2" width="11.140625" customWidth="1"/>
    <col min="3" max="3" width="19.28515625" customWidth="1"/>
    <col min="4" max="4" width="20.7109375" customWidth="1"/>
    <col min="5" max="5" width="21.42578125" customWidth="1"/>
    <col min="6" max="6" width="27.28515625" customWidth="1"/>
  </cols>
  <sheetData>
    <row r="2" spans="2:6" ht="28.9">
      <c r="B2" s="53" t="s">
        <v>174</v>
      </c>
      <c r="C2" s="491" t="s">
        <v>358</v>
      </c>
      <c r="D2" s="492" t="s">
        <v>359</v>
      </c>
      <c r="E2" s="493" t="s">
        <v>360</v>
      </c>
      <c r="F2" s="493" t="s">
        <v>361</v>
      </c>
    </row>
    <row r="3" spans="2:6">
      <c r="B3" s="53" t="s">
        <v>159</v>
      </c>
      <c r="C3" s="54" t="s">
        <v>287</v>
      </c>
      <c r="D3" s="12">
        <v>7.8</v>
      </c>
      <c r="E3">
        <v>0</v>
      </c>
      <c r="F3">
        <v>0</v>
      </c>
    </row>
    <row r="4" spans="2:6">
      <c r="B4" s="55">
        <v>41640</v>
      </c>
      <c r="C4" s="56">
        <v>18.8</v>
      </c>
      <c r="D4" s="12">
        <v>1</v>
      </c>
      <c r="E4">
        <v>1.4</v>
      </c>
      <c r="F4">
        <v>0</v>
      </c>
    </row>
    <row r="5" spans="2:6">
      <c r="B5" s="55">
        <v>41641</v>
      </c>
      <c r="C5" s="56">
        <v>19.8</v>
      </c>
      <c r="D5" s="12">
        <v>13.4</v>
      </c>
      <c r="E5">
        <v>7.8</v>
      </c>
      <c r="F5">
        <v>0</v>
      </c>
    </row>
    <row r="6" spans="2:6">
      <c r="B6" s="55">
        <v>41642</v>
      </c>
      <c r="C6" s="56">
        <v>0</v>
      </c>
      <c r="D6" s="12">
        <v>64.2</v>
      </c>
      <c r="E6">
        <v>29.6</v>
      </c>
      <c r="F6">
        <v>0</v>
      </c>
    </row>
    <row r="7" spans="2:6">
      <c r="B7" s="55">
        <v>41643</v>
      </c>
      <c r="C7" s="56">
        <v>0</v>
      </c>
      <c r="D7" s="12">
        <v>32.200000000000003</v>
      </c>
      <c r="E7">
        <v>6</v>
      </c>
      <c r="F7">
        <v>4.4000000000000004</v>
      </c>
    </row>
    <row r="8" spans="2:6">
      <c r="B8" s="55">
        <v>41644</v>
      </c>
      <c r="C8" s="56">
        <v>0</v>
      </c>
      <c r="D8" s="12">
        <v>2.8</v>
      </c>
      <c r="E8">
        <v>0</v>
      </c>
      <c r="F8">
        <v>5.6</v>
      </c>
    </row>
    <row r="9" spans="2:6">
      <c r="B9" s="55">
        <v>41645</v>
      </c>
      <c r="C9" s="56">
        <v>5</v>
      </c>
      <c r="D9" s="12">
        <v>0</v>
      </c>
      <c r="E9">
        <v>0</v>
      </c>
      <c r="F9">
        <v>5</v>
      </c>
    </row>
    <row r="10" spans="2:6">
      <c r="B10" s="55">
        <v>41646</v>
      </c>
      <c r="C10" s="56">
        <v>20.399999999999999</v>
      </c>
      <c r="D10" s="12">
        <v>0</v>
      </c>
      <c r="E10">
        <v>0</v>
      </c>
      <c r="F10">
        <v>2.6</v>
      </c>
    </row>
    <row r="11" spans="2:6">
      <c r="B11" s="55">
        <v>41647</v>
      </c>
      <c r="C11" s="56">
        <v>24.8</v>
      </c>
      <c r="D11" s="12">
        <v>0.8</v>
      </c>
      <c r="E11">
        <v>1</v>
      </c>
      <c r="F11">
        <v>0.2</v>
      </c>
    </row>
    <row r="12" spans="2:6">
      <c r="B12" s="55">
        <v>41648</v>
      </c>
      <c r="C12" s="56">
        <v>34</v>
      </c>
      <c r="D12" s="12">
        <v>0</v>
      </c>
      <c r="E12">
        <v>0.6</v>
      </c>
      <c r="F12">
        <v>0</v>
      </c>
    </row>
    <row r="13" spans="2:6">
      <c r="B13" s="55">
        <v>41649</v>
      </c>
      <c r="C13" s="56">
        <v>44.6</v>
      </c>
      <c r="D13" s="12">
        <v>0</v>
      </c>
      <c r="E13">
        <v>1.6</v>
      </c>
      <c r="F13">
        <v>0</v>
      </c>
    </row>
    <row r="14" spans="2:6">
      <c r="B14" s="55">
        <v>41650</v>
      </c>
      <c r="C14" s="56">
        <v>14.4</v>
      </c>
      <c r="D14" s="12">
        <v>0</v>
      </c>
      <c r="E14">
        <v>0</v>
      </c>
      <c r="F14">
        <v>0</v>
      </c>
    </row>
    <row r="15" spans="2:6">
      <c r="B15" s="55">
        <v>41651</v>
      </c>
      <c r="C15" s="56">
        <v>50.2</v>
      </c>
      <c r="D15" s="12">
        <v>0</v>
      </c>
      <c r="E15">
        <v>0</v>
      </c>
      <c r="F15">
        <v>0</v>
      </c>
    </row>
    <row r="16" spans="2:6">
      <c r="B16" s="55">
        <v>41652</v>
      </c>
      <c r="C16" s="56">
        <v>9.6</v>
      </c>
      <c r="D16" s="12">
        <v>0.4</v>
      </c>
      <c r="E16">
        <v>0</v>
      </c>
      <c r="F16">
        <v>0</v>
      </c>
    </row>
    <row r="17" spans="2:6">
      <c r="B17" s="55">
        <v>41653</v>
      </c>
      <c r="C17" s="56">
        <v>5.8</v>
      </c>
      <c r="D17" s="12">
        <v>35.4</v>
      </c>
      <c r="E17">
        <v>12.4</v>
      </c>
      <c r="F17">
        <v>1</v>
      </c>
    </row>
    <row r="18" spans="2:6">
      <c r="B18" s="55">
        <v>41654</v>
      </c>
      <c r="C18" s="56">
        <v>1.6</v>
      </c>
      <c r="D18" s="12">
        <v>6</v>
      </c>
      <c r="E18">
        <v>1.6</v>
      </c>
      <c r="F18">
        <v>1.2</v>
      </c>
    </row>
    <row r="19" spans="2:6">
      <c r="B19" s="55">
        <v>41655</v>
      </c>
      <c r="C19" s="56">
        <v>0.8</v>
      </c>
      <c r="D19" s="12">
        <v>20.399999999999999</v>
      </c>
      <c r="E19">
        <v>28.8</v>
      </c>
      <c r="F19">
        <v>2.2000000000000002</v>
      </c>
    </row>
    <row r="20" spans="2:6">
      <c r="B20" s="55">
        <v>41656</v>
      </c>
      <c r="C20" s="56">
        <v>0</v>
      </c>
      <c r="D20" s="12">
        <v>16.600000000000001</v>
      </c>
      <c r="E20">
        <v>1</v>
      </c>
      <c r="F20">
        <v>0</v>
      </c>
    </row>
    <row r="21" spans="2:6">
      <c r="B21" s="55">
        <v>41657</v>
      </c>
      <c r="C21" s="56">
        <v>2.6</v>
      </c>
      <c r="D21" s="12">
        <v>2.6</v>
      </c>
      <c r="E21">
        <v>0</v>
      </c>
      <c r="F21">
        <v>0</v>
      </c>
    </row>
    <row r="22" spans="2:6">
      <c r="B22" s="55">
        <v>41658</v>
      </c>
      <c r="C22" s="56">
        <v>1</v>
      </c>
      <c r="D22" s="12">
        <v>0.4</v>
      </c>
      <c r="E22">
        <v>0</v>
      </c>
      <c r="F22">
        <v>0</v>
      </c>
    </row>
    <row r="23" spans="2:6">
      <c r="B23" s="55">
        <v>41659</v>
      </c>
      <c r="C23" s="56">
        <v>0.6</v>
      </c>
      <c r="D23" s="12">
        <v>18.399999999999999</v>
      </c>
      <c r="E23">
        <v>7.2</v>
      </c>
      <c r="F23">
        <v>0</v>
      </c>
    </row>
    <row r="24" spans="2:6">
      <c r="B24" s="55">
        <v>41660</v>
      </c>
      <c r="C24" s="56">
        <v>0.8</v>
      </c>
      <c r="D24" s="12">
        <v>14</v>
      </c>
      <c r="E24">
        <v>5.2</v>
      </c>
      <c r="F24">
        <v>0.2</v>
      </c>
    </row>
    <row r="25" spans="2:6">
      <c r="B25" s="55">
        <v>41661</v>
      </c>
      <c r="C25" s="56">
        <v>0.6</v>
      </c>
      <c r="D25" s="12">
        <v>90.8</v>
      </c>
      <c r="E25">
        <v>5.6</v>
      </c>
      <c r="F25">
        <v>6.4</v>
      </c>
    </row>
    <row r="26" spans="2:6">
      <c r="B26" s="55">
        <v>41662</v>
      </c>
      <c r="C26" s="56">
        <v>0</v>
      </c>
      <c r="D26" s="12">
        <v>40</v>
      </c>
      <c r="E26">
        <v>6.6</v>
      </c>
      <c r="F26">
        <v>2.2000000000000002</v>
      </c>
    </row>
    <row r="27" spans="2:6">
      <c r="B27" s="55">
        <v>41663</v>
      </c>
      <c r="C27" s="56">
        <v>0</v>
      </c>
      <c r="D27" s="12">
        <v>1.8</v>
      </c>
      <c r="E27">
        <v>0</v>
      </c>
      <c r="F27">
        <v>0.2</v>
      </c>
    </row>
    <row r="28" spans="2:6">
      <c r="B28" s="55">
        <v>41664</v>
      </c>
      <c r="C28" s="56">
        <v>0</v>
      </c>
      <c r="D28" s="12">
        <v>2.8</v>
      </c>
      <c r="E28">
        <v>0</v>
      </c>
      <c r="F28">
        <v>1.6</v>
      </c>
    </row>
    <row r="29" spans="2:6">
      <c r="B29" s="55">
        <v>41665</v>
      </c>
      <c r="C29" s="56">
        <v>0</v>
      </c>
      <c r="D29" s="12">
        <v>2.8</v>
      </c>
      <c r="E29">
        <v>0.6</v>
      </c>
      <c r="F29">
        <v>4.5999999999999996</v>
      </c>
    </row>
    <row r="30" spans="2:6">
      <c r="B30" s="55">
        <v>41666</v>
      </c>
      <c r="C30" s="56">
        <v>17.600000000000001</v>
      </c>
      <c r="D30" s="12">
        <v>0</v>
      </c>
      <c r="E30">
        <v>0</v>
      </c>
      <c r="F30">
        <v>10.4</v>
      </c>
    </row>
    <row r="31" spans="2:6">
      <c r="B31" s="55">
        <v>41667</v>
      </c>
      <c r="C31" s="56">
        <v>0</v>
      </c>
      <c r="D31" s="12">
        <v>0</v>
      </c>
      <c r="E31">
        <v>0</v>
      </c>
      <c r="F31">
        <v>10.8</v>
      </c>
    </row>
    <row r="32" spans="2:6">
      <c r="B32" s="55">
        <v>41668</v>
      </c>
      <c r="C32" s="56">
        <v>0</v>
      </c>
      <c r="D32" s="12">
        <v>0.6</v>
      </c>
      <c r="E32">
        <v>0</v>
      </c>
      <c r="F32">
        <v>6.2</v>
      </c>
    </row>
    <row r="33" spans="2:6">
      <c r="B33" s="55">
        <v>41669</v>
      </c>
      <c r="C33" s="56">
        <v>0</v>
      </c>
      <c r="D33" s="12">
        <v>5.8</v>
      </c>
      <c r="E33">
        <v>1.2</v>
      </c>
      <c r="F33">
        <v>1.4</v>
      </c>
    </row>
    <row r="34" spans="2:6">
      <c r="B34" s="55">
        <v>41670</v>
      </c>
      <c r="C34" s="56">
        <v>2.6</v>
      </c>
      <c r="D34" s="12">
        <v>8</v>
      </c>
      <c r="E34">
        <v>1.8</v>
      </c>
      <c r="F34">
        <v>0</v>
      </c>
    </row>
    <row r="35" spans="2:6">
      <c r="B35" s="55">
        <v>41671</v>
      </c>
      <c r="C35" s="56">
        <v>2.6</v>
      </c>
      <c r="D35" s="12">
        <v>27</v>
      </c>
      <c r="E35">
        <v>4</v>
      </c>
      <c r="F35">
        <v>1</v>
      </c>
    </row>
    <row r="36" spans="2:6">
      <c r="B36" s="55">
        <v>41672</v>
      </c>
      <c r="C36" s="56">
        <v>0</v>
      </c>
      <c r="D36" s="12">
        <v>0.6</v>
      </c>
      <c r="E36">
        <v>1.4</v>
      </c>
      <c r="F36">
        <v>8</v>
      </c>
    </row>
    <row r="37" spans="2:6">
      <c r="B37" s="55">
        <v>41673</v>
      </c>
      <c r="C37" s="56">
        <v>0</v>
      </c>
      <c r="D37" s="12">
        <v>36</v>
      </c>
      <c r="E37">
        <v>17</v>
      </c>
      <c r="F37">
        <v>1.6</v>
      </c>
    </row>
    <row r="38" spans="2:6">
      <c r="B38" s="55">
        <v>41674</v>
      </c>
      <c r="C38" s="56">
        <v>0</v>
      </c>
      <c r="D38" s="12">
        <v>27.2</v>
      </c>
      <c r="E38">
        <v>39.6</v>
      </c>
      <c r="F38">
        <v>3.8</v>
      </c>
    </row>
    <row r="39" spans="2:6">
      <c r="B39" s="55">
        <v>41675</v>
      </c>
      <c r="C39" s="56">
        <v>0</v>
      </c>
      <c r="D39" s="12">
        <v>28.2</v>
      </c>
      <c r="E39">
        <v>9.8000000000000007</v>
      </c>
      <c r="F39">
        <v>0.2</v>
      </c>
    </row>
    <row r="40" spans="2:6">
      <c r="B40" s="55">
        <v>41676</v>
      </c>
      <c r="C40" s="56">
        <v>0</v>
      </c>
      <c r="D40" s="12">
        <v>39.200000000000003</v>
      </c>
      <c r="E40">
        <v>11.4</v>
      </c>
      <c r="F40">
        <v>1.6</v>
      </c>
    </row>
    <row r="41" spans="2:6">
      <c r="B41" s="55">
        <v>41677</v>
      </c>
      <c r="C41" s="56">
        <v>0</v>
      </c>
      <c r="D41" s="12">
        <v>6.6</v>
      </c>
      <c r="E41">
        <v>13.2</v>
      </c>
      <c r="F41">
        <v>0.2</v>
      </c>
    </row>
    <row r="42" spans="2:6">
      <c r="B42" s="55">
        <v>41678</v>
      </c>
      <c r="C42" s="56">
        <v>0</v>
      </c>
      <c r="D42" s="12">
        <v>3.2</v>
      </c>
      <c r="E42">
        <v>11.8</v>
      </c>
      <c r="F42">
        <v>0</v>
      </c>
    </row>
    <row r="43" spans="2:6">
      <c r="B43" s="55">
        <v>41679</v>
      </c>
      <c r="C43" s="56">
        <v>12.2</v>
      </c>
      <c r="D43" s="12">
        <v>0.2</v>
      </c>
      <c r="E43">
        <v>0.8</v>
      </c>
      <c r="F43">
        <v>1</v>
      </c>
    </row>
    <row r="44" spans="2:6">
      <c r="B44" s="55">
        <v>41680</v>
      </c>
      <c r="C44" s="56">
        <v>13.4</v>
      </c>
      <c r="D44" s="12">
        <v>19.600000000000001</v>
      </c>
      <c r="E44">
        <v>1</v>
      </c>
      <c r="F44">
        <v>1.4</v>
      </c>
    </row>
    <row r="45" spans="2:6">
      <c r="B45" s="55">
        <v>41681</v>
      </c>
      <c r="C45" s="56">
        <v>46.6</v>
      </c>
      <c r="D45" s="12">
        <v>30.4</v>
      </c>
      <c r="E45">
        <v>12.8</v>
      </c>
      <c r="F45">
        <v>4.5999999999999996</v>
      </c>
    </row>
    <row r="46" spans="2:6">
      <c r="B46" s="55">
        <v>41682</v>
      </c>
      <c r="C46" s="56">
        <v>16.8</v>
      </c>
      <c r="D46" s="12">
        <v>19</v>
      </c>
      <c r="E46">
        <v>16.2</v>
      </c>
      <c r="F46">
        <v>3</v>
      </c>
    </row>
    <row r="47" spans="2:6">
      <c r="B47" s="55">
        <v>41683</v>
      </c>
      <c r="C47" s="56">
        <v>15.6</v>
      </c>
      <c r="D47" s="12">
        <v>0.2</v>
      </c>
      <c r="E47">
        <v>0</v>
      </c>
      <c r="F47">
        <v>5.6</v>
      </c>
    </row>
    <row r="48" spans="2:6">
      <c r="B48" s="55">
        <v>41684</v>
      </c>
      <c r="C48" s="56">
        <v>3</v>
      </c>
      <c r="D48" s="12">
        <v>0</v>
      </c>
      <c r="E48">
        <v>0</v>
      </c>
      <c r="F48">
        <v>2.4</v>
      </c>
    </row>
    <row r="49" spans="2:6">
      <c r="B49" s="55">
        <v>41685</v>
      </c>
      <c r="C49" s="56">
        <v>11.6</v>
      </c>
      <c r="D49" s="12">
        <v>0</v>
      </c>
      <c r="E49">
        <v>0</v>
      </c>
      <c r="F49">
        <v>0</v>
      </c>
    </row>
    <row r="50" spans="2:6">
      <c r="B50" s="55">
        <v>41686</v>
      </c>
      <c r="C50" s="56">
        <v>19</v>
      </c>
      <c r="D50" s="12">
        <v>0</v>
      </c>
      <c r="E50">
        <v>0</v>
      </c>
      <c r="F50">
        <v>0</v>
      </c>
    </row>
    <row r="51" spans="2:6">
      <c r="B51" s="55">
        <v>41687</v>
      </c>
      <c r="C51" s="56">
        <v>9.1999999999999993</v>
      </c>
      <c r="D51" s="12">
        <v>4</v>
      </c>
      <c r="E51">
        <v>0</v>
      </c>
      <c r="F51">
        <v>0</v>
      </c>
    </row>
    <row r="52" spans="2:6">
      <c r="B52" s="55">
        <v>41688</v>
      </c>
      <c r="C52" s="56">
        <v>12.6</v>
      </c>
      <c r="D52" s="12">
        <v>11</v>
      </c>
      <c r="E52">
        <v>0</v>
      </c>
      <c r="F52">
        <v>0</v>
      </c>
    </row>
    <row r="53" spans="2:6">
      <c r="B53" s="55">
        <v>41689</v>
      </c>
      <c r="C53" s="56">
        <v>21.8</v>
      </c>
      <c r="D53" s="12">
        <v>0.4</v>
      </c>
      <c r="E53">
        <v>0</v>
      </c>
      <c r="F53">
        <v>2.2000000000000002</v>
      </c>
    </row>
    <row r="54" spans="2:6">
      <c r="B54" s="55">
        <v>41690</v>
      </c>
      <c r="C54" s="56">
        <v>2.4</v>
      </c>
      <c r="D54" s="12">
        <v>0</v>
      </c>
      <c r="E54">
        <v>0</v>
      </c>
      <c r="F54">
        <v>9</v>
      </c>
    </row>
    <row r="55" spans="2:6">
      <c r="B55" s="55">
        <v>41691</v>
      </c>
      <c r="C55" s="56">
        <v>0.8</v>
      </c>
      <c r="D55" s="12">
        <v>0</v>
      </c>
      <c r="E55">
        <v>0</v>
      </c>
      <c r="F55">
        <v>10.6</v>
      </c>
    </row>
    <row r="56" spans="2:6">
      <c r="B56" s="55">
        <v>41692</v>
      </c>
      <c r="C56" s="56">
        <v>4.8</v>
      </c>
      <c r="D56" s="12">
        <v>0</v>
      </c>
      <c r="E56">
        <v>0</v>
      </c>
      <c r="F56">
        <v>4.5999999999999996</v>
      </c>
    </row>
    <row r="57" spans="2:6">
      <c r="B57" s="55">
        <v>41693</v>
      </c>
      <c r="C57" s="56">
        <v>14.6</v>
      </c>
      <c r="D57" s="12">
        <v>0.2</v>
      </c>
      <c r="E57">
        <v>0</v>
      </c>
      <c r="F57">
        <v>23.6</v>
      </c>
    </row>
    <row r="58" spans="2:6">
      <c r="B58" s="55">
        <v>41694</v>
      </c>
      <c r="C58" s="56">
        <v>6.8</v>
      </c>
      <c r="D58" s="12">
        <v>4.5999999999999996</v>
      </c>
      <c r="E58">
        <v>1.6</v>
      </c>
      <c r="F58">
        <v>1.6</v>
      </c>
    </row>
    <row r="59" spans="2:6">
      <c r="B59" s="55">
        <v>41695</v>
      </c>
      <c r="C59" s="56">
        <v>0</v>
      </c>
      <c r="D59" s="12">
        <v>8.8000000000000007</v>
      </c>
      <c r="E59">
        <v>8.1999999999999993</v>
      </c>
      <c r="F59">
        <v>2.2000000000000002</v>
      </c>
    </row>
    <row r="60" spans="2:6">
      <c r="B60" s="55">
        <v>41696</v>
      </c>
      <c r="C60" s="56">
        <v>0.8</v>
      </c>
      <c r="D60" s="12">
        <v>0.4</v>
      </c>
      <c r="E60">
        <v>0</v>
      </c>
      <c r="F60">
        <v>0.2</v>
      </c>
    </row>
    <row r="61" spans="2:6">
      <c r="B61" s="55">
        <v>41697</v>
      </c>
      <c r="C61" s="56">
        <v>0</v>
      </c>
      <c r="D61" s="12">
        <v>0</v>
      </c>
      <c r="E61">
        <v>0</v>
      </c>
      <c r="F61">
        <v>8.6</v>
      </c>
    </row>
    <row r="62" spans="2:6">
      <c r="B62" s="55">
        <v>41698</v>
      </c>
      <c r="C62" s="56">
        <v>0.4</v>
      </c>
      <c r="D62" s="12">
        <v>1.2</v>
      </c>
      <c r="E62">
        <v>2.2000000000000002</v>
      </c>
      <c r="F62">
        <v>20</v>
      </c>
    </row>
    <row r="63" spans="2:6">
      <c r="B63" s="55">
        <v>41699</v>
      </c>
      <c r="C63" s="56">
        <v>2</v>
      </c>
      <c r="D63" s="12">
        <v>0</v>
      </c>
      <c r="E63">
        <v>0</v>
      </c>
      <c r="F63">
        <v>4.4000000000000004</v>
      </c>
    </row>
    <row r="64" spans="2:6">
      <c r="B64" s="55">
        <v>41700</v>
      </c>
      <c r="C64" s="56">
        <v>19</v>
      </c>
      <c r="D64" s="12">
        <v>0</v>
      </c>
      <c r="E64">
        <v>0</v>
      </c>
      <c r="F64">
        <v>0</v>
      </c>
    </row>
    <row r="65" spans="2:6">
      <c r="B65" s="55">
        <v>41701</v>
      </c>
      <c r="C65" s="56">
        <v>1</v>
      </c>
      <c r="D65" s="12">
        <v>0.4</v>
      </c>
      <c r="E65">
        <v>0</v>
      </c>
      <c r="F65">
        <v>0</v>
      </c>
    </row>
    <row r="66" spans="2:6">
      <c r="B66" s="55">
        <v>41702</v>
      </c>
      <c r="C66" s="56">
        <v>2.4</v>
      </c>
      <c r="D66" s="12">
        <v>1.8</v>
      </c>
      <c r="E66">
        <v>0</v>
      </c>
      <c r="F66">
        <v>0</v>
      </c>
    </row>
    <row r="67" spans="2:6">
      <c r="B67" s="55">
        <v>41703</v>
      </c>
      <c r="C67" s="56">
        <v>23.8</v>
      </c>
      <c r="D67" s="12">
        <v>0.8</v>
      </c>
      <c r="E67">
        <v>0</v>
      </c>
      <c r="F67">
        <v>0</v>
      </c>
    </row>
    <row r="68" spans="2:6">
      <c r="B68" s="55">
        <v>41704</v>
      </c>
      <c r="C68" s="56">
        <v>8.6</v>
      </c>
      <c r="D68" s="12">
        <v>0</v>
      </c>
      <c r="E68">
        <v>0</v>
      </c>
      <c r="F68">
        <v>0</v>
      </c>
    </row>
    <row r="69" spans="2:6">
      <c r="B69" s="55">
        <v>41705</v>
      </c>
      <c r="C69" s="56">
        <v>34</v>
      </c>
      <c r="D69" s="12">
        <v>0.4</v>
      </c>
      <c r="E69">
        <v>0</v>
      </c>
      <c r="F69">
        <v>0</v>
      </c>
    </row>
    <row r="70" spans="2:6">
      <c r="B70" s="55">
        <v>41706</v>
      </c>
      <c r="C70" s="56">
        <v>52.4</v>
      </c>
      <c r="D70" s="12">
        <v>0.4</v>
      </c>
      <c r="E70">
        <v>0</v>
      </c>
      <c r="F70">
        <v>0.8</v>
      </c>
    </row>
    <row r="71" spans="2:6">
      <c r="B71" s="55">
        <v>41707</v>
      </c>
      <c r="C71" s="56">
        <v>10.6</v>
      </c>
      <c r="D71" s="12">
        <v>2.8</v>
      </c>
      <c r="E71">
        <v>0.8</v>
      </c>
      <c r="F71">
        <v>0</v>
      </c>
    </row>
    <row r="72" spans="2:6">
      <c r="B72" s="55">
        <v>41708</v>
      </c>
      <c r="C72" s="56">
        <v>2.4</v>
      </c>
      <c r="D72" s="12">
        <v>13.6</v>
      </c>
      <c r="E72">
        <v>6.4</v>
      </c>
      <c r="F72">
        <v>4</v>
      </c>
    </row>
    <row r="73" spans="2:6">
      <c r="B73" s="55">
        <v>41709</v>
      </c>
      <c r="C73" s="56">
        <v>0</v>
      </c>
      <c r="D73" s="12">
        <v>8.6</v>
      </c>
      <c r="E73">
        <v>0.8</v>
      </c>
      <c r="F73">
        <v>22.8</v>
      </c>
    </row>
    <row r="74" spans="2:6">
      <c r="B74" s="55">
        <v>41710</v>
      </c>
      <c r="C74" s="56">
        <v>2.8</v>
      </c>
      <c r="D74" s="12">
        <v>17.399999999999999</v>
      </c>
      <c r="E74">
        <v>8.4</v>
      </c>
      <c r="F74">
        <v>25.2</v>
      </c>
    </row>
    <row r="75" spans="2:6">
      <c r="B75" s="55">
        <v>41711</v>
      </c>
      <c r="C75" s="56">
        <v>20.2</v>
      </c>
      <c r="D75" s="12">
        <v>0.6</v>
      </c>
      <c r="E75">
        <v>1</v>
      </c>
      <c r="F75">
        <v>5.6</v>
      </c>
    </row>
    <row r="76" spans="2:6">
      <c r="B76" s="55">
        <v>41712</v>
      </c>
      <c r="C76" s="56">
        <v>13.8</v>
      </c>
      <c r="D76" s="12">
        <v>0</v>
      </c>
      <c r="E76">
        <v>0</v>
      </c>
      <c r="F76">
        <v>1.4</v>
      </c>
    </row>
    <row r="77" spans="2:6">
      <c r="B77" s="55">
        <v>41713</v>
      </c>
      <c r="C77" s="56">
        <v>22.8</v>
      </c>
      <c r="D77" s="12">
        <v>0</v>
      </c>
      <c r="E77">
        <v>0</v>
      </c>
      <c r="F77">
        <v>0</v>
      </c>
    </row>
    <row r="78" spans="2:6">
      <c r="B78" s="55">
        <v>41714</v>
      </c>
      <c r="C78" s="56">
        <v>5.4</v>
      </c>
      <c r="D78" s="12">
        <v>0</v>
      </c>
      <c r="E78">
        <v>0</v>
      </c>
      <c r="F78">
        <v>1.8</v>
      </c>
    </row>
    <row r="79" spans="2:6">
      <c r="B79" s="55">
        <v>41715</v>
      </c>
      <c r="C79" s="56">
        <v>0.4</v>
      </c>
      <c r="D79" s="12">
        <v>31</v>
      </c>
      <c r="E79">
        <v>7.4</v>
      </c>
      <c r="F79">
        <v>0</v>
      </c>
    </row>
    <row r="80" spans="2:6">
      <c r="B80" s="55">
        <v>41716</v>
      </c>
      <c r="C80" s="56">
        <v>31</v>
      </c>
      <c r="D80" s="12">
        <v>35.4</v>
      </c>
      <c r="E80">
        <v>10</v>
      </c>
      <c r="F80">
        <v>7.6</v>
      </c>
    </row>
    <row r="81" spans="2:6">
      <c r="B81" s="55">
        <v>41717</v>
      </c>
      <c r="C81" s="56">
        <v>1.6</v>
      </c>
      <c r="D81" s="12">
        <v>28.6</v>
      </c>
      <c r="E81">
        <v>15.2</v>
      </c>
      <c r="F81">
        <v>3</v>
      </c>
    </row>
    <row r="82" spans="2:6">
      <c r="B82" s="55">
        <v>41718</v>
      </c>
      <c r="C82" s="56">
        <v>1.6</v>
      </c>
      <c r="D82" s="12">
        <v>0</v>
      </c>
      <c r="E82">
        <v>0.2</v>
      </c>
      <c r="F82">
        <v>0</v>
      </c>
    </row>
    <row r="83" spans="2:6">
      <c r="B83" s="55">
        <v>41719</v>
      </c>
      <c r="C83" s="56">
        <v>7.6</v>
      </c>
      <c r="D83" s="12">
        <v>7</v>
      </c>
      <c r="E83">
        <v>4.4000000000000004</v>
      </c>
      <c r="F83">
        <v>0</v>
      </c>
    </row>
    <row r="84" spans="2:6">
      <c r="B84" s="55">
        <v>41720</v>
      </c>
      <c r="C84" s="56">
        <v>2.6</v>
      </c>
      <c r="D84" s="12">
        <v>9.6</v>
      </c>
      <c r="E84">
        <v>8.1999999999999993</v>
      </c>
      <c r="F84">
        <v>0</v>
      </c>
    </row>
    <row r="85" spans="2:6">
      <c r="B85" s="55">
        <v>41721</v>
      </c>
      <c r="C85" s="56">
        <v>0</v>
      </c>
      <c r="D85" s="12">
        <v>18.2</v>
      </c>
      <c r="E85">
        <v>11.8</v>
      </c>
      <c r="F85">
        <v>0</v>
      </c>
    </row>
    <row r="86" spans="2:6">
      <c r="B86" s="55">
        <v>41722</v>
      </c>
      <c r="C86" s="56">
        <v>4</v>
      </c>
      <c r="D86" s="12">
        <v>104.4</v>
      </c>
      <c r="E86">
        <v>5.4</v>
      </c>
      <c r="F86">
        <v>0.4</v>
      </c>
    </row>
    <row r="87" spans="2:6">
      <c r="B87" s="55">
        <v>41723</v>
      </c>
      <c r="C87" s="56">
        <v>31</v>
      </c>
      <c r="D87" s="12">
        <v>33.200000000000003</v>
      </c>
      <c r="E87">
        <v>0</v>
      </c>
      <c r="F87">
        <v>0.8</v>
      </c>
    </row>
    <row r="88" spans="2:6">
      <c r="B88" s="55">
        <v>41724</v>
      </c>
      <c r="C88" s="56">
        <v>0.2</v>
      </c>
      <c r="D88" s="12">
        <v>26.2</v>
      </c>
      <c r="E88">
        <v>12.8</v>
      </c>
      <c r="F88">
        <v>0</v>
      </c>
    </row>
    <row r="89" spans="2:6">
      <c r="B89" s="55">
        <v>41725</v>
      </c>
      <c r="C89" s="56">
        <v>4.4000000000000004</v>
      </c>
      <c r="D89" s="12">
        <v>68.8</v>
      </c>
      <c r="E89">
        <v>4.5999999999999996</v>
      </c>
      <c r="F89">
        <v>0</v>
      </c>
    </row>
    <row r="90" spans="2:6">
      <c r="B90" s="55">
        <v>41726</v>
      </c>
      <c r="C90" s="56">
        <v>23.6</v>
      </c>
      <c r="D90" s="12">
        <v>10</v>
      </c>
      <c r="E90">
        <v>11.8</v>
      </c>
      <c r="F90">
        <v>0</v>
      </c>
    </row>
    <row r="91" spans="2:6">
      <c r="B91" s="55">
        <v>41727</v>
      </c>
      <c r="C91" s="56">
        <v>41.6</v>
      </c>
      <c r="D91" s="12">
        <v>37.700000000000003</v>
      </c>
      <c r="E91">
        <v>22</v>
      </c>
      <c r="F91">
        <v>0</v>
      </c>
    </row>
    <row r="92" spans="2:6">
      <c r="B92" s="55">
        <v>41728</v>
      </c>
      <c r="C92" s="56">
        <v>3</v>
      </c>
      <c r="D92" s="12">
        <v>11.6</v>
      </c>
      <c r="E92">
        <v>2</v>
      </c>
      <c r="F92">
        <v>0</v>
      </c>
    </row>
    <row r="93" spans="2:6">
      <c r="B93" s="55">
        <v>41729</v>
      </c>
      <c r="C93" s="56">
        <v>0</v>
      </c>
      <c r="D93" s="12">
        <v>0</v>
      </c>
      <c r="E93">
        <v>0</v>
      </c>
      <c r="F93">
        <v>0</v>
      </c>
    </row>
    <row r="94" spans="2:6">
      <c r="B94" s="55">
        <v>41730</v>
      </c>
      <c r="C94" s="56">
        <v>0</v>
      </c>
      <c r="D94" s="12">
        <v>33.700000000000003</v>
      </c>
      <c r="E94">
        <v>0.4</v>
      </c>
      <c r="F94">
        <v>0</v>
      </c>
    </row>
    <row r="95" spans="2:6">
      <c r="B95" s="55">
        <v>41731</v>
      </c>
      <c r="C95" s="56">
        <v>5.6</v>
      </c>
      <c r="D95" s="12">
        <v>9</v>
      </c>
      <c r="E95">
        <v>6.2</v>
      </c>
      <c r="F95">
        <v>0</v>
      </c>
    </row>
    <row r="96" spans="2:6">
      <c r="B96" s="55">
        <v>41732</v>
      </c>
      <c r="C96" s="56">
        <v>20.399999999999999</v>
      </c>
      <c r="D96" s="12">
        <v>8.4</v>
      </c>
      <c r="E96">
        <v>1.4</v>
      </c>
      <c r="F96">
        <v>9.8000000000000007</v>
      </c>
    </row>
    <row r="97" spans="2:6">
      <c r="B97" s="55">
        <v>41733</v>
      </c>
      <c r="C97" s="56">
        <v>2.6</v>
      </c>
      <c r="D97" s="12">
        <v>0.6</v>
      </c>
      <c r="E97">
        <v>0</v>
      </c>
      <c r="F97">
        <v>2.2000000000000002</v>
      </c>
    </row>
    <row r="98" spans="2:6">
      <c r="B98" s="55">
        <v>41734</v>
      </c>
      <c r="C98" s="56">
        <v>15.9</v>
      </c>
      <c r="D98" s="12">
        <v>0</v>
      </c>
      <c r="E98">
        <v>0</v>
      </c>
      <c r="F98">
        <v>3.4</v>
      </c>
    </row>
    <row r="99" spans="2:6">
      <c r="B99" s="55">
        <v>41735</v>
      </c>
      <c r="C99" s="56">
        <v>9.4</v>
      </c>
      <c r="D99" s="12">
        <v>0</v>
      </c>
      <c r="E99">
        <v>0</v>
      </c>
      <c r="F99">
        <v>0</v>
      </c>
    </row>
    <row r="100" spans="2:6">
      <c r="B100" s="55">
        <v>41736</v>
      </c>
      <c r="C100" s="56">
        <v>13.6</v>
      </c>
      <c r="D100" s="12">
        <v>0</v>
      </c>
      <c r="E100">
        <v>0</v>
      </c>
      <c r="F100">
        <v>2</v>
      </c>
    </row>
    <row r="101" spans="2:6">
      <c r="B101" s="55">
        <v>41737</v>
      </c>
      <c r="C101" s="56">
        <v>5.6</v>
      </c>
      <c r="D101" s="12">
        <v>3.2</v>
      </c>
      <c r="E101">
        <v>0</v>
      </c>
      <c r="F101">
        <v>0</v>
      </c>
    </row>
    <row r="102" spans="2:6">
      <c r="B102" s="55">
        <v>41738</v>
      </c>
      <c r="C102" s="56">
        <v>0</v>
      </c>
      <c r="D102" s="12">
        <v>40.200000000000003</v>
      </c>
      <c r="E102">
        <v>3.4</v>
      </c>
      <c r="F102">
        <v>1.2</v>
      </c>
    </row>
    <row r="103" spans="2:6">
      <c r="B103" s="55">
        <v>41739</v>
      </c>
      <c r="C103" s="56">
        <v>16.600000000000001</v>
      </c>
      <c r="D103" s="12">
        <v>9.1999999999999993</v>
      </c>
      <c r="E103">
        <v>2.2000000000000002</v>
      </c>
      <c r="F103">
        <v>1</v>
      </c>
    </row>
    <row r="104" spans="2:6">
      <c r="B104" s="55">
        <v>41740</v>
      </c>
      <c r="C104" s="56">
        <v>0</v>
      </c>
      <c r="D104" s="12">
        <v>24.4</v>
      </c>
      <c r="E104">
        <v>5</v>
      </c>
      <c r="F104">
        <v>8.4</v>
      </c>
    </row>
    <row r="105" spans="2:6">
      <c r="B105" s="55">
        <v>41741</v>
      </c>
      <c r="C105" s="56">
        <v>0</v>
      </c>
      <c r="D105" s="12">
        <v>16.2</v>
      </c>
      <c r="E105">
        <v>9.1999999999999993</v>
      </c>
      <c r="F105">
        <v>0</v>
      </c>
    </row>
    <row r="106" spans="2:6">
      <c r="B106" s="55">
        <v>41742</v>
      </c>
      <c r="C106" s="56">
        <v>0</v>
      </c>
      <c r="D106" s="12">
        <v>1.5</v>
      </c>
      <c r="E106">
        <v>0</v>
      </c>
      <c r="F106">
        <v>0</v>
      </c>
    </row>
    <row r="107" spans="2:6">
      <c r="B107" s="55">
        <v>41743</v>
      </c>
      <c r="C107" s="56">
        <v>14.8</v>
      </c>
      <c r="D107" s="12">
        <v>37.200000000000003</v>
      </c>
      <c r="E107">
        <v>0</v>
      </c>
      <c r="F107">
        <v>0</v>
      </c>
    </row>
    <row r="108" spans="2:6">
      <c r="B108" s="55">
        <v>41744</v>
      </c>
      <c r="C108" s="56">
        <v>20.8</v>
      </c>
      <c r="D108" s="12">
        <v>3</v>
      </c>
      <c r="E108">
        <v>0</v>
      </c>
      <c r="F108">
        <v>0</v>
      </c>
    </row>
    <row r="109" spans="2:6">
      <c r="B109" s="55">
        <v>41745</v>
      </c>
      <c r="C109" s="56">
        <v>37.4</v>
      </c>
      <c r="D109" s="12">
        <v>0</v>
      </c>
      <c r="E109">
        <v>0</v>
      </c>
      <c r="F109">
        <v>0</v>
      </c>
    </row>
    <row r="110" spans="2:6">
      <c r="B110" s="55">
        <v>41746</v>
      </c>
      <c r="C110" s="56">
        <v>9.8000000000000007</v>
      </c>
      <c r="D110" s="12">
        <v>0</v>
      </c>
      <c r="E110">
        <v>0</v>
      </c>
      <c r="F110">
        <v>8.1999999999999993</v>
      </c>
    </row>
    <row r="111" spans="2:6">
      <c r="B111" s="55">
        <v>41747</v>
      </c>
      <c r="C111" s="56">
        <v>1.9</v>
      </c>
      <c r="D111" s="12">
        <v>0</v>
      </c>
      <c r="E111">
        <v>0</v>
      </c>
      <c r="F111">
        <v>0.8</v>
      </c>
    </row>
    <row r="112" spans="2:6">
      <c r="B112" s="55">
        <v>41748</v>
      </c>
      <c r="C112" s="56">
        <v>21</v>
      </c>
      <c r="D112" s="12">
        <v>1.1000000000000001</v>
      </c>
      <c r="E112">
        <v>0</v>
      </c>
      <c r="F112">
        <v>0</v>
      </c>
    </row>
    <row r="113" spans="2:6">
      <c r="B113" s="55">
        <v>41749</v>
      </c>
      <c r="C113" s="56">
        <v>30</v>
      </c>
      <c r="D113" s="12">
        <v>0.4</v>
      </c>
      <c r="E113">
        <v>5</v>
      </c>
      <c r="F113">
        <v>0</v>
      </c>
    </row>
    <row r="114" spans="2:6">
      <c r="B114" s="55">
        <v>41750</v>
      </c>
      <c r="C114" s="56">
        <v>0</v>
      </c>
      <c r="D114" s="12">
        <v>8.1999999999999993</v>
      </c>
      <c r="E114">
        <v>0.8</v>
      </c>
      <c r="F114">
        <v>0</v>
      </c>
    </row>
    <row r="115" spans="2:6">
      <c r="B115" s="55">
        <v>41751</v>
      </c>
      <c r="C115" s="56">
        <v>4.4000000000000004</v>
      </c>
      <c r="D115" s="12">
        <v>8.4</v>
      </c>
      <c r="E115">
        <v>22.2</v>
      </c>
      <c r="F115">
        <v>0</v>
      </c>
    </row>
    <row r="116" spans="2:6">
      <c r="B116" s="55">
        <v>41752</v>
      </c>
      <c r="C116" s="56">
        <v>12.8</v>
      </c>
      <c r="D116" s="12">
        <v>1.8</v>
      </c>
      <c r="E116">
        <v>6.8</v>
      </c>
      <c r="F116">
        <v>0.6</v>
      </c>
    </row>
    <row r="117" spans="2:6">
      <c r="B117" s="55">
        <v>41753</v>
      </c>
      <c r="C117" s="56">
        <v>26</v>
      </c>
      <c r="D117" s="12">
        <v>0</v>
      </c>
      <c r="E117">
        <v>0.6</v>
      </c>
      <c r="F117">
        <v>1.2</v>
      </c>
    </row>
    <row r="118" spans="2:6">
      <c r="B118" s="55">
        <v>41754</v>
      </c>
      <c r="C118" s="56">
        <v>1.8</v>
      </c>
      <c r="D118" s="12">
        <v>4.2</v>
      </c>
      <c r="E118">
        <v>0.4</v>
      </c>
      <c r="F118">
        <v>18.600000000000001</v>
      </c>
    </row>
    <row r="119" spans="2:6">
      <c r="B119" s="55">
        <v>41755</v>
      </c>
      <c r="C119" s="56">
        <v>35</v>
      </c>
      <c r="D119" s="12">
        <v>22.4</v>
      </c>
      <c r="E119">
        <v>1.2</v>
      </c>
      <c r="F119">
        <v>2.8</v>
      </c>
    </row>
    <row r="120" spans="2:6">
      <c r="B120" s="55">
        <v>41756</v>
      </c>
      <c r="C120" s="56">
        <v>7.2</v>
      </c>
      <c r="D120" s="12">
        <v>15.4</v>
      </c>
      <c r="E120">
        <v>0.8</v>
      </c>
      <c r="F120">
        <v>7</v>
      </c>
    </row>
    <row r="121" spans="2:6">
      <c r="B121" s="55">
        <v>41757</v>
      </c>
      <c r="C121" s="56">
        <v>0.8</v>
      </c>
      <c r="D121" s="12">
        <v>27.6</v>
      </c>
      <c r="E121">
        <v>0</v>
      </c>
      <c r="F121">
        <v>0</v>
      </c>
    </row>
    <row r="122" spans="2:6">
      <c r="B122" s="55">
        <v>41758</v>
      </c>
      <c r="C122" s="56">
        <v>0.1</v>
      </c>
      <c r="D122" s="12">
        <v>4.8</v>
      </c>
      <c r="E122">
        <v>1.6</v>
      </c>
      <c r="F122">
        <v>0.2</v>
      </c>
    </row>
    <row r="123" spans="2:6">
      <c r="B123" s="55">
        <v>41759</v>
      </c>
      <c r="C123" s="56">
        <v>0</v>
      </c>
      <c r="D123" s="12">
        <v>0.8</v>
      </c>
      <c r="E123">
        <v>0</v>
      </c>
      <c r="F123">
        <v>0.2</v>
      </c>
    </row>
    <row r="124" spans="2:6">
      <c r="B124" s="55">
        <v>41760</v>
      </c>
      <c r="C124" s="56">
        <v>0</v>
      </c>
      <c r="D124" s="12">
        <v>0</v>
      </c>
      <c r="E124">
        <v>0</v>
      </c>
      <c r="F124">
        <v>1</v>
      </c>
    </row>
    <row r="125" spans="2:6">
      <c r="B125" s="55">
        <v>41761</v>
      </c>
      <c r="C125" s="56">
        <v>2</v>
      </c>
      <c r="D125" s="12">
        <v>0</v>
      </c>
      <c r="E125">
        <v>0</v>
      </c>
      <c r="F125">
        <v>0</v>
      </c>
    </row>
    <row r="126" spans="2:6">
      <c r="B126" s="55">
        <v>41762</v>
      </c>
      <c r="C126" s="56">
        <v>4.5999999999999996</v>
      </c>
      <c r="D126" s="12">
        <v>19.8</v>
      </c>
      <c r="E126">
        <v>0.4</v>
      </c>
      <c r="F126">
        <v>0</v>
      </c>
    </row>
    <row r="127" spans="2:6">
      <c r="B127" s="55">
        <v>41763</v>
      </c>
      <c r="C127" s="56">
        <v>3.8</v>
      </c>
      <c r="D127" s="12">
        <v>0.4</v>
      </c>
      <c r="E127">
        <v>1.6</v>
      </c>
      <c r="F127">
        <v>0</v>
      </c>
    </row>
    <row r="128" spans="2:6">
      <c r="B128" s="55">
        <v>41764</v>
      </c>
      <c r="C128" s="56">
        <v>0</v>
      </c>
      <c r="D128" s="12">
        <v>0</v>
      </c>
      <c r="E128">
        <v>0</v>
      </c>
      <c r="F128">
        <v>0</v>
      </c>
    </row>
    <row r="129" spans="2:6">
      <c r="B129" s="55">
        <v>41765</v>
      </c>
      <c r="C129" s="56">
        <v>0</v>
      </c>
      <c r="D129" s="12">
        <v>0</v>
      </c>
      <c r="E129">
        <v>0</v>
      </c>
      <c r="F129">
        <v>0</v>
      </c>
    </row>
    <row r="130" spans="2:6">
      <c r="B130" s="55">
        <v>41766</v>
      </c>
      <c r="C130" s="56">
        <v>0</v>
      </c>
      <c r="D130" s="12">
        <v>0</v>
      </c>
      <c r="E130">
        <v>0</v>
      </c>
      <c r="F130">
        <v>0</v>
      </c>
    </row>
    <row r="131" spans="2:6">
      <c r="B131" s="55">
        <v>41767</v>
      </c>
      <c r="C131" s="56">
        <v>0</v>
      </c>
      <c r="D131" s="12">
        <v>0</v>
      </c>
      <c r="E131">
        <v>0</v>
      </c>
      <c r="F131">
        <v>0</v>
      </c>
    </row>
    <row r="132" spans="2:6">
      <c r="B132" s="55">
        <v>41768</v>
      </c>
      <c r="C132" s="56">
        <v>0</v>
      </c>
      <c r="D132" s="12">
        <v>0.4</v>
      </c>
      <c r="E132">
        <v>0</v>
      </c>
      <c r="F132">
        <v>0</v>
      </c>
    </row>
    <row r="133" spans="2:6">
      <c r="B133" s="55">
        <v>41769</v>
      </c>
      <c r="C133" s="56">
        <v>0.2</v>
      </c>
      <c r="D133" s="12">
        <v>0</v>
      </c>
      <c r="E133">
        <v>0</v>
      </c>
      <c r="F133">
        <v>21.8</v>
      </c>
    </row>
    <row r="134" spans="2:6">
      <c r="B134" s="55">
        <v>41770</v>
      </c>
      <c r="C134" s="56">
        <v>0</v>
      </c>
      <c r="D134" s="12">
        <v>0</v>
      </c>
      <c r="E134">
        <v>9.4</v>
      </c>
      <c r="F134">
        <v>9.1</v>
      </c>
    </row>
    <row r="135" spans="2:6">
      <c r="B135" s="55">
        <v>41771</v>
      </c>
      <c r="C135" s="56">
        <v>0.2</v>
      </c>
      <c r="D135" s="12">
        <v>0</v>
      </c>
      <c r="E135">
        <v>2.2000000000000002</v>
      </c>
      <c r="F135">
        <v>1</v>
      </c>
    </row>
    <row r="136" spans="2:6">
      <c r="B136" s="55">
        <v>41772</v>
      </c>
      <c r="C136" s="56">
        <v>0</v>
      </c>
      <c r="D136" s="12">
        <v>0</v>
      </c>
      <c r="E136">
        <v>0.4</v>
      </c>
      <c r="F136">
        <v>2.6</v>
      </c>
    </row>
    <row r="137" spans="2:6">
      <c r="B137" s="55">
        <v>41773</v>
      </c>
      <c r="C137" s="56">
        <v>0</v>
      </c>
      <c r="D137" s="12">
        <v>0</v>
      </c>
      <c r="E137">
        <v>0</v>
      </c>
      <c r="F137">
        <v>1.2</v>
      </c>
    </row>
    <row r="138" spans="2:6">
      <c r="B138" s="55">
        <v>41774</v>
      </c>
      <c r="C138" s="56">
        <v>0</v>
      </c>
      <c r="D138" s="12">
        <v>0.2</v>
      </c>
      <c r="E138">
        <v>0</v>
      </c>
      <c r="F138">
        <v>0</v>
      </c>
    </row>
    <row r="139" spans="2:6">
      <c r="B139" s="55">
        <v>41775</v>
      </c>
      <c r="C139" s="56">
        <v>2.8</v>
      </c>
      <c r="D139" s="12">
        <v>0</v>
      </c>
      <c r="E139">
        <v>0</v>
      </c>
      <c r="F139">
        <v>0.4</v>
      </c>
    </row>
    <row r="140" spans="2:6">
      <c r="B140" s="55">
        <v>41776</v>
      </c>
      <c r="C140" s="56">
        <v>0</v>
      </c>
      <c r="D140" s="12">
        <v>0</v>
      </c>
      <c r="E140">
        <v>0</v>
      </c>
      <c r="F140">
        <v>1.6</v>
      </c>
    </row>
    <row r="141" spans="2:6">
      <c r="B141" s="55">
        <v>41777</v>
      </c>
      <c r="C141" s="56">
        <v>0</v>
      </c>
      <c r="D141" s="12">
        <v>0</v>
      </c>
      <c r="E141">
        <v>0</v>
      </c>
      <c r="F141">
        <v>0</v>
      </c>
    </row>
    <row r="142" spans="2:6">
      <c r="B142" s="55">
        <v>41778</v>
      </c>
      <c r="C142" s="56">
        <v>0</v>
      </c>
      <c r="D142" s="12">
        <v>0</v>
      </c>
      <c r="E142">
        <v>0</v>
      </c>
      <c r="F142">
        <v>2.8</v>
      </c>
    </row>
    <row r="143" spans="2:6">
      <c r="B143" s="55">
        <v>41779</v>
      </c>
      <c r="C143" s="56">
        <v>0</v>
      </c>
      <c r="D143" s="12">
        <v>0</v>
      </c>
      <c r="E143">
        <v>0</v>
      </c>
      <c r="F143">
        <v>3.6</v>
      </c>
    </row>
    <row r="144" spans="2:6">
      <c r="B144" s="55">
        <v>41780</v>
      </c>
      <c r="C144" s="56">
        <v>8.1999999999999993</v>
      </c>
      <c r="D144" s="12">
        <v>0.2</v>
      </c>
      <c r="E144">
        <v>0</v>
      </c>
      <c r="F144">
        <v>0.4</v>
      </c>
    </row>
    <row r="145" spans="2:6">
      <c r="B145" s="55">
        <v>41781</v>
      </c>
      <c r="C145" s="56">
        <v>29.6</v>
      </c>
      <c r="D145" s="12">
        <v>0.2</v>
      </c>
      <c r="E145">
        <v>0</v>
      </c>
      <c r="F145">
        <v>9.4</v>
      </c>
    </row>
    <row r="146" spans="2:6">
      <c r="B146" s="55">
        <v>41782</v>
      </c>
      <c r="C146" s="56">
        <v>0.8</v>
      </c>
      <c r="D146" s="12">
        <v>0</v>
      </c>
      <c r="E146">
        <v>0</v>
      </c>
      <c r="F146">
        <v>1.4</v>
      </c>
    </row>
    <row r="147" spans="2:6">
      <c r="B147" s="55">
        <v>41783</v>
      </c>
      <c r="C147" s="56">
        <v>5.2</v>
      </c>
      <c r="D147" s="12">
        <v>0</v>
      </c>
      <c r="E147">
        <v>0</v>
      </c>
      <c r="F147">
        <v>1.2</v>
      </c>
    </row>
    <row r="148" spans="2:6">
      <c r="B148" s="55">
        <v>41784</v>
      </c>
      <c r="C148" s="56">
        <v>23.4</v>
      </c>
      <c r="D148" s="12">
        <v>0</v>
      </c>
      <c r="E148">
        <v>0</v>
      </c>
      <c r="F148">
        <v>2.2000000000000002</v>
      </c>
    </row>
    <row r="149" spans="2:6">
      <c r="B149" s="55">
        <v>41785</v>
      </c>
      <c r="C149" s="56">
        <v>0</v>
      </c>
      <c r="D149" s="12">
        <v>0</v>
      </c>
      <c r="E149">
        <v>0</v>
      </c>
      <c r="F149">
        <v>0.8</v>
      </c>
    </row>
    <row r="150" spans="2:6">
      <c r="B150" s="55">
        <v>41786</v>
      </c>
      <c r="C150" s="56">
        <v>4.4000000000000004</v>
      </c>
      <c r="D150" s="12">
        <v>0</v>
      </c>
      <c r="E150">
        <v>0</v>
      </c>
      <c r="F150">
        <v>0.4</v>
      </c>
    </row>
    <row r="151" spans="2:6">
      <c r="B151" s="55">
        <v>41787</v>
      </c>
      <c r="C151" s="56">
        <v>0</v>
      </c>
      <c r="D151" s="12">
        <v>0</v>
      </c>
      <c r="E151">
        <v>0</v>
      </c>
      <c r="F151">
        <v>2.4</v>
      </c>
    </row>
    <row r="152" spans="2:6">
      <c r="B152" s="55">
        <v>41788</v>
      </c>
      <c r="C152" s="56">
        <v>0</v>
      </c>
      <c r="D152" s="12">
        <v>0</v>
      </c>
      <c r="E152">
        <v>0</v>
      </c>
      <c r="F152">
        <v>3.6</v>
      </c>
    </row>
    <row r="153" spans="2:6">
      <c r="B153" s="55">
        <v>41789</v>
      </c>
      <c r="C153" s="56">
        <v>0</v>
      </c>
      <c r="D153" s="12">
        <v>0</v>
      </c>
      <c r="E153">
        <v>0</v>
      </c>
      <c r="F153">
        <v>0.2</v>
      </c>
    </row>
    <row r="154" spans="2:6">
      <c r="B154" s="55">
        <v>41790</v>
      </c>
      <c r="C154" s="56">
        <v>0</v>
      </c>
      <c r="D154" s="12">
        <v>7.4</v>
      </c>
      <c r="E154">
        <v>5.8</v>
      </c>
      <c r="F154">
        <v>0.6</v>
      </c>
    </row>
    <row r="155" spans="2:6">
      <c r="B155" s="55">
        <v>41791</v>
      </c>
      <c r="C155" s="56">
        <v>0</v>
      </c>
      <c r="D155" s="12">
        <v>2.8</v>
      </c>
      <c r="E155">
        <v>9.1999999999999993</v>
      </c>
      <c r="F155">
        <v>0</v>
      </c>
    </row>
    <row r="156" spans="2:6">
      <c r="B156" s="55">
        <v>41792</v>
      </c>
      <c r="C156" s="56">
        <v>0</v>
      </c>
      <c r="D156" s="12">
        <v>0</v>
      </c>
      <c r="E156">
        <v>0</v>
      </c>
      <c r="F156">
        <v>0</v>
      </c>
    </row>
    <row r="157" spans="2:6">
      <c r="B157" s="55">
        <v>41793</v>
      </c>
      <c r="C157" s="56">
        <v>0</v>
      </c>
      <c r="D157" s="12">
        <v>0</v>
      </c>
      <c r="E157">
        <v>0</v>
      </c>
      <c r="F157">
        <v>0.4</v>
      </c>
    </row>
    <row r="158" spans="2:6">
      <c r="B158" s="55">
        <v>41794</v>
      </c>
      <c r="C158" s="56">
        <v>0</v>
      </c>
      <c r="D158" s="12">
        <v>0</v>
      </c>
      <c r="E158">
        <v>0</v>
      </c>
      <c r="F158">
        <v>0</v>
      </c>
    </row>
    <row r="159" spans="2:6">
      <c r="B159" s="55">
        <v>41795</v>
      </c>
      <c r="C159" s="56">
        <v>0</v>
      </c>
      <c r="D159" s="12">
        <v>0</v>
      </c>
      <c r="E159">
        <v>0</v>
      </c>
      <c r="F159">
        <v>11.4</v>
      </c>
    </row>
    <row r="160" spans="2:6">
      <c r="B160" s="55">
        <v>41796</v>
      </c>
      <c r="C160" s="56">
        <v>0</v>
      </c>
      <c r="D160" s="12">
        <v>0</v>
      </c>
      <c r="E160">
        <v>0</v>
      </c>
      <c r="F160">
        <v>1.6</v>
      </c>
    </row>
    <row r="161" spans="2:6">
      <c r="B161" s="55">
        <v>41797</v>
      </c>
      <c r="C161" s="56">
        <v>0</v>
      </c>
      <c r="D161" s="12">
        <v>0</v>
      </c>
      <c r="E161">
        <v>0</v>
      </c>
      <c r="F161">
        <v>2.8</v>
      </c>
    </row>
    <row r="162" spans="2:6">
      <c r="B162" s="55">
        <v>41798</v>
      </c>
      <c r="C162" s="56">
        <v>0.2</v>
      </c>
      <c r="D162" s="12">
        <v>0</v>
      </c>
      <c r="E162">
        <v>0</v>
      </c>
      <c r="F162">
        <v>0.6</v>
      </c>
    </row>
    <row r="163" spans="2:6">
      <c r="B163" s="55">
        <v>41799</v>
      </c>
      <c r="C163" s="56">
        <v>0</v>
      </c>
      <c r="D163" s="12">
        <v>0</v>
      </c>
      <c r="E163">
        <v>0</v>
      </c>
      <c r="F163">
        <v>1.2</v>
      </c>
    </row>
    <row r="164" spans="2:6">
      <c r="B164" s="55">
        <v>41800</v>
      </c>
      <c r="C164" s="56">
        <v>0</v>
      </c>
      <c r="D164" s="12">
        <v>0</v>
      </c>
      <c r="E164">
        <v>0</v>
      </c>
      <c r="F164">
        <v>19.600000000000001</v>
      </c>
    </row>
    <row r="165" spans="2:6">
      <c r="B165" s="55">
        <v>41801</v>
      </c>
      <c r="C165" s="56">
        <v>0</v>
      </c>
      <c r="D165" s="12">
        <v>0</v>
      </c>
      <c r="E165">
        <v>0</v>
      </c>
      <c r="F165">
        <v>7.4</v>
      </c>
    </row>
    <row r="166" spans="2:6">
      <c r="B166" s="55">
        <v>41802</v>
      </c>
      <c r="C166" s="56">
        <v>0</v>
      </c>
      <c r="D166" s="12">
        <v>0</v>
      </c>
      <c r="E166">
        <v>0</v>
      </c>
      <c r="F166">
        <v>0.2</v>
      </c>
    </row>
    <row r="167" spans="2:6">
      <c r="B167" s="55">
        <v>41803</v>
      </c>
      <c r="C167" s="56">
        <v>0</v>
      </c>
      <c r="D167" s="12">
        <v>0</v>
      </c>
      <c r="E167">
        <v>0</v>
      </c>
      <c r="F167">
        <v>0</v>
      </c>
    </row>
    <row r="168" spans="2:6">
      <c r="B168" s="55">
        <v>41804</v>
      </c>
      <c r="C168" s="56">
        <v>3.6</v>
      </c>
      <c r="D168" s="12">
        <v>0</v>
      </c>
      <c r="E168">
        <v>0</v>
      </c>
      <c r="F168">
        <v>1.2</v>
      </c>
    </row>
    <row r="169" spans="2:6">
      <c r="B169" s="55">
        <v>41805</v>
      </c>
      <c r="C169" s="56">
        <v>0</v>
      </c>
      <c r="D169" s="12">
        <v>0</v>
      </c>
      <c r="E169">
        <v>0</v>
      </c>
      <c r="F169">
        <v>0.4</v>
      </c>
    </row>
    <row r="170" spans="2:6">
      <c r="B170" s="55">
        <v>41806</v>
      </c>
      <c r="C170" s="56">
        <v>0</v>
      </c>
      <c r="D170" s="12">
        <v>0</v>
      </c>
      <c r="E170">
        <v>0</v>
      </c>
      <c r="F170">
        <v>2.4</v>
      </c>
    </row>
    <row r="171" spans="2:6">
      <c r="B171" s="55">
        <v>41807</v>
      </c>
      <c r="C171" s="56">
        <v>0</v>
      </c>
      <c r="D171" s="12">
        <v>7</v>
      </c>
      <c r="E171">
        <v>1.6</v>
      </c>
      <c r="F171">
        <v>1.8</v>
      </c>
    </row>
    <row r="172" spans="2:6">
      <c r="B172" s="55">
        <v>41808</v>
      </c>
      <c r="C172" s="56">
        <v>1.6</v>
      </c>
      <c r="D172" s="12">
        <v>0</v>
      </c>
      <c r="E172">
        <v>0.4</v>
      </c>
      <c r="F172">
        <v>6.8</v>
      </c>
    </row>
    <row r="173" spans="2:6">
      <c r="B173" s="55">
        <v>41809</v>
      </c>
      <c r="C173" s="56">
        <v>20.8</v>
      </c>
      <c r="D173" s="12">
        <v>0</v>
      </c>
      <c r="E173">
        <v>0</v>
      </c>
      <c r="F173">
        <v>5.4</v>
      </c>
    </row>
    <row r="174" spans="2:6">
      <c r="B174" s="55">
        <v>41810</v>
      </c>
      <c r="C174" s="56">
        <v>3.2</v>
      </c>
      <c r="D174" s="12">
        <v>0</v>
      </c>
      <c r="E174">
        <v>0</v>
      </c>
      <c r="F174">
        <v>0</v>
      </c>
    </row>
    <row r="175" spans="2:6">
      <c r="B175" s="55">
        <v>41811</v>
      </c>
      <c r="C175" s="56">
        <v>1.2</v>
      </c>
      <c r="D175" s="12">
        <v>0</v>
      </c>
      <c r="E175">
        <v>0</v>
      </c>
      <c r="F175">
        <v>0</v>
      </c>
    </row>
    <row r="176" spans="2:6">
      <c r="B176" s="55">
        <v>41812</v>
      </c>
      <c r="C176" s="56">
        <v>0</v>
      </c>
      <c r="D176" s="12">
        <v>1.4</v>
      </c>
      <c r="E176">
        <v>0</v>
      </c>
      <c r="F176">
        <v>0.8</v>
      </c>
    </row>
    <row r="177" spans="2:6">
      <c r="B177" s="55">
        <v>41813</v>
      </c>
      <c r="C177" s="56">
        <v>15.4</v>
      </c>
      <c r="D177" s="12">
        <v>13.4</v>
      </c>
      <c r="E177">
        <v>0</v>
      </c>
      <c r="F177">
        <v>7</v>
      </c>
    </row>
    <row r="178" spans="2:6">
      <c r="B178" s="55">
        <v>41814</v>
      </c>
      <c r="C178" s="56">
        <v>1.2</v>
      </c>
      <c r="D178" s="12">
        <v>4</v>
      </c>
      <c r="E178">
        <v>0</v>
      </c>
      <c r="F178">
        <v>0</v>
      </c>
    </row>
    <row r="179" spans="2:6">
      <c r="B179" s="55">
        <v>41815</v>
      </c>
      <c r="C179" s="56">
        <v>0</v>
      </c>
      <c r="D179" s="12">
        <v>0</v>
      </c>
      <c r="E179">
        <v>0</v>
      </c>
      <c r="F179">
        <v>1.4</v>
      </c>
    </row>
    <row r="180" spans="2:6">
      <c r="B180" s="55">
        <v>41816</v>
      </c>
      <c r="C180" s="56">
        <v>5.8</v>
      </c>
      <c r="D180" s="12">
        <v>0</v>
      </c>
      <c r="E180">
        <v>0</v>
      </c>
      <c r="F180">
        <v>2</v>
      </c>
    </row>
    <row r="181" spans="2:6">
      <c r="B181" s="55">
        <v>41817</v>
      </c>
      <c r="C181" s="56">
        <v>20.399999999999999</v>
      </c>
      <c r="D181" s="12">
        <v>0</v>
      </c>
      <c r="E181">
        <v>0</v>
      </c>
      <c r="F181">
        <v>3.4</v>
      </c>
    </row>
    <row r="182" spans="2:6">
      <c r="B182" s="55">
        <v>41818</v>
      </c>
      <c r="C182" s="56">
        <v>20.399999999999999</v>
      </c>
      <c r="D182" s="12">
        <v>0</v>
      </c>
      <c r="E182">
        <v>0</v>
      </c>
      <c r="F182">
        <v>0</v>
      </c>
    </row>
    <row r="183" spans="2:6">
      <c r="B183" s="55">
        <v>41819</v>
      </c>
      <c r="C183" s="56">
        <v>0.6</v>
      </c>
      <c r="D183" s="12">
        <v>0</v>
      </c>
      <c r="E183">
        <v>0</v>
      </c>
      <c r="F183">
        <v>0</v>
      </c>
    </row>
    <row r="184" spans="2:6">
      <c r="B184" s="55">
        <v>41820</v>
      </c>
      <c r="C184" s="56">
        <v>0</v>
      </c>
      <c r="D184" s="12">
        <v>0</v>
      </c>
      <c r="E184">
        <v>0</v>
      </c>
      <c r="F184">
        <v>1.6</v>
      </c>
    </row>
    <row r="185" spans="2:6">
      <c r="B185" s="55">
        <v>41821</v>
      </c>
      <c r="C185" s="56">
        <v>0</v>
      </c>
      <c r="D185" s="12">
        <v>0</v>
      </c>
      <c r="E185">
        <v>0</v>
      </c>
      <c r="F185">
        <v>0.2</v>
      </c>
    </row>
    <row r="186" spans="2:6">
      <c r="B186" s="55">
        <v>41822</v>
      </c>
      <c r="C186" s="56">
        <v>1.8</v>
      </c>
      <c r="D186" s="12">
        <v>0</v>
      </c>
      <c r="E186">
        <v>0</v>
      </c>
      <c r="F186">
        <v>0</v>
      </c>
    </row>
    <row r="187" spans="2:6">
      <c r="B187" s="55">
        <v>41823</v>
      </c>
      <c r="C187" s="56">
        <v>6.2</v>
      </c>
      <c r="D187" s="12">
        <v>0</v>
      </c>
      <c r="E187">
        <v>0</v>
      </c>
      <c r="F187">
        <v>0</v>
      </c>
    </row>
    <row r="188" spans="2:6">
      <c r="B188" s="55">
        <v>41824</v>
      </c>
      <c r="C188" s="56">
        <v>9.4</v>
      </c>
      <c r="D188" s="12">
        <v>0</v>
      </c>
      <c r="E188">
        <v>0</v>
      </c>
      <c r="F188">
        <v>0</v>
      </c>
    </row>
    <row r="189" spans="2:6">
      <c r="B189" s="55">
        <v>41825</v>
      </c>
      <c r="C189" s="56">
        <v>26.6</v>
      </c>
      <c r="D189" s="12">
        <v>0</v>
      </c>
      <c r="E189">
        <v>0</v>
      </c>
      <c r="F189">
        <v>0</v>
      </c>
    </row>
    <row r="190" spans="2:6">
      <c r="B190" s="55">
        <v>41826</v>
      </c>
      <c r="C190" s="56">
        <v>13.6</v>
      </c>
      <c r="D190" s="12">
        <v>0.2</v>
      </c>
      <c r="E190">
        <v>0</v>
      </c>
      <c r="F190">
        <v>0</v>
      </c>
    </row>
    <row r="191" spans="2:6">
      <c r="B191" s="55">
        <v>41827</v>
      </c>
      <c r="C191" s="56">
        <v>0</v>
      </c>
      <c r="D191" s="12">
        <v>0</v>
      </c>
      <c r="E191">
        <v>0</v>
      </c>
      <c r="F191">
        <v>0.6</v>
      </c>
    </row>
    <row r="192" spans="2:6">
      <c r="B192" s="55">
        <v>41828</v>
      </c>
      <c r="C192" s="56">
        <v>0</v>
      </c>
      <c r="D192" s="12">
        <v>1</v>
      </c>
      <c r="E192">
        <v>0</v>
      </c>
      <c r="F192">
        <v>0.2</v>
      </c>
    </row>
    <row r="193" spans="2:6">
      <c r="B193" s="55">
        <v>41829</v>
      </c>
      <c r="C193" s="56">
        <v>0</v>
      </c>
      <c r="D193" s="12">
        <v>1.2</v>
      </c>
      <c r="E193">
        <v>0</v>
      </c>
      <c r="F193">
        <v>3.4</v>
      </c>
    </row>
    <row r="194" spans="2:6">
      <c r="B194" s="55">
        <v>41830</v>
      </c>
      <c r="C194" s="56">
        <v>0</v>
      </c>
      <c r="D194" s="12">
        <v>2.4</v>
      </c>
      <c r="E194">
        <v>10.8</v>
      </c>
      <c r="F194">
        <v>2.8</v>
      </c>
    </row>
    <row r="195" spans="2:6">
      <c r="B195" s="55">
        <v>41831</v>
      </c>
      <c r="C195" s="56">
        <v>0</v>
      </c>
      <c r="D195" s="12">
        <v>4</v>
      </c>
      <c r="E195">
        <v>12</v>
      </c>
      <c r="F195">
        <v>0.2</v>
      </c>
    </row>
    <row r="196" spans="2:6">
      <c r="B196" s="55">
        <v>41832</v>
      </c>
      <c r="C196" s="56">
        <v>0</v>
      </c>
      <c r="D196" s="12">
        <v>0</v>
      </c>
      <c r="E196">
        <v>0</v>
      </c>
      <c r="F196">
        <v>2.2000000000000002</v>
      </c>
    </row>
    <row r="197" spans="2:6">
      <c r="B197" s="55">
        <v>41833</v>
      </c>
      <c r="C197" s="56">
        <v>0</v>
      </c>
      <c r="D197" s="12">
        <v>0</v>
      </c>
      <c r="E197">
        <v>0</v>
      </c>
      <c r="F197">
        <v>1.4</v>
      </c>
    </row>
    <row r="198" spans="2:6">
      <c r="B198" s="55">
        <v>41834</v>
      </c>
      <c r="C198" s="56">
        <v>0</v>
      </c>
      <c r="D198" s="12">
        <v>0</v>
      </c>
      <c r="E198">
        <v>0</v>
      </c>
      <c r="F198">
        <v>0</v>
      </c>
    </row>
    <row r="199" spans="2:6">
      <c r="B199" s="55">
        <v>41835</v>
      </c>
      <c r="C199" s="56">
        <v>0</v>
      </c>
      <c r="D199" s="12">
        <v>0</v>
      </c>
      <c r="E199">
        <v>0</v>
      </c>
      <c r="F199">
        <v>0</v>
      </c>
    </row>
    <row r="200" spans="2:6">
      <c r="B200" s="55">
        <v>41836</v>
      </c>
      <c r="C200" s="56">
        <v>0</v>
      </c>
      <c r="D200" s="12">
        <v>0</v>
      </c>
      <c r="E200">
        <v>0</v>
      </c>
      <c r="F200">
        <v>0</v>
      </c>
    </row>
    <row r="201" spans="2:6">
      <c r="B201" s="55">
        <v>41837</v>
      </c>
      <c r="C201" s="56">
        <v>0</v>
      </c>
      <c r="D201" s="12">
        <v>0</v>
      </c>
      <c r="E201">
        <v>0</v>
      </c>
      <c r="F201">
        <v>0</v>
      </c>
    </row>
    <row r="202" spans="2:6">
      <c r="B202" s="55">
        <v>41838</v>
      </c>
      <c r="C202" s="56">
        <v>37</v>
      </c>
      <c r="D202" s="12">
        <v>0</v>
      </c>
      <c r="E202">
        <v>0</v>
      </c>
      <c r="F202">
        <v>0</v>
      </c>
    </row>
    <row r="203" spans="2:6">
      <c r="B203" s="55">
        <v>41839</v>
      </c>
      <c r="C203" s="56">
        <v>1.8</v>
      </c>
      <c r="D203" s="12">
        <v>0.6</v>
      </c>
      <c r="E203">
        <v>0</v>
      </c>
      <c r="F203">
        <v>0</v>
      </c>
    </row>
    <row r="204" spans="2:6">
      <c r="B204" s="55">
        <v>41840</v>
      </c>
      <c r="C204" s="56">
        <v>0</v>
      </c>
      <c r="D204" s="12">
        <v>0</v>
      </c>
      <c r="E204">
        <v>0</v>
      </c>
      <c r="F204">
        <v>0</v>
      </c>
    </row>
    <row r="205" spans="2:6">
      <c r="B205" s="55">
        <v>41841</v>
      </c>
      <c r="C205" s="56">
        <v>0</v>
      </c>
      <c r="D205" s="12">
        <v>0</v>
      </c>
      <c r="E205">
        <v>0</v>
      </c>
      <c r="F205">
        <v>0</v>
      </c>
    </row>
    <row r="206" spans="2:6">
      <c r="B206" s="55">
        <v>41842</v>
      </c>
      <c r="C206" s="56">
        <v>8</v>
      </c>
      <c r="D206" s="12">
        <v>8.4</v>
      </c>
      <c r="E206">
        <v>0.4</v>
      </c>
      <c r="F206">
        <v>0</v>
      </c>
    </row>
    <row r="207" spans="2:6">
      <c r="B207" s="55">
        <v>41843</v>
      </c>
      <c r="C207" s="56">
        <v>18.2</v>
      </c>
      <c r="D207" s="12">
        <v>4</v>
      </c>
      <c r="E207">
        <v>1</v>
      </c>
      <c r="F207">
        <v>0</v>
      </c>
    </row>
    <row r="208" spans="2:6">
      <c r="B208" s="55">
        <v>41844</v>
      </c>
      <c r="C208" s="56">
        <v>0.6</v>
      </c>
      <c r="D208" s="12">
        <v>4.2</v>
      </c>
      <c r="E208">
        <v>10.8</v>
      </c>
      <c r="F208">
        <v>0</v>
      </c>
    </row>
    <row r="209" spans="2:6">
      <c r="B209" s="55">
        <v>41845</v>
      </c>
      <c r="C209" s="56">
        <v>0</v>
      </c>
      <c r="D209" s="12">
        <v>0</v>
      </c>
      <c r="E209">
        <v>0.6</v>
      </c>
      <c r="F209">
        <v>0</v>
      </c>
    </row>
    <row r="210" spans="2:6">
      <c r="B210" s="55">
        <v>41846</v>
      </c>
      <c r="C210" s="56">
        <v>0</v>
      </c>
      <c r="D210" s="12">
        <v>0</v>
      </c>
      <c r="E210">
        <v>0</v>
      </c>
      <c r="F210">
        <v>0</v>
      </c>
    </row>
    <row r="211" spans="2:6">
      <c r="B211" s="55">
        <v>41847</v>
      </c>
      <c r="C211" s="56">
        <v>0</v>
      </c>
      <c r="D211" s="12">
        <v>0</v>
      </c>
      <c r="E211">
        <v>0</v>
      </c>
      <c r="F211">
        <v>0</v>
      </c>
    </row>
    <row r="212" spans="2:6">
      <c r="B212" s="55">
        <v>41848</v>
      </c>
      <c r="C212" s="56">
        <v>0</v>
      </c>
      <c r="D212" s="12">
        <v>0</v>
      </c>
      <c r="E212">
        <v>0</v>
      </c>
      <c r="F212">
        <v>0</v>
      </c>
    </row>
    <row r="213" spans="2:6">
      <c r="B213" s="55">
        <v>41849</v>
      </c>
      <c r="C213" s="56">
        <v>0</v>
      </c>
      <c r="D213" s="12">
        <v>0</v>
      </c>
      <c r="E213">
        <v>0</v>
      </c>
      <c r="F213">
        <v>0</v>
      </c>
    </row>
    <row r="214" spans="2:6">
      <c r="B214" s="55">
        <v>41850</v>
      </c>
      <c r="C214" s="56">
        <v>0</v>
      </c>
      <c r="D214" s="12">
        <v>0</v>
      </c>
      <c r="E214">
        <v>0</v>
      </c>
      <c r="F214">
        <v>5.4</v>
      </c>
    </row>
    <row r="215" spans="2:6">
      <c r="B215" s="55">
        <v>41851</v>
      </c>
      <c r="C215" s="56">
        <v>0</v>
      </c>
      <c r="D215" s="12">
        <v>0</v>
      </c>
      <c r="E215">
        <v>0</v>
      </c>
      <c r="F215">
        <v>0.4</v>
      </c>
    </row>
    <row r="216" spans="2:6">
      <c r="B216" s="55">
        <v>41852</v>
      </c>
      <c r="C216" s="56">
        <v>0</v>
      </c>
      <c r="D216" s="12">
        <v>0</v>
      </c>
      <c r="E216">
        <v>0</v>
      </c>
      <c r="F216">
        <v>0</v>
      </c>
    </row>
    <row r="217" spans="2:6">
      <c r="B217" s="55">
        <v>41853</v>
      </c>
      <c r="C217" s="56">
        <v>0</v>
      </c>
      <c r="D217" s="12">
        <v>0</v>
      </c>
      <c r="E217">
        <v>0</v>
      </c>
      <c r="F217">
        <v>0</v>
      </c>
    </row>
    <row r="218" spans="2:6">
      <c r="B218" s="55">
        <v>41854</v>
      </c>
      <c r="C218" s="56">
        <v>0</v>
      </c>
      <c r="D218" s="12">
        <v>0</v>
      </c>
      <c r="E218">
        <v>6.6</v>
      </c>
      <c r="F218">
        <v>0</v>
      </c>
    </row>
    <row r="219" spans="2:6">
      <c r="B219" s="55">
        <v>41855</v>
      </c>
      <c r="C219" s="56">
        <v>0</v>
      </c>
      <c r="D219" s="12">
        <v>0</v>
      </c>
      <c r="E219">
        <v>4.8</v>
      </c>
      <c r="F219">
        <v>0</v>
      </c>
    </row>
    <row r="220" spans="2:6">
      <c r="B220" s="55">
        <v>41856</v>
      </c>
      <c r="C220" s="56">
        <v>0</v>
      </c>
      <c r="D220" s="12">
        <v>3.2</v>
      </c>
      <c r="E220">
        <v>0</v>
      </c>
      <c r="F220">
        <v>0</v>
      </c>
    </row>
    <row r="221" spans="2:6">
      <c r="B221" s="55">
        <v>41857</v>
      </c>
      <c r="C221" s="56">
        <v>0</v>
      </c>
      <c r="D221" s="12">
        <v>14.6</v>
      </c>
      <c r="E221">
        <v>0.2</v>
      </c>
      <c r="F221">
        <v>0</v>
      </c>
    </row>
    <row r="222" spans="2:6">
      <c r="B222" s="55">
        <v>41858</v>
      </c>
      <c r="C222" s="56">
        <v>0</v>
      </c>
      <c r="D222" s="12">
        <v>24.4</v>
      </c>
      <c r="E222">
        <v>5</v>
      </c>
      <c r="F222">
        <v>0</v>
      </c>
    </row>
    <row r="223" spans="2:6">
      <c r="B223" s="55">
        <v>41859</v>
      </c>
      <c r="C223" s="56">
        <v>0</v>
      </c>
      <c r="D223" s="12">
        <v>1.8</v>
      </c>
      <c r="E223">
        <v>1</v>
      </c>
      <c r="F223">
        <v>0</v>
      </c>
    </row>
    <row r="224" spans="2:6">
      <c r="B224" s="55">
        <v>41860</v>
      </c>
      <c r="C224" s="56">
        <v>0</v>
      </c>
      <c r="D224" s="12">
        <v>0</v>
      </c>
      <c r="E224">
        <v>0</v>
      </c>
      <c r="F224">
        <v>0</v>
      </c>
    </row>
    <row r="225" spans="2:6">
      <c r="B225" s="55">
        <v>41861</v>
      </c>
      <c r="C225" s="56">
        <v>0</v>
      </c>
      <c r="D225" s="12">
        <v>0</v>
      </c>
      <c r="E225">
        <v>0</v>
      </c>
      <c r="F225">
        <v>0.4</v>
      </c>
    </row>
    <row r="226" spans="2:6">
      <c r="B226" s="55">
        <v>41862</v>
      </c>
      <c r="C226" s="56">
        <v>0</v>
      </c>
      <c r="D226" s="12">
        <v>0</v>
      </c>
      <c r="E226">
        <v>0</v>
      </c>
      <c r="F226">
        <v>4.4000000000000004</v>
      </c>
    </row>
    <row r="227" spans="2:6">
      <c r="B227" s="55">
        <v>41863</v>
      </c>
      <c r="C227" s="56">
        <v>0</v>
      </c>
      <c r="D227" s="12">
        <v>0</v>
      </c>
      <c r="E227">
        <v>0</v>
      </c>
      <c r="F227">
        <v>1</v>
      </c>
    </row>
    <row r="228" spans="2:6">
      <c r="B228" s="55">
        <v>41864</v>
      </c>
      <c r="C228" s="56">
        <v>0</v>
      </c>
      <c r="D228" s="12">
        <v>0</v>
      </c>
      <c r="E228">
        <v>9.8000000000000007</v>
      </c>
      <c r="F228">
        <v>0.4</v>
      </c>
    </row>
    <row r="229" spans="2:6">
      <c r="B229" s="55">
        <v>41865</v>
      </c>
      <c r="C229" s="56">
        <v>0</v>
      </c>
      <c r="D229" s="12">
        <v>0</v>
      </c>
      <c r="E229">
        <v>3</v>
      </c>
      <c r="F229">
        <v>8.4</v>
      </c>
    </row>
    <row r="230" spans="2:6">
      <c r="B230" s="55">
        <v>41866</v>
      </c>
      <c r="C230" s="56">
        <v>0</v>
      </c>
      <c r="D230" s="12">
        <v>0</v>
      </c>
      <c r="E230">
        <v>0</v>
      </c>
      <c r="F230">
        <v>4.4000000000000004</v>
      </c>
    </row>
    <row r="231" spans="2:6">
      <c r="B231" s="55">
        <v>41867</v>
      </c>
      <c r="C231" s="56">
        <v>0</v>
      </c>
      <c r="D231" s="12">
        <v>0</v>
      </c>
      <c r="E231">
        <v>0</v>
      </c>
      <c r="F231">
        <v>4.4000000000000004</v>
      </c>
    </row>
    <row r="232" spans="2:6">
      <c r="B232" s="55">
        <v>41868</v>
      </c>
      <c r="C232" s="56">
        <v>0</v>
      </c>
      <c r="D232" s="12">
        <v>0</v>
      </c>
      <c r="E232">
        <v>0</v>
      </c>
      <c r="F232">
        <v>14.8</v>
      </c>
    </row>
    <row r="233" spans="2:6">
      <c r="B233" s="55">
        <v>41869</v>
      </c>
      <c r="C233" s="56">
        <v>0</v>
      </c>
      <c r="D233" s="12">
        <v>0</v>
      </c>
      <c r="E233">
        <v>0</v>
      </c>
      <c r="F233">
        <v>5.6</v>
      </c>
    </row>
    <row r="234" spans="2:6">
      <c r="B234" s="55">
        <v>41870</v>
      </c>
      <c r="C234" s="56">
        <v>0</v>
      </c>
      <c r="D234" s="12">
        <v>0</v>
      </c>
      <c r="E234">
        <v>0</v>
      </c>
      <c r="F234">
        <v>1.2</v>
      </c>
    </row>
    <row r="235" spans="2:6">
      <c r="B235" s="55">
        <v>41871</v>
      </c>
      <c r="C235" s="56">
        <v>0</v>
      </c>
      <c r="D235" s="12">
        <v>0</v>
      </c>
      <c r="E235">
        <v>0</v>
      </c>
      <c r="F235">
        <v>0.4</v>
      </c>
    </row>
    <row r="236" spans="2:6">
      <c r="B236" s="55">
        <v>41872</v>
      </c>
      <c r="C236" s="56">
        <v>0</v>
      </c>
      <c r="D236" s="12">
        <v>0</v>
      </c>
      <c r="E236">
        <v>0</v>
      </c>
      <c r="F236">
        <v>0.6</v>
      </c>
    </row>
    <row r="237" spans="2:6">
      <c r="B237" s="55">
        <v>41873</v>
      </c>
      <c r="C237" s="56">
        <v>0</v>
      </c>
      <c r="D237" s="12">
        <v>0</v>
      </c>
      <c r="E237">
        <v>0</v>
      </c>
      <c r="F237">
        <v>5.2</v>
      </c>
    </row>
    <row r="238" spans="2:6">
      <c r="B238" s="55">
        <v>41874</v>
      </c>
      <c r="C238" s="56">
        <v>0</v>
      </c>
      <c r="D238" s="12">
        <v>0</v>
      </c>
      <c r="E238">
        <v>0</v>
      </c>
      <c r="F238">
        <v>1.4</v>
      </c>
    </row>
    <row r="239" spans="2:6">
      <c r="B239" s="55">
        <v>41875</v>
      </c>
      <c r="C239" s="56">
        <v>0</v>
      </c>
      <c r="D239" s="12">
        <v>0</v>
      </c>
      <c r="E239">
        <v>0</v>
      </c>
      <c r="F239">
        <v>0</v>
      </c>
    </row>
    <row r="240" spans="2:6">
      <c r="B240" s="55">
        <v>41876</v>
      </c>
      <c r="C240" s="56">
        <v>0</v>
      </c>
      <c r="D240" s="12">
        <v>0</v>
      </c>
      <c r="E240">
        <v>0</v>
      </c>
      <c r="F240">
        <v>0</v>
      </c>
    </row>
    <row r="241" spans="2:6">
      <c r="B241" s="55">
        <v>41877</v>
      </c>
      <c r="C241" s="56">
        <v>0</v>
      </c>
      <c r="D241" s="12">
        <v>2.8</v>
      </c>
      <c r="E241">
        <v>3</v>
      </c>
      <c r="F241">
        <v>0.4</v>
      </c>
    </row>
    <row r="242" spans="2:6">
      <c r="B242" s="55">
        <v>41878</v>
      </c>
      <c r="C242" s="56">
        <v>0</v>
      </c>
      <c r="D242" s="12">
        <v>10.4</v>
      </c>
      <c r="E242">
        <v>6.8</v>
      </c>
      <c r="F242">
        <v>1.2</v>
      </c>
    </row>
    <row r="243" spans="2:6">
      <c r="B243" s="55">
        <v>41879</v>
      </c>
      <c r="C243" s="56">
        <v>0.4</v>
      </c>
      <c r="D243" s="12">
        <v>33.4</v>
      </c>
      <c r="E243">
        <v>16.2</v>
      </c>
      <c r="F243">
        <v>4</v>
      </c>
    </row>
    <row r="244" spans="2:6">
      <c r="B244" s="55">
        <v>41880</v>
      </c>
      <c r="C244" s="56">
        <v>7.8</v>
      </c>
      <c r="D244" s="12">
        <v>26</v>
      </c>
      <c r="E244">
        <v>6.2</v>
      </c>
      <c r="F244">
        <v>0</v>
      </c>
    </row>
    <row r="245" spans="2:6">
      <c r="B245" s="55">
        <v>41881</v>
      </c>
      <c r="C245" s="56">
        <v>3.6</v>
      </c>
      <c r="D245" s="12">
        <v>6</v>
      </c>
      <c r="E245">
        <v>14.2</v>
      </c>
      <c r="F245">
        <v>0</v>
      </c>
    </row>
    <row r="246" spans="2:6">
      <c r="B246" s="55">
        <v>41882</v>
      </c>
      <c r="C246" s="56">
        <v>10.6</v>
      </c>
      <c r="D246" s="12">
        <v>15.8</v>
      </c>
      <c r="E246">
        <v>1.6</v>
      </c>
      <c r="F246">
        <v>0</v>
      </c>
    </row>
    <row r="247" spans="2:6">
      <c r="B247" s="55">
        <v>41883</v>
      </c>
      <c r="C247" s="56">
        <v>3.2</v>
      </c>
      <c r="D247" s="12">
        <v>0.8</v>
      </c>
      <c r="E247">
        <v>9.4</v>
      </c>
      <c r="F247">
        <v>0</v>
      </c>
    </row>
    <row r="248" spans="2:6">
      <c r="B248" s="55">
        <v>41884</v>
      </c>
      <c r="C248" s="56">
        <v>6.2</v>
      </c>
      <c r="D248" s="12">
        <v>2.4</v>
      </c>
      <c r="E248">
        <v>0.6</v>
      </c>
      <c r="F248">
        <v>4.8</v>
      </c>
    </row>
    <row r="249" spans="2:6">
      <c r="B249" s="55">
        <v>41885</v>
      </c>
      <c r="C249" s="56">
        <v>0</v>
      </c>
      <c r="D249" s="12">
        <v>0</v>
      </c>
      <c r="E249">
        <v>0</v>
      </c>
      <c r="F249">
        <v>0</v>
      </c>
    </row>
    <row r="250" spans="2:6">
      <c r="B250" s="55">
        <v>41886</v>
      </c>
      <c r="C250" s="56">
        <v>0</v>
      </c>
      <c r="D250" s="12">
        <v>1.6</v>
      </c>
      <c r="E250">
        <v>0.2</v>
      </c>
      <c r="F250">
        <v>0</v>
      </c>
    </row>
    <row r="251" spans="2:6">
      <c r="B251" s="55">
        <v>41887</v>
      </c>
      <c r="C251" s="56">
        <v>0</v>
      </c>
      <c r="D251" s="12">
        <v>0</v>
      </c>
      <c r="E251">
        <v>0.2</v>
      </c>
      <c r="F251">
        <v>0</v>
      </c>
    </row>
    <row r="252" spans="2:6">
      <c r="B252" s="55">
        <v>41888</v>
      </c>
      <c r="C252" s="56">
        <v>0</v>
      </c>
      <c r="D252" s="12">
        <v>29.6</v>
      </c>
      <c r="E252">
        <v>4</v>
      </c>
      <c r="F252">
        <v>0</v>
      </c>
    </row>
    <row r="253" spans="2:6">
      <c r="B253" s="55">
        <v>41889</v>
      </c>
      <c r="C253" s="56">
        <v>0</v>
      </c>
      <c r="D253" s="12">
        <v>13</v>
      </c>
      <c r="E253">
        <v>0</v>
      </c>
      <c r="F253">
        <v>0</v>
      </c>
    </row>
    <row r="254" spans="2:6">
      <c r="B254" s="55">
        <v>41890</v>
      </c>
      <c r="C254" s="56">
        <v>0</v>
      </c>
      <c r="D254" s="12">
        <v>1.4</v>
      </c>
      <c r="E254">
        <v>0</v>
      </c>
      <c r="F254">
        <v>0</v>
      </c>
    </row>
    <row r="255" spans="2:6">
      <c r="B255" s="55">
        <v>41891</v>
      </c>
      <c r="C255" s="56">
        <v>0</v>
      </c>
      <c r="D255" s="12">
        <v>0</v>
      </c>
      <c r="E255">
        <v>0</v>
      </c>
      <c r="F255">
        <v>0</v>
      </c>
    </row>
    <row r="256" spans="2:6">
      <c r="B256" s="55">
        <v>41892</v>
      </c>
      <c r="C256" s="56">
        <v>0</v>
      </c>
      <c r="D256" s="12">
        <v>0</v>
      </c>
      <c r="E256">
        <v>0</v>
      </c>
      <c r="F256">
        <v>0</v>
      </c>
    </row>
    <row r="257" spans="2:6">
      <c r="B257" s="55">
        <v>41893</v>
      </c>
      <c r="C257" s="56">
        <v>0</v>
      </c>
      <c r="D257" s="12">
        <v>0</v>
      </c>
      <c r="E257">
        <v>0</v>
      </c>
      <c r="F257">
        <v>0</v>
      </c>
    </row>
    <row r="258" spans="2:6">
      <c r="B258" s="55">
        <v>41894</v>
      </c>
      <c r="C258" s="56">
        <v>0</v>
      </c>
      <c r="D258" s="12">
        <v>0</v>
      </c>
      <c r="E258">
        <v>0</v>
      </c>
      <c r="F258">
        <v>0</v>
      </c>
    </row>
    <row r="259" spans="2:6">
      <c r="B259" s="55">
        <v>41895</v>
      </c>
      <c r="C259" s="56">
        <v>0</v>
      </c>
      <c r="D259" s="12">
        <v>0</v>
      </c>
      <c r="E259">
        <v>0</v>
      </c>
      <c r="F259">
        <v>0</v>
      </c>
    </row>
    <row r="260" spans="2:6">
      <c r="B260" s="55">
        <v>41896</v>
      </c>
      <c r="C260" s="56">
        <v>0</v>
      </c>
      <c r="D260" s="12">
        <v>2</v>
      </c>
      <c r="E260">
        <v>3.2</v>
      </c>
      <c r="F260">
        <v>0.6</v>
      </c>
    </row>
    <row r="261" spans="2:6">
      <c r="B261" s="55">
        <v>41897</v>
      </c>
      <c r="C261" s="56">
        <v>0</v>
      </c>
      <c r="D261" s="12">
        <v>4</v>
      </c>
      <c r="E261">
        <v>6.4</v>
      </c>
      <c r="F261">
        <v>0</v>
      </c>
    </row>
    <row r="262" spans="2:6">
      <c r="B262" s="55">
        <v>41898</v>
      </c>
      <c r="C262" s="56">
        <v>0</v>
      </c>
      <c r="D262" s="12">
        <v>2.8</v>
      </c>
      <c r="E262">
        <v>2</v>
      </c>
      <c r="F262">
        <v>0.8</v>
      </c>
    </row>
    <row r="263" spans="2:6">
      <c r="B263" s="55">
        <v>41899</v>
      </c>
      <c r="C263" s="56">
        <v>0</v>
      </c>
      <c r="D263" s="12">
        <v>46.4</v>
      </c>
      <c r="E263">
        <v>8.6</v>
      </c>
      <c r="F263">
        <v>1.2</v>
      </c>
    </row>
    <row r="264" spans="2:6">
      <c r="B264" s="55">
        <v>41900</v>
      </c>
      <c r="C264" s="56">
        <v>26.4</v>
      </c>
      <c r="D264" s="12">
        <v>86.8</v>
      </c>
      <c r="E264">
        <v>9.8000000000000007</v>
      </c>
      <c r="F264">
        <v>0.8</v>
      </c>
    </row>
    <row r="265" spans="2:6">
      <c r="B265" s="55">
        <v>41901</v>
      </c>
      <c r="C265" s="56">
        <v>0.4</v>
      </c>
      <c r="D265" s="12">
        <v>1.4</v>
      </c>
      <c r="E265">
        <v>7.4</v>
      </c>
      <c r="F265">
        <v>1.4</v>
      </c>
    </row>
    <row r="266" spans="2:6">
      <c r="B266" s="55">
        <v>41902</v>
      </c>
      <c r="C266" s="56">
        <v>0</v>
      </c>
      <c r="D266" s="12">
        <v>4.2</v>
      </c>
      <c r="E266">
        <v>0</v>
      </c>
      <c r="F266">
        <v>1.4</v>
      </c>
    </row>
    <row r="267" spans="2:6">
      <c r="B267" s="55">
        <v>41903</v>
      </c>
      <c r="C267" s="56">
        <v>2</v>
      </c>
      <c r="D267" s="12">
        <v>39.799999999999997</v>
      </c>
      <c r="E267">
        <v>0</v>
      </c>
      <c r="F267">
        <v>5</v>
      </c>
    </row>
    <row r="268" spans="2:6">
      <c r="B268" s="55">
        <v>41904</v>
      </c>
      <c r="C268" s="56">
        <v>12.4</v>
      </c>
      <c r="D268" s="12">
        <v>29.8</v>
      </c>
      <c r="E268">
        <v>8.4</v>
      </c>
      <c r="F268">
        <v>1.2</v>
      </c>
    </row>
    <row r="269" spans="2:6">
      <c r="B269" s="55">
        <v>41905</v>
      </c>
      <c r="C269" s="56">
        <v>29.4</v>
      </c>
      <c r="D269" s="12">
        <v>11.8</v>
      </c>
      <c r="E269">
        <v>7.8</v>
      </c>
      <c r="F269">
        <v>1.6</v>
      </c>
    </row>
    <row r="270" spans="2:6">
      <c r="B270" s="55">
        <v>41906</v>
      </c>
      <c r="C270" s="56">
        <v>1.6</v>
      </c>
      <c r="D270" s="12">
        <v>1.6</v>
      </c>
      <c r="E270">
        <v>0.4</v>
      </c>
      <c r="F270">
        <v>0</v>
      </c>
    </row>
    <row r="271" spans="2:6">
      <c r="B271" s="55">
        <v>41907</v>
      </c>
      <c r="C271" s="56">
        <v>0.6</v>
      </c>
      <c r="D271" s="12">
        <v>0</v>
      </c>
      <c r="E271">
        <v>0</v>
      </c>
      <c r="F271">
        <v>4</v>
      </c>
    </row>
    <row r="272" spans="2:6">
      <c r="B272" s="55">
        <v>41908</v>
      </c>
      <c r="C272" s="56">
        <v>8.1999999999999993</v>
      </c>
      <c r="D272" s="12">
        <v>0</v>
      </c>
      <c r="E272">
        <v>0</v>
      </c>
      <c r="F272">
        <v>1.6</v>
      </c>
    </row>
    <row r="273" spans="2:6">
      <c r="B273" s="55">
        <v>41909</v>
      </c>
      <c r="C273" s="56">
        <v>0</v>
      </c>
      <c r="D273" s="12">
        <v>0</v>
      </c>
      <c r="E273">
        <v>0</v>
      </c>
      <c r="F273">
        <v>11</v>
      </c>
    </row>
    <row r="274" spans="2:6">
      <c r="B274" s="55">
        <v>41910</v>
      </c>
      <c r="C274" s="56">
        <v>12.4</v>
      </c>
      <c r="D274" s="12">
        <v>0</v>
      </c>
      <c r="E274">
        <v>0</v>
      </c>
      <c r="F274">
        <v>5</v>
      </c>
    </row>
    <row r="275" spans="2:6">
      <c r="B275" s="55">
        <v>41911</v>
      </c>
      <c r="C275" s="56">
        <v>5.6</v>
      </c>
      <c r="D275" s="12">
        <v>0</v>
      </c>
      <c r="E275">
        <v>0</v>
      </c>
      <c r="F275">
        <v>2.2000000000000002</v>
      </c>
    </row>
    <row r="276" spans="2:6">
      <c r="B276" s="55">
        <v>41912</v>
      </c>
      <c r="C276" s="56">
        <v>0</v>
      </c>
      <c r="D276" s="12">
        <v>0</v>
      </c>
      <c r="E276">
        <v>0</v>
      </c>
      <c r="F276">
        <v>0</v>
      </c>
    </row>
    <row r="277" spans="2:6">
      <c r="B277" s="55">
        <v>41913</v>
      </c>
      <c r="C277" s="56">
        <v>0</v>
      </c>
      <c r="D277" s="12">
        <v>0</v>
      </c>
      <c r="E277">
        <v>0</v>
      </c>
      <c r="F277">
        <v>0</v>
      </c>
    </row>
    <row r="278" spans="2:6">
      <c r="B278" s="55">
        <v>41914</v>
      </c>
      <c r="C278" s="56">
        <v>0</v>
      </c>
      <c r="D278" s="12">
        <v>0</v>
      </c>
      <c r="E278">
        <v>0</v>
      </c>
      <c r="F278">
        <v>1.2</v>
      </c>
    </row>
    <row r="279" spans="2:6">
      <c r="B279" s="55">
        <v>41915</v>
      </c>
      <c r="C279" s="56">
        <v>57.8</v>
      </c>
      <c r="D279" s="12">
        <v>0</v>
      </c>
      <c r="E279">
        <v>0</v>
      </c>
      <c r="F279">
        <v>28.4</v>
      </c>
    </row>
    <row r="280" spans="2:6">
      <c r="B280" s="55">
        <v>41916</v>
      </c>
      <c r="C280" s="56">
        <v>6</v>
      </c>
      <c r="D280" s="12">
        <v>0</v>
      </c>
      <c r="E280">
        <v>0</v>
      </c>
      <c r="F280">
        <v>26</v>
      </c>
    </row>
    <row r="281" spans="2:6">
      <c r="B281" s="55">
        <v>41917</v>
      </c>
      <c r="C281" s="56">
        <v>9.1999999999999993</v>
      </c>
      <c r="D281" s="12">
        <v>4</v>
      </c>
      <c r="E281">
        <v>2.4</v>
      </c>
      <c r="F281">
        <v>8.8000000000000007</v>
      </c>
    </row>
    <row r="282" spans="2:6">
      <c r="B282" s="55">
        <v>41918</v>
      </c>
      <c r="C282" s="56">
        <v>0.4</v>
      </c>
      <c r="D282" s="12">
        <v>15.6</v>
      </c>
      <c r="E282">
        <v>9</v>
      </c>
      <c r="F282">
        <v>10.6</v>
      </c>
    </row>
    <row r="283" spans="2:6">
      <c r="B283" s="55">
        <v>41919</v>
      </c>
      <c r="C283" s="56">
        <v>0</v>
      </c>
      <c r="D283" s="12">
        <v>9.1999999999999993</v>
      </c>
      <c r="E283">
        <v>1</v>
      </c>
      <c r="F283">
        <v>0</v>
      </c>
    </row>
    <row r="284" spans="2:6">
      <c r="B284" s="55">
        <v>41920</v>
      </c>
      <c r="C284" s="56">
        <v>1.4</v>
      </c>
      <c r="D284" s="12">
        <v>26.4</v>
      </c>
      <c r="E284">
        <v>15.6</v>
      </c>
      <c r="F284">
        <v>1.2</v>
      </c>
    </row>
    <row r="285" spans="2:6">
      <c r="B285" s="55">
        <v>41921</v>
      </c>
      <c r="C285" s="56">
        <v>1.8</v>
      </c>
      <c r="D285" s="12">
        <v>27</v>
      </c>
      <c r="E285">
        <v>14.4</v>
      </c>
      <c r="F285">
        <v>0</v>
      </c>
    </row>
    <row r="286" spans="2:6">
      <c r="B286" s="55">
        <v>41922</v>
      </c>
      <c r="C286" s="56">
        <v>17.8</v>
      </c>
      <c r="D286" s="12">
        <v>37.6</v>
      </c>
      <c r="E286">
        <v>7.8</v>
      </c>
      <c r="F286">
        <v>0</v>
      </c>
    </row>
    <row r="287" spans="2:6">
      <c r="B287" s="55">
        <v>41923</v>
      </c>
      <c r="C287" s="56">
        <v>15.4</v>
      </c>
      <c r="D287" s="12">
        <v>0.8</v>
      </c>
      <c r="E287">
        <v>6</v>
      </c>
      <c r="F287">
        <v>0</v>
      </c>
    </row>
    <row r="288" spans="2:6">
      <c r="B288" s="55">
        <v>41924</v>
      </c>
      <c r="C288" s="56">
        <v>33</v>
      </c>
      <c r="D288" s="12">
        <v>0.6</v>
      </c>
      <c r="E288">
        <v>0</v>
      </c>
      <c r="F288">
        <v>0</v>
      </c>
    </row>
    <row r="289" spans="2:6">
      <c r="B289" s="55">
        <v>41925</v>
      </c>
      <c r="C289" s="56">
        <v>31.4</v>
      </c>
      <c r="D289" s="12">
        <v>0</v>
      </c>
      <c r="E289">
        <v>0</v>
      </c>
      <c r="F289">
        <v>0</v>
      </c>
    </row>
    <row r="290" spans="2:6">
      <c r="B290" s="55">
        <v>41926</v>
      </c>
      <c r="C290" s="56">
        <v>28.4</v>
      </c>
      <c r="D290" s="12">
        <v>0</v>
      </c>
      <c r="E290">
        <v>0</v>
      </c>
      <c r="F290">
        <v>1</v>
      </c>
    </row>
    <row r="291" spans="2:6">
      <c r="B291" s="55">
        <v>41927</v>
      </c>
      <c r="C291" s="56">
        <v>6.4</v>
      </c>
      <c r="D291" s="12">
        <v>14.2</v>
      </c>
      <c r="E291">
        <v>4.8</v>
      </c>
      <c r="F291">
        <v>0</v>
      </c>
    </row>
    <row r="292" spans="2:6">
      <c r="B292" s="55">
        <v>41928</v>
      </c>
      <c r="C292" s="56">
        <v>17.2</v>
      </c>
      <c r="D292" s="12">
        <v>6.4</v>
      </c>
      <c r="E292">
        <v>1.8</v>
      </c>
      <c r="F292">
        <v>0</v>
      </c>
    </row>
    <row r="293" spans="2:6">
      <c r="B293" s="55">
        <v>41929</v>
      </c>
      <c r="C293" s="56">
        <v>27</v>
      </c>
      <c r="D293" s="12">
        <v>23.4</v>
      </c>
      <c r="E293">
        <v>3.2</v>
      </c>
      <c r="F293">
        <v>0</v>
      </c>
    </row>
    <row r="294" spans="2:6">
      <c r="B294" s="55">
        <v>41930</v>
      </c>
      <c r="C294" s="56">
        <v>16.8</v>
      </c>
      <c r="D294" s="12">
        <v>0.6</v>
      </c>
      <c r="E294">
        <v>4.2</v>
      </c>
      <c r="F294">
        <v>0</v>
      </c>
    </row>
    <row r="295" spans="2:6">
      <c r="B295" s="55">
        <v>41931</v>
      </c>
      <c r="C295" s="56">
        <v>46.2</v>
      </c>
      <c r="D295" s="12">
        <v>10.199999999999999</v>
      </c>
      <c r="E295">
        <v>0</v>
      </c>
      <c r="F295">
        <v>0</v>
      </c>
    </row>
    <row r="296" spans="2:6">
      <c r="B296" s="55">
        <v>41932</v>
      </c>
      <c r="C296" s="56">
        <v>10.8</v>
      </c>
      <c r="D296" s="12">
        <v>4</v>
      </c>
      <c r="E296">
        <v>6</v>
      </c>
      <c r="F296">
        <v>0</v>
      </c>
    </row>
    <row r="297" spans="2:6">
      <c r="B297" s="55">
        <v>41933</v>
      </c>
      <c r="C297" s="56">
        <v>40.200000000000003</v>
      </c>
      <c r="D297" s="12">
        <v>9.8000000000000007</v>
      </c>
      <c r="E297">
        <v>0</v>
      </c>
      <c r="F297">
        <v>0</v>
      </c>
    </row>
    <row r="298" spans="2:6">
      <c r="B298" s="55">
        <v>41934</v>
      </c>
      <c r="C298" s="56">
        <v>21.4</v>
      </c>
      <c r="D298" s="12">
        <v>0</v>
      </c>
      <c r="E298">
        <v>0</v>
      </c>
      <c r="F298">
        <v>0</v>
      </c>
    </row>
    <row r="299" spans="2:6">
      <c r="B299" s="55">
        <v>41935</v>
      </c>
      <c r="C299" s="56">
        <v>9.4</v>
      </c>
      <c r="D299" s="12">
        <v>5.8</v>
      </c>
      <c r="E299">
        <v>0.8</v>
      </c>
      <c r="F299">
        <v>0</v>
      </c>
    </row>
    <row r="300" spans="2:6">
      <c r="B300" s="55">
        <v>41936</v>
      </c>
      <c r="C300" s="56">
        <v>1.6</v>
      </c>
      <c r="D300" s="12">
        <v>4</v>
      </c>
      <c r="E300">
        <v>0</v>
      </c>
      <c r="F300">
        <v>0</v>
      </c>
    </row>
    <row r="301" spans="2:6">
      <c r="B301" s="55">
        <v>41937</v>
      </c>
      <c r="C301" s="56">
        <v>21.8</v>
      </c>
      <c r="D301" s="12">
        <v>0</v>
      </c>
      <c r="E301">
        <v>0</v>
      </c>
      <c r="F301">
        <v>9.6</v>
      </c>
    </row>
    <row r="302" spans="2:6">
      <c r="B302" s="55">
        <v>41938</v>
      </c>
      <c r="C302" s="56">
        <v>2.4</v>
      </c>
      <c r="D302" s="12">
        <v>6.8</v>
      </c>
      <c r="E302">
        <v>6</v>
      </c>
      <c r="F302">
        <v>0</v>
      </c>
    </row>
    <row r="303" spans="2:6">
      <c r="B303" s="55">
        <v>41939</v>
      </c>
      <c r="C303" s="56">
        <v>33.6</v>
      </c>
      <c r="D303" s="12">
        <v>39</v>
      </c>
      <c r="E303">
        <v>4.8</v>
      </c>
      <c r="F303">
        <v>0</v>
      </c>
    </row>
    <row r="304" spans="2:6">
      <c r="B304" s="55">
        <v>41940</v>
      </c>
      <c r="C304" s="56">
        <v>24.4</v>
      </c>
      <c r="D304" s="12">
        <v>40.6</v>
      </c>
      <c r="E304">
        <v>10.199999999999999</v>
      </c>
      <c r="F304">
        <v>0</v>
      </c>
    </row>
    <row r="305" spans="2:6">
      <c r="B305" s="55">
        <v>41941</v>
      </c>
      <c r="C305" s="56">
        <v>7</v>
      </c>
      <c r="D305" s="12">
        <v>35.4</v>
      </c>
      <c r="E305">
        <v>8</v>
      </c>
      <c r="F305">
        <v>14.1</v>
      </c>
    </row>
    <row r="306" spans="2:6">
      <c r="B306" s="55">
        <v>41942</v>
      </c>
      <c r="C306" s="56">
        <v>9</v>
      </c>
      <c r="D306" s="12">
        <v>21.2</v>
      </c>
      <c r="E306">
        <v>10</v>
      </c>
      <c r="F306">
        <v>2</v>
      </c>
    </row>
    <row r="307" spans="2:6">
      <c r="B307" s="55">
        <v>41943</v>
      </c>
      <c r="C307" s="56">
        <v>15</v>
      </c>
      <c r="D307" s="12">
        <v>1.2</v>
      </c>
      <c r="E307">
        <v>7.6</v>
      </c>
      <c r="F307">
        <v>0.8</v>
      </c>
    </row>
    <row r="308" spans="2:6">
      <c r="B308" s="55">
        <v>41944</v>
      </c>
      <c r="C308" s="56">
        <v>6.4</v>
      </c>
      <c r="D308" s="12">
        <v>0</v>
      </c>
      <c r="E308">
        <v>0</v>
      </c>
      <c r="F308">
        <v>0</v>
      </c>
    </row>
    <row r="309" spans="2:6">
      <c r="B309" s="55">
        <v>41945</v>
      </c>
      <c r="C309" s="56">
        <v>37.6</v>
      </c>
      <c r="D309" s="12">
        <v>0</v>
      </c>
      <c r="E309">
        <v>0</v>
      </c>
      <c r="F309">
        <v>0</v>
      </c>
    </row>
    <row r="310" spans="2:6">
      <c r="B310" s="55">
        <v>41946</v>
      </c>
      <c r="C310" s="56">
        <v>35.200000000000003</v>
      </c>
      <c r="D310" s="12">
        <v>3.4</v>
      </c>
      <c r="E310">
        <v>4.5999999999999996</v>
      </c>
      <c r="F310">
        <v>1.2</v>
      </c>
    </row>
    <row r="311" spans="2:6">
      <c r="B311" s="55">
        <v>41947</v>
      </c>
      <c r="C311" s="56">
        <v>9</v>
      </c>
      <c r="D311" s="12">
        <v>6</v>
      </c>
      <c r="E311">
        <v>2</v>
      </c>
      <c r="F311">
        <v>3</v>
      </c>
    </row>
    <row r="312" spans="2:6">
      <c r="B312" s="55">
        <v>41948</v>
      </c>
      <c r="C312" s="56">
        <v>4.4000000000000004</v>
      </c>
      <c r="D312" s="12">
        <v>44.2</v>
      </c>
      <c r="E312">
        <v>15</v>
      </c>
      <c r="F312">
        <v>3.2</v>
      </c>
    </row>
    <row r="313" spans="2:6">
      <c r="B313" s="55">
        <v>41949</v>
      </c>
      <c r="C313" s="56">
        <v>20.2</v>
      </c>
      <c r="D313" s="12">
        <v>2.2000000000000002</v>
      </c>
      <c r="E313">
        <v>3.6</v>
      </c>
      <c r="F313">
        <v>3.2</v>
      </c>
    </row>
    <row r="314" spans="2:6">
      <c r="B314" s="55">
        <v>41950</v>
      </c>
      <c r="C314" s="56">
        <v>1.4</v>
      </c>
      <c r="D314" s="12">
        <v>1.6</v>
      </c>
      <c r="E314">
        <v>4.4000000000000004</v>
      </c>
      <c r="F314">
        <v>5.6</v>
      </c>
    </row>
    <row r="315" spans="2:6">
      <c r="B315" s="55">
        <v>41951</v>
      </c>
      <c r="C315" s="56">
        <v>34</v>
      </c>
      <c r="D315" s="12">
        <v>0</v>
      </c>
      <c r="E315">
        <v>0</v>
      </c>
      <c r="F315">
        <v>0</v>
      </c>
    </row>
    <row r="316" spans="2:6">
      <c r="B316" s="55">
        <v>41952</v>
      </c>
      <c r="C316" s="56">
        <v>0</v>
      </c>
      <c r="D316" s="12">
        <v>20.5</v>
      </c>
      <c r="E316">
        <v>9.6</v>
      </c>
      <c r="F316">
        <v>0</v>
      </c>
    </row>
    <row r="317" spans="2:6">
      <c r="B317" s="55">
        <v>41953</v>
      </c>
      <c r="C317" s="56">
        <v>0</v>
      </c>
      <c r="D317" s="12">
        <v>18.8</v>
      </c>
      <c r="E317">
        <v>1.2</v>
      </c>
      <c r="F317">
        <v>1.8</v>
      </c>
    </row>
    <row r="318" spans="2:6">
      <c r="B318" s="55">
        <v>41954</v>
      </c>
      <c r="C318" s="56">
        <v>0</v>
      </c>
      <c r="D318" s="12">
        <v>59</v>
      </c>
      <c r="E318">
        <v>8.1999999999999993</v>
      </c>
      <c r="F318">
        <v>9.6</v>
      </c>
    </row>
    <row r="319" spans="2:6">
      <c r="B319" s="55">
        <v>41955</v>
      </c>
      <c r="C319" s="56">
        <v>0</v>
      </c>
      <c r="D319" s="12">
        <v>11.4</v>
      </c>
      <c r="E319">
        <v>0.8</v>
      </c>
      <c r="F319">
        <v>8.8000000000000007</v>
      </c>
    </row>
    <row r="320" spans="2:6">
      <c r="B320" s="55">
        <v>41956</v>
      </c>
      <c r="C320" s="56">
        <v>0</v>
      </c>
      <c r="D320" s="12">
        <v>0.6</v>
      </c>
      <c r="E320">
        <v>2.4</v>
      </c>
      <c r="F320">
        <v>1.4</v>
      </c>
    </row>
    <row r="321" spans="2:6">
      <c r="B321" s="55">
        <v>41957</v>
      </c>
      <c r="C321" s="56">
        <v>0</v>
      </c>
      <c r="D321" s="12">
        <v>6</v>
      </c>
      <c r="E321">
        <v>0.2</v>
      </c>
      <c r="F321">
        <v>11.8</v>
      </c>
    </row>
    <row r="322" spans="2:6">
      <c r="B322" s="55">
        <v>41958</v>
      </c>
      <c r="C322" s="56">
        <v>0</v>
      </c>
      <c r="D322" s="12">
        <v>55.4</v>
      </c>
      <c r="E322">
        <v>8.1999999999999993</v>
      </c>
      <c r="F322">
        <v>0</v>
      </c>
    </row>
    <row r="323" spans="2:6">
      <c r="B323" s="55">
        <v>41959</v>
      </c>
      <c r="C323" s="56">
        <v>0</v>
      </c>
      <c r="D323" s="12">
        <v>6.2</v>
      </c>
      <c r="E323">
        <v>5.8</v>
      </c>
      <c r="F323">
        <v>4.5999999999999996</v>
      </c>
    </row>
    <row r="324" spans="2:6">
      <c r="B324" s="55">
        <v>41960</v>
      </c>
      <c r="C324" s="56">
        <v>0</v>
      </c>
      <c r="D324" s="12">
        <v>0</v>
      </c>
      <c r="E324">
        <v>0</v>
      </c>
      <c r="F324">
        <v>0</v>
      </c>
    </row>
    <row r="325" spans="2:6">
      <c r="B325" s="55">
        <v>41961</v>
      </c>
      <c r="C325" s="56">
        <v>0</v>
      </c>
      <c r="D325" s="12">
        <v>0</v>
      </c>
      <c r="E325">
        <v>0</v>
      </c>
      <c r="F325">
        <v>0</v>
      </c>
    </row>
    <row r="326" spans="2:6">
      <c r="B326" s="55">
        <v>41962</v>
      </c>
      <c r="C326" s="56">
        <v>3.4</v>
      </c>
      <c r="D326" s="12">
        <v>0</v>
      </c>
      <c r="E326">
        <v>0</v>
      </c>
      <c r="F326">
        <v>0</v>
      </c>
    </row>
    <row r="327" spans="2:6">
      <c r="B327" s="55">
        <v>41963</v>
      </c>
      <c r="C327" s="56">
        <v>29.4</v>
      </c>
      <c r="D327" s="12">
        <v>0</v>
      </c>
      <c r="E327">
        <v>0</v>
      </c>
      <c r="F327">
        <v>0.6</v>
      </c>
    </row>
    <row r="328" spans="2:6">
      <c r="B328" s="55">
        <v>41964</v>
      </c>
      <c r="C328" s="56">
        <v>32.799999999999997</v>
      </c>
      <c r="D328" s="12">
        <v>0</v>
      </c>
      <c r="E328">
        <v>1.8</v>
      </c>
      <c r="F328">
        <v>0</v>
      </c>
    </row>
    <row r="329" spans="2:6">
      <c r="B329" s="55">
        <v>41965</v>
      </c>
      <c r="C329" s="56">
        <v>25.6</v>
      </c>
      <c r="D329" s="12">
        <v>0</v>
      </c>
      <c r="E329">
        <v>4.5999999999999996</v>
      </c>
      <c r="F329">
        <v>5</v>
      </c>
    </row>
    <row r="330" spans="2:6">
      <c r="B330" s="55">
        <v>41966</v>
      </c>
      <c r="C330" s="56">
        <v>15.2</v>
      </c>
      <c r="D330" s="12">
        <v>0</v>
      </c>
      <c r="E330">
        <v>0</v>
      </c>
      <c r="F330">
        <v>4.4000000000000004</v>
      </c>
    </row>
    <row r="331" spans="2:6">
      <c r="B331" s="55">
        <v>41967</v>
      </c>
      <c r="C331" s="56">
        <v>60.6</v>
      </c>
      <c r="D331" s="12">
        <v>0</v>
      </c>
      <c r="E331">
        <v>0</v>
      </c>
      <c r="F331">
        <v>0</v>
      </c>
    </row>
    <row r="332" spans="2:6">
      <c r="B332" s="55">
        <v>41968</v>
      </c>
      <c r="C332" s="56">
        <v>15</v>
      </c>
      <c r="D332" s="12">
        <v>0</v>
      </c>
      <c r="E332">
        <v>0</v>
      </c>
      <c r="F332">
        <v>0.2</v>
      </c>
    </row>
    <row r="333" spans="2:6">
      <c r="B333" s="55">
        <v>41969</v>
      </c>
      <c r="C333" s="56">
        <v>43</v>
      </c>
      <c r="D333" s="12">
        <v>0</v>
      </c>
      <c r="E333">
        <v>0</v>
      </c>
      <c r="F333">
        <v>3.6</v>
      </c>
    </row>
    <row r="334" spans="2:6">
      <c r="B334" s="55">
        <v>41970</v>
      </c>
      <c r="C334" s="56">
        <v>15</v>
      </c>
      <c r="D334" s="12">
        <v>0</v>
      </c>
      <c r="E334">
        <v>0</v>
      </c>
      <c r="F334">
        <v>2.4</v>
      </c>
    </row>
    <row r="335" spans="2:6">
      <c r="B335" s="55">
        <v>41971</v>
      </c>
      <c r="C335" s="56">
        <v>0</v>
      </c>
      <c r="D335" s="12">
        <v>0</v>
      </c>
      <c r="E335">
        <v>0</v>
      </c>
      <c r="F335">
        <v>10.199999999999999</v>
      </c>
    </row>
    <row r="336" spans="2:6">
      <c r="B336" s="55">
        <v>41972</v>
      </c>
      <c r="C336" s="56">
        <v>0</v>
      </c>
      <c r="D336" s="12">
        <v>13</v>
      </c>
      <c r="E336">
        <v>4</v>
      </c>
      <c r="F336">
        <v>26.6</v>
      </c>
    </row>
    <row r="337" spans="2:6">
      <c r="B337" s="55">
        <v>41973</v>
      </c>
      <c r="C337" s="56">
        <v>0</v>
      </c>
      <c r="D337" s="12">
        <v>34.6</v>
      </c>
      <c r="E337">
        <v>8.4</v>
      </c>
      <c r="F337">
        <v>5.4</v>
      </c>
    </row>
    <row r="338" spans="2:6">
      <c r="B338" s="55">
        <v>41974</v>
      </c>
      <c r="C338" s="56">
        <v>0</v>
      </c>
      <c r="D338" s="12">
        <v>27.4</v>
      </c>
      <c r="E338">
        <v>39.200000000000003</v>
      </c>
      <c r="F338">
        <v>0</v>
      </c>
    </row>
    <row r="339" spans="2:6">
      <c r="B339" s="55">
        <v>41975</v>
      </c>
      <c r="C339" s="56">
        <v>0</v>
      </c>
      <c r="D339" s="12">
        <v>32.6</v>
      </c>
      <c r="E339">
        <v>10.199999999999999</v>
      </c>
      <c r="F339">
        <v>0</v>
      </c>
    </row>
    <row r="340" spans="2:6">
      <c r="B340" s="55">
        <v>41976</v>
      </c>
      <c r="C340" s="56">
        <v>0</v>
      </c>
      <c r="D340" s="12">
        <v>27.2</v>
      </c>
      <c r="E340">
        <v>6.4</v>
      </c>
      <c r="F340">
        <v>0</v>
      </c>
    </row>
    <row r="341" spans="2:6">
      <c r="B341" s="55">
        <v>41977</v>
      </c>
      <c r="C341" s="56">
        <v>1.2</v>
      </c>
      <c r="D341" s="12">
        <v>33.799999999999997</v>
      </c>
      <c r="E341">
        <v>48.2</v>
      </c>
      <c r="F341">
        <v>0</v>
      </c>
    </row>
    <row r="342" spans="2:6">
      <c r="B342" s="55">
        <v>41978</v>
      </c>
      <c r="C342" s="56">
        <v>45.4</v>
      </c>
      <c r="D342" s="12">
        <v>22.4</v>
      </c>
      <c r="E342">
        <v>16.8</v>
      </c>
      <c r="F342">
        <v>0</v>
      </c>
    </row>
    <row r="343" spans="2:6">
      <c r="B343" s="55">
        <v>41979</v>
      </c>
      <c r="C343" s="56">
        <v>0.8</v>
      </c>
      <c r="D343" s="12">
        <v>37.200000000000003</v>
      </c>
      <c r="E343">
        <v>11</v>
      </c>
      <c r="F343">
        <v>0</v>
      </c>
    </row>
    <row r="344" spans="2:6">
      <c r="B344" s="55">
        <v>41980</v>
      </c>
      <c r="C344" s="56">
        <v>15.2</v>
      </c>
      <c r="D344" s="12">
        <v>27</v>
      </c>
      <c r="E344">
        <v>11</v>
      </c>
      <c r="F344">
        <v>0</v>
      </c>
    </row>
    <row r="345" spans="2:6">
      <c r="B345" s="55">
        <v>41981</v>
      </c>
      <c r="C345" s="56">
        <v>48.6</v>
      </c>
      <c r="D345" s="12">
        <v>4.8</v>
      </c>
      <c r="E345">
        <v>3.2</v>
      </c>
      <c r="F345">
        <v>0</v>
      </c>
    </row>
    <row r="346" spans="2:6">
      <c r="B346" s="55">
        <v>41982</v>
      </c>
      <c r="C346" s="56">
        <v>34.200000000000003</v>
      </c>
      <c r="D346" s="12">
        <v>12.2</v>
      </c>
      <c r="E346">
        <v>9</v>
      </c>
      <c r="F346">
        <v>0</v>
      </c>
    </row>
    <row r="347" spans="2:6">
      <c r="B347" s="55">
        <v>41983</v>
      </c>
      <c r="C347" s="56">
        <v>4.4000000000000004</v>
      </c>
      <c r="D347" s="12">
        <v>3.4</v>
      </c>
      <c r="E347">
        <v>3</v>
      </c>
      <c r="F347">
        <v>3.2</v>
      </c>
    </row>
    <row r="348" spans="2:6">
      <c r="B348" s="55">
        <v>41984</v>
      </c>
      <c r="C348" s="56">
        <v>17.8</v>
      </c>
      <c r="D348" s="12">
        <v>23.8</v>
      </c>
      <c r="E348">
        <v>35.200000000000003</v>
      </c>
      <c r="F348">
        <v>1.8</v>
      </c>
    </row>
    <row r="349" spans="2:6">
      <c r="B349" s="55">
        <v>41985</v>
      </c>
      <c r="C349" s="56">
        <v>1.4</v>
      </c>
      <c r="D349" s="12">
        <v>0</v>
      </c>
      <c r="E349">
        <v>1</v>
      </c>
      <c r="F349">
        <v>10.4</v>
      </c>
    </row>
    <row r="350" spans="2:6">
      <c r="B350" s="55">
        <v>41986</v>
      </c>
      <c r="C350" s="56">
        <v>1</v>
      </c>
      <c r="D350" s="12">
        <v>2.4</v>
      </c>
      <c r="E350">
        <v>0</v>
      </c>
      <c r="F350">
        <v>26</v>
      </c>
    </row>
    <row r="351" spans="2:6">
      <c r="B351" s="55">
        <v>41987</v>
      </c>
      <c r="C351" s="56">
        <v>0</v>
      </c>
      <c r="D351" s="12">
        <v>3</v>
      </c>
      <c r="E351">
        <v>2</v>
      </c>
      <c r="F351">
        <v>0.8</v>
      </c>
    </row>
    <row r="352" spans="2:6">
      <c r="B352" s="55">
        <v>41988</v>
      </c>
      <c r="C352" s="56">
        <v>9</v>
      </c>
      <c r="D352" s="12">
        <v>2.2000000000000002</v>
      </c>
      <c r="E352">
        <v>0</v>
      </c>
      <c r="F352">
        <v>11.8</v>
      </c>
    </row>
    <row r="353" spans="2:6">
      <c r="B353" s="55">
        <v>41989</v>
      </c>
      <c r="C353" s="56">
        <v>20.2</v>
      </c>
      <c r="D353" s="12">
        <v>21.8</v>
      </c>
      <c r="E353">
        <v>10.199999999999999</v>
      </c>
      <c r="F353">
        <v>4.5999999999999996</v>
      </c>
    </row>
    <row r="354" spans="2:6">
      <c r="B354" s="55">
        <v>41990</v>
      </c>
      <c r="C354" s="56">
        <v>0.8</v>
      </c>
      <c r="D354" s="12">
        <v>25.5</v>
      </c>
      <c r="E354">
        <v>5.4</v>
      </c>
      <c r="F354">
        <v>0</v>
      </c>
    </row>
    <row r="355" spans="2:6">
      <c r="B355" s="55">
        <v>41991</v>
      </c>
      <c r="C355" s="56">
        <v>24.6</v>
      </c>
      <c r="D355" s="12">
        <v>31.8</v>
      </c>
      <c r="E355">
        <v>11.4</v>
      </c>
      <c r="F355">
        <v>0</v>
      </c>
    </row>
    <row r="356" spans="2:6">
      <c r="B356" s="55">
        <v>41992</v>
      </c>
      <c r="C356" s="56">
        <v>0</v>
      </c>
      <c r="D356" s="12">
        <v>22.6</v>
      </c>
      <c r="E356">
        <v>2.4</v>
      </c>
      <c r="F356">
        <v>3.8</v>
      </c>
    </row>
    <row r="357" spans="2:6">
      <c r="B357" s="55">
        <v>41993</v>
      </c>
      <c r="C357" s="56">
        <v>0</v>
      </c>
      <c r="D357" s="12">
        <v>9</v>
      </c>
      <c r="E357">
        <v>0.4</v>
      </c>
      <c r="F357">
        <v>7.6</v>
      </c>
    </row>
    <row r="358" spans="2:6">
      <c r="B358" s="55">
        <v>41994</v>
      </c>
      <c r="C358" s="56">
        <v>8.8000000000000007</v>
      </c>
      <c r="D358" s="12">
        <v>35.799999999999997</v>
      </c>
      <c r="E358">
        <v>4</v>
      </c>
      <c r="F358">
        <v>20.6</v>
      </c>
    </row>
    <row r="359" spans="2:6">
      <c r="B359" s="55">
        <v>41995</v>
      </c>
      <c r="C359" s="56">
        <v>11.6</v>
      </c>
      <c r="D359" s="12">
        <v>9.4</v>
      </c>
      <c r="E359">
        <v>10.8</v>
      </c>
      <c r="F359">
        <v>1.4</v>
      </c>
    </row>
    <row r="360" spans="2:6">
      <c r="B360" s="55">
        <v>41996</v>
      </c>
      <c r="C360" s="56">
        <v>10</v>
      </c>
      <c r="D360" s="12">
        <v>0</v>
      </c>
      <c r="E360">
        <v>0.6</v>
      </c>
      <c r="F360">
        <v>3.8</v>
      </c>
    </row>
    <row r="361" spans="2:6">
      <c r="B361" s="55">
        <v>41997</v>
      </c>
      <c r="C361" s="56">
        <v>2.2000000000000002</v>
      </c>
      <c r="D361" s="12">
        <v>0</v>
      </c>
      <c r="E361">
        <v>0</v>
      </c>
      <c r="F361">
        <v>25.6</v>
      </c>
    </row>
    <row r="362" spans="2:6">
      <c r="B362" s="55">
        <v>41998</v>
      </c>
      <c r="C362" s="56">
        <v>0.6</v>
      </c>
      <c r="D362" s="12">
        <v>26.2</v>
      </c>
      <c r="E362">
        <v>6.4</v>
      </c>
      <c r="F362">
        <v>24.8</v>
      </c>
    </row>
    <row r="363" spans="2:6">
      <c r="B363" s="55">
        <v>41999</v>
      </c>
      <c r="C363" s="56">
        <v>10.199999999999999</v>
      </c>
      <c r="D363" s="12">
        <v>1.6</v>
      </c>
      <c r="E363">
        <v>2.4</v>
      </c>
      <c r="F363">
        <v>2.2000000000000002</v>
      </c>
    </row>
    <row r="364" spans="2:6">
      <c r="B364" s="55">
        <v>42000</v>
      </c>
      <c r="C364" s="56">
        <v>5.4</v>
      </c>
      <c r="D364" s="12">
        <v>0.2</v>
      </c>
      <c r="E364">
        <v>0</v>
      </c>
      <c r="F364">
        <v>21.8</v>
      </c>
    </row>
    <row r="365" spans="2:6">
      <c r="B365" s="55">
        <v>42001</v>
      </c>
      <c r="C365" s="56">
        <v>0</v>
      </c>
      <c r="D365" s="12">
        <v>0</v>
      </c>
      <c r="E365">
        <v>0</v>
      </c>
      <c r="F365">
        <v>2.4</v>
      </c>
    </row>
    <row r="366" spans="2:6">
      <c r="B366" s="55">
        <v>42002</v>
      </c>
      <c r="C366" s="56">
        <v>0</v>
      </c>
      <c r="D366" s="12">
        <v>0</v>
      </c>
      <c r="E366">
        <v>0</v>
      </c>
      <c r="F366">
        <v>2.8</v>
      </c>
    </row>
    <row r="367" spans="2:6">
      <c r="B367" s="55">
        <v>42003</v>
      </c>
      <c r="C367" s="56">
        <v>0</v>
      </c>
      <c r="D367" s="12">
        <v>0</v>
      </c>
      <c r="E367">
        <v>0</v>
      </c>
      <c r="F367">
        <v>0.2</v>
      </c>
    </row>
    <row r="368" spans="2:6">
      <c r="B368" s="55">
        <v>42004</v>
      </c>
      <c r="C368" s="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FA7B-E567-4A7D-BC4E-522BB4AC79E9}">
  <dimension ref="A1:M374"/>
  <sheetViews>
    <sheetView topLeftCell="A336" workbookViewId="0">
      <selection activeCell="E79" sqref="E79"/>
    </sheetView>
  </sheetViews>
  <sheetFormatPr defaultRowHeight="14.45"/>
  <cols>
    <col min="1" max="1" width="19.140625" customWidth="1"/>
    <col min="2" max="2" width="10.7109375" customWidth="1"/>
    <col min="3" max="3" width="10.5703125" customWidth="1"/>
    <col min="4" max="4" width="12.28515625" customWidth="1"/>
    <col min="5" max="5" width="12.42578125" customWidth="1"/>
    <col min="6" max="6" width="13.7109375" customWidth="1"/>
    <col min="8" max="8" width="16.42578125" customWidth="1"/>
  </cols>
  <sheetData>
    <row r="1" spans="1:13">
      <c r="A1" s="405" t="s">
        <v>78</v>
      </c>
      <c r="B1" s="419">
        <f>InputOutputData!S18</f>
        <v>10</v>
      </c>
      <c r="C1" s="406" t="s">
        <v>81</v>
      </c>
      <c r="E1" s="392" t="s">
        <v>362</v>
      </c>
      <c r="F1" s="414"/>
      <c r="G1" s="414"/>
      <c r="H1" s="393" t="s">
        <v>363</v>
      </c>
      <c r="J1" s="542" t="s">
        <v>364</v>
      </c>
      <c r="K1" s="543"/>
      <c r="L1" s="543"/>
      <c r="M1" s="544"/>
    </row>
    <row r="2" spans="1:13">
      <c r="A2" s="407" t="s">
        <v>365</v>
      </c>
      <c r="B2" s="408">
        <v>5</v>
      </c>
      <c r="C2" s="409" t="s">
        <v>98</v>
      </c>
      <c r="E2" s="413">
        <f>SUM(D9:D374)</f>
        <v>23172.666666666635</v>
      </c>
      <c r="F2" s="67" t="s">
        <v>366</v>
      </c>
      <c r="G2" s="67"/>
      <c r="H2" s="68">
        <f>SUM(F9:F374)</f>
        <v>7</v>
      </c>
      <c r="J2" s="545" t="s">
        <v>85</v>
      </c>
      <c r="K2" s="546"/>
      <c r="L2" s="415">
        <v>700</v>
      </c>
      <c r="M2" s="416" t="s">
        <v>28</v>
      </c>
    </row>
    <row r="3" spans="1:13">
      <c r="A3" s="407" t="s">
        <v>88</v>
      </c>
      <c r="B3" s="408">
        <v>100</v>
      </c>
      <c r="C3" s="409" t="s">
        <v>367</v>
      </c>
      <c r="E3" s="69">
        <f>E2/1000</f>
        <v>23.172666666666636</v>
      </c>
      <c r="F3" s="70" t="s">
        <v>368</v>
      </c>
      <c r="G3" s="70"/>
      <c r="H3" s="71"/>
      <c r="J3" s="547" t="s">
        <v>369</v>
      </c>
      <c r="K3" s="548"/>
      <c r="L3" s="417">
        <v>100</v>
      </c>
      <c r="M3" s="418" t="s">
        <v>28</v>
      </c>
    </row>
    <row r="4" spans="1:13">
      <c r="A4" s="410" t="s">
        <v>370</v>
      </c>
      <c r="B4" s="411">
        <v>3</v>
      </c>
      <c r="C4" s="412" t="s">
        <v>368</v>
      </c>
    </row>
    <row r="7" spans="1:13">
      <c r="B7" s="8" t="s">
        <v>371</v>
      </c>
      <c r="C7" s="8" t="s">
        <v>371</v>
      </c>
      <c r="D7" s="8" t="s">
        <v>372</v>
      </c>
      <c r="E7" s="8" t="s">
        <v>373</v>
      </c>
      <c r="F7" s="8" t="s">
        <v>374</v>
      </c>
    </row>
    <row r="8" spans="1:13">
      <c r="B8" s="8" t="s">
        <v>199</v>
      </c>
      <c r="C8" s="8" t="s">
        <v>375</v>
      </c>
      <c r="D8" s="8" t="s">
        <v>292</v>
      </c>
      <c r="E8" s="8" t="s">
        <v>292</v>
      </c>
      <c r="F8" s="8"/>
    </row>
    <row r="9" spans="1:13">
      <c r="A9">
        <v>1</v>
      </c>
      <c r="B9" s="11">
        <f>'More accurate Energy (Solar)'!B16</f>
        <v>0.54166666666666652</v>
      </c>
      <c r="C9" s="404">
        <f>B9 * 1440</f>
        <v>779.99999999999977</v>
      </c>
      <c r="D9" s="404">
        <f>C9*$B$3*$B$1/$B$2/1000</f>
        <v>155.99999999999994</v>
      </c>
      <c r="E9" s="404">
        <f>D9</f>
        <v>155.99999999999994</v>
      </c>
    </row>
    <row r="10" spans="1:13">
      <c r="A10">
        <f t="shared" ref="A10:A73" si="0">A9+1</f>
        <v>2</v>
      </c>
      <c r="B10" s="11">
        <f>'More accurate Energy (Solar)'!B17</f>
        <v>6.9444444444444448E-2</v>
      </c>
      <c r="C10" s="404">
        <f t="shared" ref="C10:C73" si="1">B10 * 1000</f>
        <v>69.444444444444443</v>
      </c>
      <c r="D10" s="404">
        <f t="shared" ref="D10:D73" si="2">C10*$B$3*$B$1/$B$2/1000</f>
        <v>13.888888888888888</v>
      </c>
      <c r="E10" s="404">
        <f>IF(E9+D10 &gt; $B$4 * 1000,D10,E9 + D10)</f>
        <v>169.88888888888883</v>
      </c>
      <c r="F10" t="str">
        <f>IF(E10 &lt; E9, 1, "")</f>
        <v/>
      </c>
    </row>
    <row r="11" spans="1:13">
      <c r="A11">
        <f t="shared" si="0"/>
        <v>3</v>
      </c>
      <c r="B11" s="11">
        <f>'More accurate Energy (Solar)'!B18</f>
        <v>0.93055555555555558</v>
      </c>
      <c r="C11" s="404">
        <f t="shared" si="1"/>
        <v>930.55555555555554</v>
      </c>
      <c r="D11" s="404">
        <f t="shared" si="2"/>
        <v>186.11111111111109</v>
      </c>
      <c r="E11" s="404">
        <f t="shared" ref="E11:E13" si="3">IF(E10+D11 &gt; $B$4 * 1000,D11,E10 + D11)</f>
        <v>355.99999999999989</v>
      </c>
      <c r="F11" t="str">
        <f t="shared" ref="F11:F74" si="4">IF(E11 &lt; E10, 1, "")</f>
        <v/>
      </c>
    </row>
    <row r="12" spans="1:13">
      <c r="A12">
        <f t="shared" si="0"/>
        <v>4</v>
      </c>
      <c r="B12" s="11">
        <f>'More accurate Energy (Solar)'!B19</f>
        <v>1.0416666666666667</v>
      </c>
      <c r="C12" s="404">
        <f t="shared" si="1"/>
        <v>1041.6666666666667</v>
      </c>
      <c r="D12" s="404">
        <f t="shared" si="2"/>
        <v>208.33333333333334</v>
      </c>
      <c r="E12" s="404">
        <f t="shared" si="3"/>
        <v>564.33333333333326</v>
      </c>
      <c r="F12" t="str">
        <f t="shared" si="4"/>
        <v/>
      </c>
    </row>
    <row r="13" spans="1:13">
      <c r="A13">
        <f t="shared" si="0"/>
        <v>5</v>
      </c>
      <c r="B13" s="11">
        <f>'More accurate Energy (Solar)'!B20</f>
        <v>1.0416666666666667</v>
      </c>
      <c r="C13" s="404">
        <f t="shared" si="1"/>
        <v>1041.6666666666667</v>
      </c>
      <c r="D13" s="404">
        <f t="shared" si="2"/>
        <v>208.33333333333334</v>
      </c>
      <c r="E13" s="404">
        <f t="shared" si="3"/>
        <v>772.66666666666663</v>
      </c>
      <c r="F13" t="str">
        <f t="shared" si="4"/>
        <v/>
      </c>
    </row>
    <row r="14" spans="1:13">
      <c r="A14">
        <f t="shared" si="0"/>
        <v>6</v>
      </c>
      <c r="B14" s="11">
        <f>'More accurate Energy (Solar)'!B21</f>
        <v>0.19444444444444442</v>
      </c>
      <c r="C14" s="404">
        <f t="shared" si="1"/>
        <v>194.44444444444443</v>
      </c>
      <c r="D14" s="404">
        <f t="shared" si="2"/>
        <v>38.888888888888886</v>
      </c>
      <c r="E14" s="404">
        <f>IF(E13+D14 &gt; $B$4 * 1000,D14,E13 + D14)</f>
        <v>811.55555555555554</v>
      </c>
      <c r="F14" t="str">
        <f t="shared" si="4"/>
        <v/>
      </c>
    </row>
    <row r="15" spans="1:13">
      <c r="A15">
        <f t="shared" si="0"/>
        <v>7</v>
      </c>
      <c r="B15" s="11">
        <f>'More accurate Energy (Solar)'!B22</f>
        <v>0</v>
      </c>
      <c r="C15" s="404">
        <f t="shared" si="1"/>
        <v>0</v>
      </c>
      <c r="D15" s="404">
        <f t="shared" si="2"/>
        <v>0</v>
      </c>
      <c r="E15" s="404">
        <f t="shared" ref="E15:E20" si="5">IF(E14+D15 &gt; $B$4 * 1000,D15,E14 + D15)</f>
        <v>811.55555555555554</v>
      </c>
      <c r="F15" t="str">
        <f t="shared" si="4"/>
        <v/>
      </c>
    </row>
    <row r="16" spans="1:13">
      <c r="A16">
        <f t="shared" si="0"/>
        <v>8</v>
      </c>
      <c r="B16" s="11">
        <f>'More accurate Energy (Solar)'!B23</f>
        <v>0</v>
      </c>
      <c r="C16" s="404">
        <f t="shared" si="1"/>
        <v>0</v>
      </c>
      <c r="D16" s="404">
        <f t="shared" si="2"/>
        <v>0</v>
      </c>
      <c r="E16" s="404">
        <f t="shared" si="5"/>
        <v>811.55555555555554</v>
      </c>
      <c r="F16" t="str">
        <f t="shared" si="4"/>
        <v/>
      </c>
    </row>
    <row r="17" spans="1:6">
      <c r="A17">
        <f t="shared" si="0"/>
        <v>9</v>
      </c>
      <c r="B17" s="11">
        <f>'More accurate Energy (Solar)'!B24</f>
        <v>5.5555555555555552E-2</v>
      </c>
      <c r="C17" s="404">
        <f t="shared" si="1"/>
        <v>55.55555555555555</v>
      </c>
      <c r="D17" s="404">
        <f t="shared" si="2"/>
        <v>11.111111111111109</v>
      </c>
      <c r="E17" s="404">
        <f t="shared" si="5"/>
        <v>822.66666666666663</v>
      </c>
      <c r="F17" t="str">
        <f t="shared" si="4"/>
        <v/>
      </c>
    </row>
    <row r="18" spans="1:6">
      <c r="A18">
        <f t="shared" si="0"/>
        <v>10</v>
      </c>
      <c r="B18" s="11">
        <f>'More accurate Energy (Solar)'!B25</f>
        <v>0</v>
      </c>
      <c r="C18" s="404">
        <f t="shared" si="1"/>
        <v>0</v>
      </c>
      <c r="D18" s="404">
        <f t="shared" si="2"/>
        <v>0</v>
      </c>
      <c r="E18" s="404">
        <f t="shared" si="5"/>
        <v>822.66666666666663</v>
      </c>
      <c r="F18" t="str">
        <f t="shared" si="4"/>
        <v/>
      </c>
    </row>
    <row r="19" spans="1:6">
      <c r="A19">
        <f t="shared" si="0"/>
        <v>11</v>
      </c>
      <c r="B19" s="11">
        <f>'More accurate Energy (Solar)'!B26</f>
        <v>0</v>
      </c>
      <c r="C19" s="404">
        <f t="shared" si="1"/>
        <v>0</v>
      </c>
      <c r="D19" s="404">
        <f t="shared" si="2"/>
        <v>0</v>
      </c>
      <c r="E19" s="404">
        <f t="shared" si="5"/>
        <v>822.66666666666663</v>
      </c>
      <c r="F19" t="str">
        <f t="shared" si="4"/>
        <v/>
      </c>
    </row>
    <row r="20" spans="1:6">
      <c r="A20">
        <f t="shared" si="0"/>
        <v>12</v>
      </c>
      <c r="B20" s="11">
        <f>'More accurate Energy (Solar)'!B27</f>
        <v>0</v>
      </c>
      <c r="C20" s="404">
        <f t="shared" si="1"/>
        <v>0</v>
      </c>
      <c r="D20" s="404">
        <f t="shared" si="2"/>
        <v>0</v>
      </c>
      <c r="E20" s="404">
        <f t="shared" si="5"/>
        <v>822.66666666666663</v>
      </c>
      <c r="F20" t="str">
        <f t="shared" si="4"/>
        <v/>
      </c>
    </row>
    <row r="21" spans="1:6">
      <c r="A21">
        <f t="shared" si="0"/>
        <v>13</v>
      </c>
      <c r="B21" s="11">
        <f>'More accurate Energy (Solar)'!B28</f>
        <v>0</v>
      </c>
      <c r="C21" s="404">
        <f t="shared" si="1"/>
        <v>0</v>
      </c>
      <c r="D21" s="404">
        <f t="shared" si="2"/>
        <v>0</v>
      </c>
      <c r="E21" s="404">
        <f>IF(E20+D21 &gt; $B$4 * 1000,D21,E20 + D21)</f>
        <v>822.66666666666663</v>
      </c>
      <c r="F21" t="str">
        <f t="shared" si="4"/>
        <v/>
      </c>
    </row>
    <row r="22" spans="1:6">
      <c r="A22">
        <f t="shared" si="0"/>
        <v>14</v>
      </c>
      <c r="B22" s="11">
        <f>'More accurate Energy (Solar)'!B29</f>
        <v>2.7777777777777776E-2</v>
      </c>
      <c r="C22" s="404">
        <f t="shared" si="1"/>
        <v>27.777777777777775</v>
      </c>
      <c r="D22" s="404">
        <f t="shared" si="2"/>
        <v>5.5555555555555545</v>
      </c>
      <c r="E22" s="404">
        <f>IF(E21+D22 &gt; $B$4 * 1000,D22,E21 + D22)</f>
        <v>828.22222222222217</v>
      </c>
      <c r="F22" t="str">
        <f t="shared" si="4"/>
        <v/>
      </c>
    </row>
    <row r="23" spans="1:6">
      <c r="A23">
        <f t="shared" si="0"/>
        <v>15</v>
      </c>
      <c r="B23" s="11">
        <f>'More accurate Energy (Solar)'!B30</f>
        <v>1.0416666666666667</v>
      </c>
      <c r="C23" s="404">
        <f t="shared" si="1"/>
        <v>1041.6666666666667</v>
      </c>
      <c r="D23" s="404">
        <f t="shared" si="2"/>
        <v>208.33333333333334</v>
      </c>
      <c r="E23" s="404">
        <f t="shared" ref="E23" si="6">IF(E22+D23 &gt; $B$4 * 1000,D23,E22 + D23)</f>
        <v>1036.5555555555554</v>
      </c>
      <c r="F23" t="str">
        <f t="shared" si="4"/>
        <v/>
      </c>
    </row>
    <row r="24" spans="1:6">
      <c r="A24">
        <f t="shared" si="0"/>
        <v>16</v>
      </c>
      <c r="B24" s="11">
        <f>'More accurate Energy (Solar)'!B31</f>
        <v>0.41666666666666669</v>
      </c>
      <c r="C24" s="404">
        <f t="shared" si="1"/>
        <v>416.66666666666669</v>
      </c>
      <c r="D24" s="404">
        <f t="shared" si="2"/>
        <v>83.333333333333343</v>
      </c>
      <c r="E24" s="404">
        <f>IF(E23+D24 &gt; $B$4 * 1000,D24,E23 + D24)</f>
        <v>1119.8888888888887</v>
      </c>
      <c r="F24" t="str">
        <f t="shared" si="4"/>
        <v/>
      </c>
    </row>
    <row r="25" spans="1:6">
      <c r="A25">
        <f t="shared" si="0"/>
        <v>17</v>
      </c>
      <c r="B25" s="11">
        <f>'More accurate Energy (Solar)'!B32</f>
        <v>1.0416666666666667</v>
      </c>
      <c r="C25" s="404">
        <f t="shared" si="1"/>
        <v>1041.6666666666667</v>
      </c>
      <c r="D25" s="404">
        <f t="shared" si="2"/>
        <v>208.33333333333334</v>
      </c>
      <c r="E25" s="404">
        <f t="shared" ref="E25:E26" si="7">IF(E24+D25 &gt; $B$4 * 1000,D25,E24 + D25)</f>
        <v>1328.2222222222219</v>
      </c>
      <c r="F25" t="str">
        <f t="shared" si="4"/>
        <v/>
      </c>
    </row>
    <row r="26" spans="1:6">
      <c r="A26">
        <f t="shared" si="0"/>
        <v>18</v>
      </c>
      <c r="B26" s="11">
        <f>'More accurate Energy (Solar)'!B33</f>
        <v>1.0416666666666667</v>
      </c>
      <c r="C26" s="404">
        <f t="shared" si="1"/>
        <v>1041.6666666666667</v>
      </c>
      <c r="D26" s="404">
        <f t="shared" si="2"/>
        <v>208.33333333333334</v>
      </c>
      <c r="E26" s="404">
        <f t="shared" si="7"/>
        <v>1536.5555555555552</v>
      </c>
      <c r="F26" t="str">
        <f t="shared" si="4"/>
        <v/>
      </c>
    </row>
    <row r="27" spans="1:6">
      <c r="A27">
        <f t="shared" si="0"/>
        <v>19</v>
      </c>
      <c r="B27" s="11">
        <f>'More accurate Energy (Solar)'!B34</f>
        <v>0.18055555555555555</v>
      </c>
      <c r="C27" s="404">
        <f t="shared" si="1"/>
        <v>180.55555555555554</v>
      </c>
      <c r="D27" s="404">
        <f t="shared" si="2"/>
        <v>36.111111111111107</v>
      </c>
      <c r="E27" s="404">
        <f>IF(E26+D27 &gt; $B$4 * 1000,D27,E26 + D27)</f>
        <v>1572.6666666666663</v>
      </c>
      <c r="F27" t="str">
        <f t="shared" si="4"/>
        <v/>
      </c>
    </row>
    <row r="28" spans="1:6">
      <c r="A28">
        <f t="shared" si="0"/>
        <v>20</v>
      </c>
      <c r="B28" s="11">
        <f>'More accurate Energy (Solar)'!B35</f>
        <v>2.7777777777777776E-2</v>
      </c>
      <c r="C28" s="404">
        <f t="shared" si="1"/>
        <v>27.777777777777775</v>
      </c>
      <c r="D28" s="404">
        <f t="shared" si="2"/>
        <v>5.5555555555555545</v>
      </c>
      <c r="E28" s="404">
        <f t="shared" ref="E28:E30" si="8">IF(E27+D28 &gt; $B$4 * 1000,D28,E27 + D28)</f>
        <v>1578.2222222222219</v>
      </c>
      <c r="F28" t="str">
        <f t="shared" si="4"/>
        <v/>
      </c>
    </row>
    <row r="29" spans="1:6">
      <c r="A29">
        <f t="shared" si="0"/>
        <v>21</v>
      </c>
      <c r="B29" s="11">
        <f>'More accurate Energy (Solar)'!B36</f>
        <v>1.0416666666666667</v>
      </c>
      <c r="C29" s="404">
        <f t="shared" si="1"/>
        <v>1041.6666666666667</v>
      </c>
      <c r="D29" s="404">
        <f t="shared" si="2"/>
        <v>208.33333333333334</v>
      </c>
      <c r="E29" s="404">
        <f t="shared" si="8"/>
        <v>1786.5555555555552</v>
      </c>
      <c r="F29" t="str">
        <f t="shared" si="4"/>
        <v/>
      </c>
    </row>
    <row r="30" spans="1:6">
      <c r="A30">
        <f t="shared" si="0"/>
        <v>22</v>
      </c>
      <c r="B30" s="11">
        <f>'More accurate Energy (Solar)'!B37</f>
        <v>0.97222222222222221</v>
      </c>
      <c r="C30" s="404">
        <f t="shared" si="1"/>
        <v>972.22222222222217</v>
      </c>
      <c r="D30" s="404">
        <f t="shared" si="2"/>
        <v>194.44444444444443</v>
      </c>
      <c r="E30" s="404">
        <f t="shared" si="8"/>
        <v>1980.9999999999995</v>
      </c>
      <c r="F30" t="str">
        <f t="shared" si="4"/>
        <v/>
      </c>
    </row>
    <row r="31" spans="1:6">
      <c r="A31">
        <f t="shared" si="0"/>
        <v>23</v>
      </c>
      <c r="B31" s="11">
        <f>'More accurate Energy (Solar)'!B38</f>
        <v>1.0416666666666667</v>
      </c>
      <c r="C31" s="404">
        <f t="shared" si="1"/>
        <v>1041.6666666666667</v>
      </c>
      <c r="D31" s="404">
        <f t="shared" si="2"/>
        <v>208.33333333333334</v>
      </c>
      <c r="E31" s="404">
        <f>IF(E30+D31 &gt; $B$4 * 1000,D31,E30 + D31)</f>
        <v>2189.333333333333</v>
      </c>
      <c r="F31" t="str">
        <f t="shared" si="4"/>
        <v/>
      </c>
    </row>
    <row r="32" spans="1:6">
      <c r="A32">
        <f t="shared" si="0"/>
        <v>24</v>
      </c>
      <c r="B32" s="11">
        <f>'More accurate Energy (Solar)'!B39</f>
        <v>1.0416666666666667</v>
      </c>
      <c r="C32" s="404">
        <f t="shared" si="1"/>
        <v>1041.6666666666667</v>
      </c>
      <c r="D32" s="404">
        <f t="shared" si="2"/>
        <v>208.33333333333334</v>
      </c>
      <c r="E32" s="404">
        <f>IF(E31+D32 &gt; $B$4 * 1000,D32,E31 + D32)</f>
        <v>2397.6666666666665</v>
      </c>
      <c r="F32" t="str">
        <f t="shared" si="4"/>
        <v/>
      </c>
    </row>
    <row r="33" spans="1:6">
      <c r="A33">
        <f t="shared" si="0"/>
        <v>25</v>
      </c>
      <c r="B33" s="11">
        <f>'More accurate Energy (Solar)'!B40</f>
        <v>0.125</v>
      </c>
      <c r="C33" s="404">
        <f t="shared" si="1"/>
        <v>125</v>
      </c>
      <c r="D33" s="404">
        <f t="shared" si="2"/>
        <v>25</v>
      </c>
      <c r="E33" s="404">
        <f t="shared" ref="E33:E49" si="9">IF(E32+D33 &gt; $B$4 * 1000,D33,E32 + D33)</f>
        <v>2422.6666666666665</v>
      </c>
      <c r="F33" t="str">
        <f t="shared" si="4"/>
        <v/>
      </c>
    </row>
    <row r="34" spans="1:6">
      <c r="A34">
        <f t="shared" si="0"/>
        <v>26</v>
      </c>
      <c r="B34" s="11">
        <f>'More accurate Energy (Solar)'!B41</f>
        <v>0.19444444444444442</v>
      </c>
      <c r="C34" s="404">
        <f t="shared" si="1"/>
        <v>194.44444444444443</v>
      </c>
      <c r="D34" s="404">
        <f t="shared" si="2"/>
        <v>38.888888888888886</v>
      </c>
      <c r="E34" s="404">
        <f t="shared" si="9"/>
        <v>2461.5555555555552</v>
      </c>
      <c r="F34" t="str">
        <f t="shared" si="4"/>
        <v/>
      </c>
    </row>
    <row r="35" spans="1:6">
      <c r="A35">
        <f t="shared" si="0"/>
        <v>27</v>
      </c>
      <c r="B35" s="11">
        <f>'More accurate Energy (Solar)'!B42</f>
        <v>0.19444444444444442</v>
      </c>
      <c r="C35" s="404">
        <f t="shared" si="1"/>
        <v>194.44444444444443</v>
      </c>
      <c r="D35" s="404">
        <f t="shared" si="2"/>
        <v>38.888888888888886</v>
      </c>
      <c r="E35" s="404">
        <f t="shared" si="9"/>
        <v>2500.4444444444439</v>
      </c>
      <c r="F35" t="str">
        <f t="shared" si="4"/>
        <v/>
      </c>
    </row>
    <row r="36" spans="1:6">
      <c r="A36">
        <f t="shared" si="0"/>
        <v>28</v>
      </c>
      <c r="B36" s="11">
        <f>'More accurate Energy (Solar)'!B43</f>
        <v>0</v>
      </c>
      <c r="C36" s="404">
        <f t="shared" si="1"/>
        <v>0</v>
      </c>
      <c r="D36" s="404">
        <f t="shared" si="2"/>
        <v>0</v>
      </c>
      <c r="E36" s="404">
        <f t="shared" si="9"/>
        <v>2500.4444444444439</v>
      </c>
      <c r="F36" t="str">
        <f t="shared" si="4"/>
        <v/>
      </c>
    </row>
    <row r="37" spans="1:6">
      <c r="A37">
        <f t="shared" si="0"/>
        <v>29</v>
      </c>
      <c r="B37" s="11">
        <f>'More accurate Energy (Solar)'!B44</f>
        <v>0</v>
      </c>
      <c r="C37" s="404">
        <f t="shared" si="1"/>
        <v>0</v>
      </c>
      <c r="D37" s="404">
        <f t="shared" si="2"/>
        <v>0</v>
      </c>
      <c r="E37" s="404">
        <f t="shared" si="9"/>
        <v>2500.4444444444439</v>
      </c>
      <c r="F37" t="str">
        <f t="shared" si="4"/>
        <v/>
      </c>
    </row>
    <row r="38" spans="1:6">
      <c r="A38">
        <f t="shared" si="0"/>
        <v>30</v>
      </c>
      <c r="B38" s="11">
        <f>'More accurate Energy (Solar)'!B45</f>
        <v>4.1666666666666664E-2</v>
      </c>
      <c r="C38" s="404">
        <f t="shared" si="1"/>
        <v>41.666666666666664</v>
      </c>
      <c r="D38" s="404">
        <f t="shared" si="2"/>
        <v>8.3333333333333321</v>
      </c>
      <c r="E38" s="404">
        <f t="shared" si="9"/>
        <v>2508.7777777777774</v>
      </c>
      <c r="F38" t="str">
        <f t="shared" si="4"/>
        <v/>
      </c>
    </row>
    <row r="39" spans="1:6">
      <c r="A39">
        <f t="shared" si="0"/>
        <v>31</v>
      </c>
      <c r="B39" s="11">
        <f>'More accurate Energy (Solar)'!B46</f>
        <v>0.40277777777777773</v>
      </c>
      <c r="C39" s="404">
        <f t="shared" si="1"/>
        <v>402.77777777777771</v>
      </c>
      <c r="D39" s="404">
        <f t="shared" si="2"/>
        <v>80.555555555555543</v>
      </c>
      <c r="E39" s="404">
        <f t="shared" si="9"/>
        <v>2589.333333333333</v>
      </c>
      <c r="F39" t="str">
        <f t="shared" si="4"/>
        <v/>
      </c>
    </row>
    <row r="40" spans="1:6">
      <c r="A40">
        <f t="shared" si="0"/>
        <v>32</v>
      </c>
      <c r="B40" s="11">
        <f>'More accurate Energy (Solar)'!B47</f>
        <v>0.55555555555555558</v>
      </c>
      <c r="C40" s="404">
        <f t="shared" si="1"/>
        <v>555.55555555555554</v>
      </c>
      <c r="D40" s="404">
        <f t="shared" si="2"/>
        <v>111.1111111111111</v>
      </c>
      <c r="E40" s="404">
        <f t="shared" si="9"/>
        <v>2700.4444444444443</v>
      </c>
      <c r="F40" t="str">
        <f t="shared" si="4"/>
        <v/>
      </c>
    </row>
    <row r="41" spans="1:6">
      <c r="A41">
        <f t="shared" si="0"/>
        <v>33</v>
      </c>
      <c r="B41" s="11">
        <f>'More accurate Energy (Solar)'!B48</f>
        <v>1.0416666666666667</v>
      </c>
      <c r="C41" s="404">
        <f t="shared" si="1"/>
        <v>1041.6666666666667</v>
      </c>
      <c r="D41" s="404">
        <f t="shared" si="2"/>
        <v>208.33333333333334</v>
      </c>
      <c r="E41" s="404">
        <f t="shared" si="9"/>
        <v>2908.7777777777778</v>
      </c>
      <c r="F41" t="str">
        <f t="shared" si="4"/>
        <v/>
      </c>
    </row>
    <row r="42" spans="1:6">
      <c r="A42">
        <f t="shared" si="0"/>
        <v>34</v>
      </c>
      <c r="B42" s="11">
        <f>'More accurate Energy (Solar)'!B49</f>
        <v>4.1666666666666664E-2</v>
      </c>
      <c r="C42" s="404">
        <f t="shared" si="1"/>
        <v>41.666666666666664</v>
      </c>
      <c r="D42" s="404">
        <f t="shared" si="2"/>
        <v>8.3333333333333321</v>
      </c>
      <c r="E42" s="404">
        <f t="shared" si="9"/>
        <v>2917.1111111111113</v>
      </c>
      <c r="F42" t="str">
        <f t="shared" si="4"/>
        <v/>
      </c>
    </row>
    <row r="43" spans="1:6">
      <c r="A43">
        <f t="shared" si="0"/>
        <v>35</v>
      </c>
      <c r="B43" s="11">
        <f>'More accurate Energy (Solar)'!B50</f>
        <v>1.0416666666666667</v>
      </c>
      <c r="C43" s="404">
        <f t="shared" si="1"/>
        <v>1041.6666666666667</v>
      </c>
      <c r="D43" s="404">
        <f t="shared" si="2"/>
        <v>208.33333333333334</v>
      </c>
      <c r="E43" s="404">
        <f t="shared" si="9"/>
        <v>208.33333333333334</v>
      </c>
      <c r="F43">
        <f t="shared" si="4"/>
        <v>1</v>
      </c>
    </row>
    <row r="44" spans="1:6">
      <c r="A44">
        <f t="shared" si="0"/>
        <v>36</v>
      </c>
      <c r="B44" s="11">
        <f>'More accurate Energy (Solar)'!B51</f>
        <v>1.0416666666666667</v>
      </c>
      <c r="C44" s="404">
        <f t="shared" si="1"/>
        <v>1041.6666666666667</v>
      </c>
      <c r="D44" s="404">
        <f t="shared" si="2"/>
        <v>208.33333333333334</v>
      </c>
      <c r="E44" s="404">
        <f t="shared" si="9"/>
        <v>416.66666666666669</v>
      </c>
      <c r="F44" t="str">
        <f t="shared" si="4"/>
        <v/>
      </c>
    </row>
    <row r="45" spans="1:6">
      <c r="A45">
        <f t="shared" si="0"/>
        <v>37</v>
      </c>
      <c r="B45" s="11">
        <f>'More accurate Energy (Solar)'!B52</f>
        <v>1.0416666666666667</v>
      </c>
      <c r="C45" s="404">
        <f t="shared" si="1"/>
        <v>1041.6666666666667</v>
      </c>
      <c r="D45" s="404">
        <f t="shared" si="2"/>
        <v>208.33333333333334</v>
      </c>
      <c r="E45" s="404">
        <f t="shared" si="9"/>
        <v>625</v>
      </c>
      <c r="F45" t="str">
        <f t="shared" si="4"/>
        <v/>
      </c>
    </row>
    <row r="46" spans="1:6">
      <c r="A46">
        <f t="shared" si="0"/>
        <v>38</v>
      </c>
      <c r="B46" s="11">
        <f>'More accurate Energy (Solar)'!B53</f>
        <v>1.0416666666666667</v>
      </c>
      <c r="C46" s="404">
        <f t="shared" si="1"/>
        <v>1041.6666666666667</v>
      </c>
      <c r="D46" s="404">
        <f t="shared" si="2"/>
        <v>208.33333333333334</v>
      </c>
      <c r="E46" s="404">
        <f t="shared" si="9"/>
        <v>833.33333333333337</v>
      </c>
      <c r="F46" t="str">
        <f t="shared" si="4"/>
        <v/>
      </c>
    </row>
    <row r="47" spans="1:6">
      <c r="A47">
        <f t="shared" si="0"/>
        <v>39</v>
      </c>
      <c r="B47" s="11">
        <f>'More accurate Energy (Solar)'!B54</f>
        <v>0.45833333333333331</v>
      </c>
      <c r="C47" s="404">
        <f t="shared" si="1"/>
        <v>458.33333333333331</v>
      </c>
      <c r="D47" s="404">
        <f t="shared" si="2"/>
        <v>91.666666666666657</v>
      </c>
      <c r="E47" s="404">
        <f t="shared" si="9"/>
        <v>925</v>
      </c>
      <c r="F47" t="str">
        <f t="shared" si="4"/>
        <v/>
      </c>
    </row>
    <row r="48" spans="1:6">
      <c r="A48">
        <f t="shared" si="0"/>
        <v>40</v>
      </c>
      <c r="B48" s="11">
        <f>'More accurate Energy (Solar)'!B55</f>
        <v>0.22222222222222221</v>
      </c>
      <c r="C48" s="404">
        <f t="shared" si="1"/>
        <v>222.2222222222222</v>
      </c>
      <c r="D48" s="404">
        <f t="shared" si="2"/>
        <v>44.444444444444436</v>
      </c>
      <c r="E48" s="404">
        <f t="shared" si="9"/>
        <v>969.44444444444446</v>
      </c>
      <c r="F48" t="str">
        <f t="shared" si="4"/>
        <v/>
      </c>
    </row>
    <row r="49" spans="1:6">
      <c r="A49">
        <f t="shared" si="0"/>
        <v>41</v>
      </c>
      <c r="B49" s="11">
        <f>'More accurate Energy (Solar)'!B56</f>
        <v>1.3888888888888888E-2</v>
      </c>
      <c r="C49" s="404">
        <f t="shared" si="1"/>
        <v>13.888888888888888</v>
      </c>
      <c r="D49" s="404">
        <f t="shared" si="2"/>
        <v>2.7777777777777772</v>
      </c>
      <c r="E49" s="404">
        <f t="shared" si="9"/>
        <v>972.22222222222229</v>
      </c>
      <c r="F49" t="str">
        <f t="shared" si="4"/>
        <v/>
      </c>
    </row>
    <row r="50" spans="1:6">
      <c r="A50">
        <f t="shared" si="0"/>
        <v>42</v>
      </c>
      <c r="B50" s="11">
        <f>'More accurate Energy (Solar)'!B57</f>
        <v>1.0416666666666667</v>
      </c>
      <c r="C50" s="404">
        <f t="shared" si="1"/>
        <v>1041.6666666666667</v>
      </c>
      <c r="D50" s="404">
        <f t="shared" si="2"/>
        <v>208.33333333333334</v>
      </c>
      <c r="E50" s="404">
        <f>IF(E49+D50 &gt; $B$4 * 1000,D50,E49 + D50)</f>
        <v>1180.5555555555557</v>
      </c>
      <c r="F50" t="str">
        <f t="shared" si="4"/>
        <v/>
      </c>
    </row>
    <row r="51" spans="1:6">
      <c r="A51">
        <f t="shared" si="0"/>
        <v>43</v>
      </c>
      <c r="B51" s="11">
        <f>'More accurate Energy (Solar)'!B58</f>
        <v>1.0416666666666667</v>
      </c>
      <c r="C51" s="404">
        <f t="shared" si="1"/>
        <v>1041.6666666666667</v>
      </c>
      <c r="D51" s="404">
        <f t="shared" si="2"/>
        <v>208.33333333333334</v>
      </c>
      <c r="E51" s="404">
        <f>IF(E50+D51 &gt; $B$4 * 1000,(E50+D51)-3000,E50 + D51)</f>
        <v>1388.8888888888889</v>
      </c>
      <c r="F51" t="str">
        <f t="shared" si="4"/>
        <v/>
      </c>
    </row>
    <row r="52" spans="1:6">
      <c r="A52">
        <f t="shared" si="0"/>
        <v>44</v>
      </c>
      <c r="B52" s="11">
        <f>'More accurate Energy (Solar)'!B59</f>
        <v>1.0416666666666667</v>
      </c>
      <c r="C52" s="404">
        <f t="shared" si="1"/>
        <v>1041.6666666666667</v>
      </c>
      <c r="D52" s="404">
        <f t="shared" si="2"/>
        <v>208.33333333333334</v>
      </c>
      <c r="E52" s="404">
        <f t="shared" ref="E52:E115" si="10">IF(E51+D52 &gt; $B$4 * 1000,(E51+D52)-3000,E51 + D52)</f>
        <v>1597.2222222222222</v>
      </c>
      <c r="F52" t="str">
        <f t="shared" si="4"/>
        <v/>
      </c>
    </row>
    <row r="53" spans="1:6">
      <c r="A53">
        <f t="shared" si="0"/>
        <v>45</v>
      </c>
      <c r="B53" s="11">
        <f>'More accurate Energy (Solar)'!B60</f>
        <v>1.3888888888888888E-2</v>
      </c>
      <c r="C53" s="404">
        <f t="shared" si="1"/>
        <v>13.888888888888888</v>
      </c>
      <c r="D53" s="404">
        <f t="shared" si="2"/>
        <v>2.7777777777777772</v>
      </c>
      <c r="E53" s="404">
        <f t="shared" si="10"/>
        <v>1600</v>
      </c>
      <c r="F53" t="str">
        <f t="shared" si="4"/>
        <v/>
      </c>
    </row>
    <row r="54" spans="1:6">
      <c r="A54">
        <f t="shared" si="0"/>
        <v>46</v>
      </c>
      <c r="B54" s="11">
        <f>'More accurate Energy (Solar)'!B61</f>
        <v>0</v>
      </c>
      <c r="C54" s="404">
        <f t="shared" si="1"/>
        <v>0</v>
      </c>
      <c r="D54" s="404">
        <f t="shared" si="2"/>
        <v>0</v>
      </c>
      <c r="E54" s="404">
        <f t="shared" si="10"/>
        <v>1600</v>
      </c>
      <c r="F54" t="str">
        <f t="shared" si="4"/>
        <v/>
      </c>
    </row>
    <row r="55" spans="1:6">
      <c r="A55">
        <f t="shared" si="0"/>
        <v>47</v>
      </c>
      <c r="B55" s="11">
        <f>'More accurate Energy (Solar)'!B62</f>
        <v>0</v>
      </c>
      <c r="C55" s="404">
        <f t="shared" si="1"/>
        <v>0</v>
      </c>
      <c r="D55" s="404">
        <f t="shared" si="2"/>
        <v>0</v>
      </c>
      <c r="E55" s="404">
        <f t="shared" si="10"/>
        <v>1600</v>
      </c>
      <c r="F55" t="str">
        <f t="shared" si="4"/>
        <v/>
      </c>
    </row>
    <row r="56" spans="1:6">
      <c r="A56">
        <f t="shared" si="0"/>
        <v>48</v>
      </c>
      <c r="B56" s="11">
        <f>'More accurate Energy (Solar)'!B63</f>
        <v>0</v>
      </c>
      <c r="C56" s="404">
        <f t="shared" si="1"/>
        <v>0</v>
      </c>
      <c r="D56" s="404">
        <f t="shared" si="2"/>
        <v>0</v>
      </c>
      <c r="E56" s="404">
        <f t="shared" si="10"/>
        <v>1600</v>
      </c>
      <c r="F56" t="str">
        <f t="shared" si="4"/>
        <v/>
      </c>
    </row>
    <row r="57" spans="1:6">
      <c r="A57">
        <f t="shared" si="0"/>
        <v>49</v>
      </c>
      <c r="B57" s="11">
        <f>'More accurate Energy (Solar)'!B64</f>
        <v>0.27777777777777779</v>
      </c>
      <c r="C57" s="404">
        <f t="shared" si="1"/>
        <v>277.77777777777777</v>
      </c>
      <c r="D57" s="404">
        <f t="shared" si="2"/>
        <v>55.55555555555555</v>
      </c>
      <c r="E57" s="404">
        <f t="shared" si="10"/>
        <v>1655.5555555555557</v>
      </c>
      <c r="F57" t="str">
        <f t="shared" si="4"/>
        <v/>
      </c>
    </row>
    <row r="58" spans="1:6">
      <c r="A58">
        <f t="shared" si="0"/>
        <v>50</v>
      </c>
      <c r="B58" s="11">
        <f>'More accurate Energy (Solar)'!B65</f>
        <v>0.76388888888888884</v>
      </c>
      <c r="C58" s="404">
        <f t="shared" si="1"/>
        <v>763.8888888888888</v>
      </c>
      <c r="D58" s="404">
        <f t="shared" si="2"/>
        <v>152.77777777777774</v>
      </c>
      <c r="E58" s="404">
        <f t="shared" si="10"/>
        <v>1808.3333333333335</v>
      </c>
      <c r="F58" t="str">
        <f t="shared" si="4"/>
        <v/>
      </c>
    </row>
    <row r="59" spans="1:6">
      <c r="A59">
        <f t="shared" si="0"/>
        <v>51</v>
      </c>
      <c r="B59" s="11">
        <f>'More accurate Energy (Solar)'!B66</f>
        <v>2.7777777777777776E-2</v>
      </c>
      <c r="C59" s="404">
        <f t="shared" si="1"/>
        <v>27.777777777777775</v>
      </c>
      <c r="D59" s="404">
        <f t="shared" si="2"/>
        <v>5.5555555555555545</v>
      </c>
      <c r="E59" s="404">
        <f t="shared" si="10"/>
        <v>1813.8888888888891</v>
      </c>
      <c r="F59" t="str">
        <f t="shared" si="4"/>
        <v/>
      </c>
    </row>
    <row r="60" spans="1:6">
      <c r="A60">
        <f t="shared" si="0"/>
        <v>52</v>
      </c>
      <c r="B60" s="11">
        <f>'More accurate Energy (Solar)'!B67</f>
        <v>0</v>
      </c>
      <c r="C60" s="404">
        <f t="shared" si="1"/>
        <v>0</v>
      </c>
      <c r="D60" s="404">
        <f t="shared" si="2"/>
        <v>0</v>
      </c>
      <c r="E60" s="404">
        <f t="shared" si="10"/>
        <v>1813.8888888888891</v>
      </c>
      <c r="F60" t="str">
        <f t="shared" si="4"/>
        <v/>
      </c>
    </row>
    <row r="61" spans="1:6">
      <c r="A61">
        <f t="shared" si="0"/>
        <v>53</v>
      </c>
      <c r="B61" s="11">
        <f>'More accurate Energy (Solar)'!B68</f>
        <v>0</v>
      </c>
      <c r="C61" s="404">
        <f t="shared" si="1"/>
        <v>0</v>
      </c>
      <c r="D61" s="404">
        <f t="shared" si="2"/>
        <v>0</v>
      </c>
      <c r="E61" s="404">
        <f t="shared" si="10"/>
        <v>1813.8888888888891</v>
      </c>
      <c r="F61" t="str">
        <f t="shared" si="4"/>
        <v/>
      </c>
    </row>
    <row r="62" spans="1:6">
      <c r="A62">
        <f t="shared" si="0"/>
        <v>54</v>
      </c>
      <c r="B62" s="11">
        <f>'More accurate Energy (Solar)'!B69</f>
        <v>0</v>
      </c>
      <c r="C62" s="404">
        <f t="shared" si="1"/>
        <v>0</v>
      </c>
      <c r="D62" s="404">
        <f t="shared" si="2"/>
        <v>0</v>
      </c>
      <c r="E62" s="404">
        <f t="shared" si="10"/>
        <v>1813.8888888888891</v>
      </c>
      <c r="F62" t="str">
        <f t="shared" si="4"/>
        <v/>
      </c>
    </row>
    <row r="63" spans="1:6">
      <c r="A63">
        <f t="shared" si="0"/>
        <v>55</v>
      </c>
      <c r="B63" s="11">
        <f>'More accurate Energy (Solar)'!B70</f>
        <v>1.3888888888888888E-2</v>
      </c>
      <c r="C63" s="404">
        <f t="shared" si="1"/>
        <v>13.888888888888888</v>
      </c>
      <c r="D63" s="404">
        <f t="shared" si="2"/>
        <v>2.7777777777777772</v>
      </c>
      <c r="E63" s="404">
        <f t="shared" si="10"/>
        <v>1816.666666666667</v>
      </c>
      <c r="F63" t="str">
        <f t="shared" si="4"/>
        <v/>
      </c>
    </row>
    <row r="64" spans="1:6">
      <c r="A64">
        <f t="shared" si="0"/>
        <v>56</v>
      </c>
      <c r="B64" s="11">
        <f>'More accurate Energy (Solar)'!B71</f>
        <v>0.31944444444444442</v>
      </c>
      <c r="C64" s="404">
        <f t="shared" si="1"/>
        <v>319.4444444444444</v>
      </c>
      <c r="D64" s="404">
        <f t="shared" si="2"/>
        <v>63.888888888888893</v>
      </c>
      <c r="E64" s="404">
        <f t="shared" si="10"/>
        <v>1880.5555555555559</v>
      </c>
      <c r="F64" t="str">
        <f t="shared" si="4"/>
        <v/>
      </c>
    </row>
    <row r="65" spans="1:6">
      <c r="A65">
        <f t="shared" si="0"/>
        <v>57</v>
      </c>
      <c r="B65" s="11">
        <f>'More accurate Energy (Solar)'!B72</f>
        <v>0.61111111111111116</v>
      </c>
      <c r="C65" s="404">
        <f t="shared" si="1"/>
        <v>611.1111111111112</v>
      </c>
      <c r="D65" s="404">
        <f t="shared" si="2"/>
        <v>122.22222222222221</v>
      </c>
      <c r="E65" s="404">
        <f t="shared" si="10"/>
        <v>2002.7777777777781</v>
      </c>
      <c r="F65" t="str">
        <f t="shared" si="4"/>
        <v/>
      </c>
    </row>
    <row r="66" spans="1:6">
      <c r="A66">
        <f t="shared" si="0"/>
        <v>58</v>
      </c>
      <c r="B66" s="11">
        <f>'More accurate Energy (Solar)'!B73</f>
        <v>2.7777777777777776E-2</v>
      </c>
      <c r="C66" s="404">
        <f t="shared" si="1"/>
        <v>27.777777777777775</v>
      </c>
      <c r="D66" s="404">
        <f t="shared" si="2"/>
        <v>5.5555555555555545</v>
      </c>
      <c r="E66" s="404">
        <f t="shared" si="10"/>
        <v>2008.3333333333337</v>
      </c>
      <c r="F66" t="str">
        <f t="shared" si="4"/>
        <v/>
      </c>
    </row>
    <row r="67" spans="1:6">
      <c r="A67">
        <f t="shared" si="0"/>
        <v>59</v>
      </c>
      <c r="B67" s="11">
        <f>'More accurate Energy (Solar)'!B74</f>
        <v>0</v>
      </c>
      <c r="C67" s="404">
        <f t="shared" si="1"/>
        <v>0</v>
      </c>
      <c r="D67" s="404">
        <f t="shared" si="2"/>
        <v>0</v>
      </c>
      <c r="E67" s="404">
        <f t="shared" si="10"/>
        <v>2008.3333333333337</v>
      </c>
      <c r="F67" t="str">
        <f t="shared" si="4"/>
        <v/>
      </c>
    </row>
    <row r="68" spans="1:6">
      <c r="A68">
        <f t="shared" si="0"/>
        <v>60</v>
      </c>
      <c r="B68" s="11">
        <f>'More accurate Energy (Solar)'!B75</f>
        <v>8.3333333333333329E-2</v>
      </c>
      <c r="C68" s="404">
        <f t="shared" si="1"/>
        <v>83.333333333333329</v>
      </c>
      <c r="D68" s="404">
        <f t="shared" si="2"/>
        <v>16.666666666666664</v>
      </c>
      <c r="E68" s="404">
        <f t="shared" si="10"/>
        <v>2025.0000000000005</v>
      </c>
      <c r="F68" t="str">
        <f t="shared" si="4"/>
        <v/>
      </c>
    </row>
    <row r="69" spans="1:6">
      <c r="A69">
        <f t="shared" si="0"/>
        <v>61</v>
      </c>
      <c r="B69" s="11">
        <f>'More accurate Energy (Solar)'!B76</f>
        <v>0</v>
      </c>
      <c r="C69" s="404">
        <f t="shared" si="1"/>
        <v>0</v>
      </c>
      <c r="D69" s="404">
        <f t="shared" si="2"/>
        <v>0</v>
      </c>
      <c r="E69" s="404">
        <f t="shared" si="10"/>
        <v>2025.0000000000005</v>
      </c>
      <c r="F69" t="str">
        <f t="shared" si="4"/>
        <v/>
      </c>
    </row>
    <row r="70" spans="1:6">
      <c r="A70">
        <f t="shared" si="0"/>
        <v>62</v>
      </c>
      <c r="B70" s="11">
        <f>'More accurate Energy (Solar)'!B77</f>
        <v>0</v>
      </c>
      <c r="C70" s="404">
        <f t="shared" si="1"/>
        <v>0</v>
      </c>
      <c r="D70" s="404">
        <f t="shared" si="2"/>
        <v>0</v>
      </c>
      <c r="E70" s="404">
        <f t="shared" si="10"/>
        <v>2025.0000000000005</v>
      </c>
      <c r="F70" t="str">
        <f t="shared" si="4"/>
        <v/>
      </c>
    </row>
    <row r="71" spans="1:6">
      <c r="A71">
        <f t="shared" si="0"/>
        <v>63</v>
      </c>
      <c r="B71" s="11">
        <f>'More accurate Energy (Solar)'!B78</f>
        <v>2.7777777777777776E-2</v>
      </c>
      <c r="C71" s="404">
        <f t="shared" si="1"/>
        <v>27.777777777777775</v>
      </c>
      <c r="D71" s="404">
        <f t="shared" si="2"/>
        <v>5.5555555555555545</v>
      </c>
      <c r="E71" s="404">
        <f t="shared" si="10"/>
        <v>2030.5555555555561</v>
      </c>
      <c r="F71" t="str">
        <f t="shared" si="4"/>
        <v/>
      </c>
    </row>
    <row r="72" spans="1:6">
      <c r="A72">
        <f t="shared" si="0"/>
        <v>64</v>
      </c>
      <c r="B72" s="11">
        <f>'More accurate Energy (Solar)'!B79</f>
        <v>0.125</v>
      </c>
      <c r="C72" s="404">
        <f t="shared" si="1"/>
        <v>125</v>
      </c>
      <c r="D72" s="404">
        <f t="shared" si="2"/>
        <v>25</v>
      </c>
      <c r="E72" s="404">
        <f t="shared" si="10"/>
        <v>2055.5555555555561</v>
      </c>
      <c r="F72" t="str">
        <f t="shared" si="4"/>
        <v/>
      </c>
    </row>
    <row r="73" spans="1:6">
      <c r="A73">
        <f t="shared" si="0"/>
        <v>65</v>
      </c>
      <c r="B73" s="11">
        <f>'More accurate Energy (Solar)'!B80</f>
        <v>5.5555555555555552E-2</v>
      </c>
      <c r="C73" s="404">
        <f t="shared" si="1"/>
        <v>55.55555555555555</v>
      </c>
      <c r="D73" s="404">
        <f t="shared" si="2"/>
        <v>11.111111111111109</v>
      </c>
      <c r="E73" s="404">
        <f t="shared" si="10"/>
        <v>2066.6666666666674</v>
      </c>
      <c r="F73" t="str">
        <f t="shared" si="4"/>
        <v/>
      </c>
    </row>
    <row r="74" spans="1:6">
      <c r="A74">
        <f t="shared" ref="A74:A137" si="11">A73+1</f>
        <v>66</v>
      </c>
      <c r="B74" s="11">
        <f>'More accurate Energy (Solar)'!B81</f>
        <v>0</v>
      </c>
      <c r="C74" s="404">
        <f t="shared" ref="C74:C137" si="12">B74 * 1000</f>
        <v>0</v>
      </c>
      <c r="D74" s="404">
        <f t="shared" ref="D74:D137" si="13">C74*$B$3*$B$1/$B$2/1000</f>
        <v>0</v>
      </c>
      <c r="E74" s="404">
        <f t="shared" si="10"/>
        <v>2066.6666666666674</v>
      </c>
      <c r="F74" t="str">
        <f t="shared" si="4"/>
        <v/>
      </c>
    </row>
    <row r="75" spans="1:6">
      <c r="A75">
        <f t="shared" si="11"/>
        <v>67</v>
      </c>
      <c r="B75" s="11">
        <f>'More accurate Energy (Solar)'!B82</f>
        <v>2.7777777777777776E-2</v>
      </c>
      <c r="C75" s="404">
        <f t="shared" si="12"/>
        <v>27.777777777777775</v>
      </c>
      <c r="D75" s="404">
        <f t="shared" si="13"/>
        <v>5.5555555555555545</v>
      </c>
      <c r="E75" s="404">
        <f t="shared" si="10"/>
        <v>2072.2222222222231</v>
      </c>
      <c r="F75" t="str">
        <f t="shared" ref="F75:F138" si="14">IF(E75 &lt; E74, 1, "")</f>
        <v/>
      </c>
    </row>
    <row r="76" spans="1:6">
      <c r="A76">
        <f t="shared" si="11"/>
        <v>68</v>
      </c>
      <c r="B76" s="11">
        <f>'More accurate Energy (Solar)'!B83</f>
        <v>2.7777777777777776E-2</v>
      </c>
      <c r="C76" s="404">
        <f t="shared" si="12"/>
        <v>27.777777777777775</v>
      </c>
      <c r="D76" s="404">
        <f t="shared" si="13"/>
        <v>5.5555555555555545</v>
      </c>
      <c r="E76" s="404">
        <f t="shared" si="10"/>
        <v>2077.7777777777787</v>
      </c>
      <c r="F76" t="str">
        <f t="shared" si="14"/>
        <v/>
      </c>
    </row>
    <row r="77" spans="1:6">
      <c r="A77">
        <f t="shared" si="11"/>
        <v>69</v>
      </c>
      <c r="B77" s="11">
        <f>'More accurate Energy (Solar)'!B84</f>
        <v>0.19444444444444442</v>
      </c>
      <c r="C77" s="404">
        <f t="shared" si="12"/>
        <v>194.44444444444443</v>
      </c>
      <c r="D77" s="404">
        <f t="shared" si="13"/>
        <v>38.888888888888886</v>
      </c>
      <c r="E77" s="404">
        <f t="shared" si="10"/>
        <v>2116.6666666666674</v>
      </c>
      <c r="F77" t="str">
        <f t="shared" si="14"/>
        <v/>
      </c>
    </row>
    <row r="78" spans="1:6">
      <c r="A78">
        <f t="shared" si="11"/>
        <v>70</v>
      </c>
      <c r="B78" s="11">
        <f>'More accurate Energy (Solar)'!B85</f>
        <v>0.94444444444444442</v>
      </c>
      <c r="C78" s="404">
        <f t="shared" si="12"/>
        <v>944.44444444444446</v>
      </c>
      <c r="D78" s="404">
        <f t="shared" si="13"/>
        <v>188.88888888888891</v>
      </c>
      <c r="E78" s="404">
        <f t="shared" si="10"/>
        <v>2305.5555555555566</v>
      </c>
      <c r="F78" t="str">
        <f t="shared" si="14"/>
        <v/>
      </c>
    </row>
    <row r="79" spans="1:6">
      <c r="A79">
        <f t="shared" si="11"/>
        <v>71</v>
      </c>
      <c r="B79" s="11">
        <f>'More accurate Energy (Solar)'!B86</f>
        <v>0.59722222222222221</v>
      </c>
      <c r="C79" s="404">
        <f t="shared" si="12"/>
        <v>597.22222222222217</v>
      </c>
      <c r="D79" s="404">
        <f t="shared" si="13"/>
        <v>119.44444444444446</v>
      </c>
      <c r="E79" s="404">
        <f t="shared" si="10"/>
        <v>2425.0000000000009</v>
      </c>
      <c r="F79" t="str">
        <f t="shared" si="14"/>
        <v/>
      </c>
    </row>
    <row r="80" spans="1:6">
      <c r="A80">
        <f t="shared" si="11"/>
        <v>72</v>
      </c>
      <c r="B80" s="11">
        <f>'More accurate Energy (Solar)'!B87</f>
        <v>1.0416666666666667</v>
      </c>
      <c r="C80" s="404">
        <f t="shared" si="12"/>
        <v>1041.6666666666667</v>
      </c>
      <c r="D80" s="404">
        <f t="shared" si="13"/>
        <v>208.33333333333334</v>
      </c>
      <c r="E80" s="404">
        <f t="shared" si="10"/>
        <v>2633.3333333333344</v>
      </c>
      <c r="F80" t="str">
        <f t="shared" si="14"/>
        <v/>
      </c>
    </row>
    <row r="81" spans="1:6">
      <c r="A81">
        <f t="shared" si="11"/>
        <v>73</v>
      </c>
      <c r="B81" s="11">
        <f>'More accurate Energy (Solar)'!B88</f>
        <v>4.1666666666666664E-2</v>
      </c>
      <c r="C81" s="404">
        <f t="shared" si="12"/>
        <v>41.666666666666664</v>
      </c>
      <c r="D81" s="404">
        <f t="shared" si="13"/>
        <v>8.3333333333333321</v>
      </c>
      <c r="E81" s="404">
        <f t="shared" si="10"/>
        <v>2641.6666666666679</v>
      </c>
      <c r="F81" t="str">
        <f t="shared" si="14"/>
        <v/>
      </c>
    </row>
    <row r="82" spans="1:6">
      <c r="A82">
        <f t="shared" si="11"/>
        <v>74</v>
      </c>
      <c r="B82" s="11">
        <f>'More accurate Energy (Solar)'!B89</f>
        <v>0</v>
      </c>
      <c r="C82" s="404">
        <f t="shared" si="12"/>
        <v>0</v>
      </c>
      <c r="D82" s="404">
        <f t="shared" si="13"/>
        <v>0</v>
      </c>
      <c r="E82" s="404">
        <f t="shared" si="10"/>
        <v>2641.6666666666679</v>
      </c>
      <c r="F82" t="str">
        <f t="shared" si="14"/>
        <v/>
      </c>
    </row>
    <row r="83" spans="1:6">
      <c r="A83">
        <f t="shared" si="11"/>
        <v>75</v>
      </c>
      <c r="B83" s="11">
        <f>'More accurate Energy (Solar)'!B90</f>
        <v>0</v>
      </c>
      <c r="C83" s="404">
        <f t="shared" si="12"/>
        <v>0</v>
      </c>
      <c r="D83" s="404">
        <f t="shared" si="13"/>
        <v>0</v>
      </c>
      <c r="E83" s="404">
        <f t="shared" si="10"/>
        <v>2641.6666666666679</v>
      </c>
      <c r="F83" t="str">
        <f t="shared" si="14"/>
        <v/>
      </c>
    </row>
    <row r="84" spans="1:6">
      <c r="A84">
        <f t="shared" si="11"/>
        <v>76</v>
      </c>
      <c r="B84" s="11">
        <f>'More accurate Energy (Solar)'!B91</f>
        <v>0</v>
      </c>
      <c r="C84" s="404">
        <f t="shared" si="12"/>
        <v>0</v>
      </c>
      <c r="D84" s="404">
        <f t="shared" si="13"/>
        <v>0</v>
      </c>
      <c r="E84" s="404">
        <f t="shared" si="10"/>
        <v>2641.6666666666679</v>
      </c>
      <c r="F84" t="str">
        <f t="shared" si="14"/>
        <v/>
      </c>
    </row>
    <row r="85" spans="1:6">
      <c r="A85">
        <f t="shared" si="11"/>
        <v>77</v>
      </c>
      <c r="B85" s="11">
        <f>'More accurate Energy (Solar)'!B92</f>
        <v>1.0416666666666667</v>
      </c>
      <c r="C85" s="404">
        <f t="shared" si="12"/>
        <v>1041.6666666666667</v>
      </c>
      <c r="D85" s="404">
        <f t="shared" si="13"/>
        <v>208.33333333333334</v>
      </c>
      <c r="E85" s="404">
        <f t="shared" si="10"/>
        <v>2850.0000000000014</v>
      </c>
      <c r="F85" t="str">
        <f t="shared" si="14"/>
        <v/>
      </c>
    </row>
    <row r="86" spans="1:6">
      <c r="A86">
        <f t="shared" si="11"/>
        <v>78</v>
      </c>
      <c r="B86" s="11">
        <f>'More accurate Energy (Solar)'!B93</f>
        <v>1.0416666666666667</v>
      </c>
      <c r="C86" s="404">
        <f t="shared" si="12"/>
        <v>1041.6666666666667</v>
      </c>
      <c r="D86" s="404">
        <f t="shared" si="13"/>
        <v>208.33333333333334</v>
      </c>
      <c r="E86" s="404">
        <f t="shared" si="10"/>
        <v>58.333333333334849</v>
      </c>
      <c r="F86">
        <f t="shared" si="14"/>
        <v>1</v>
      </c>
    </row>
    <row r="87" spans="1:6">
      <c r="A87">
        <f t="shared" si="11"/>
        <v>79</v>
      </c>
      <c r="B87" s="11">
        <f>'More accurate Energy (Solar)'!B94</f>
        <v>1.0416666666666667</v>
      </c>
      <c r="C87" s="404">
        <f t="shared" si="12"/>
        <v>1041.6666666666667</v>
      </c>
      <c r="D87" s="404">
        <f t="shared" si="13"/>
        <v>208.33333333333334</v>
      </c>
      <c r="E87" s="404">
        <f t="shared" si="10"/>
        <v>266.66666666666822</v>
      </c>
      <c r="F87" t="str">
        <f t="shared" si="14"/>
        <v/>
      </c>
    </row>
    <row r="88" spans="1:6">
      <c r="A88">
        <f t="shared" si="11"/>
        <v>80</v>
      </c>
      <c r="B88" s="11">
        <f>'More accurate Energy (Solar)'!B95</f>
        <v>0</v>
      </c>
      <c r="C88" s="404">
        <f t="shared" si="12"/>
        <v>0</v>
      </c>
      <c r="D88" s="404">
        <f t="shared" si="13"/>
        <v>0</v>
      </c>
      <c r="E88" s="404">
        <f t="shared" si="10"/>
        <v>266.66666666666822</v>
      </c>
      <c r="F88" t="str">
        <f t="shared" si="14"/>
        <v/>
      </c>
    </row>
    <row r="89" spans="1:6">
      <c r="A89">
        <f t="shared" si="11"/>
        <v>81</v>
      </c>
      <c r="B89" s="11">
        <f>'More accurate Energy (Solar)'!B96</f>
        <v>0.4861111111111111</v>
      </c>
      <c r="C89" s="404">
        <f t="shared" si="12"/>
        <v>486.11111111111109</v>
      </c>
      <c r="D89" s="404">
        <f t="shared" si="13"/>
        <v>97.222222222222214</v>
      </c>
      <c r="E89" s="404">
        <f t="shared" si="10"/>
        <v>363.88888888889045</v>
      </c>
      <c r="F89" t="str">
        <f t="shared" si="14"/>
        <v/>
      </c>
    </row>
    <row r="90" spans="1:6">
      <c r="A90">
        <f t="shared" si="11"/>
        <v>82</v>
      </c>
      <c r="B90" s="11">
        <f>'More accurate Energy (Solar)'!B97</f>
        <v>0.66666666666666663</v>
      </c>
      <c r="C90" s="404">
        <f t="shared" si="12"/>
        <v>666.66666666666663</v>
      </c>
      <c r="D90" s="404">
        <f t="shared" si="13"/>
        <v>133.33333333333331</v>
      </c>
      <c r="E90" s="404">
        <f t="shared" si="10"/>
        <v>497.22222222222376</v>
      </c>
      <c r="F90" t="str">
        <f t="shared" si="14"/>
        <v/>
      </c>
    </row>
    <row r="91" spans="1:6">
      <c r="A91">
        <f t="shared" si="11"/>
        <v>83</v>
      </c>
      <c r="B91" s="11">
        <f>'More accurate Energy (Solar)'!B98</f>
        <v>1.0416666666666667</v>
      </c>
      <c r="C91" s="404">
        <f t="shared" si="12"/>
        <v>1041.6666666666667</v>
      </c>
      <c r="D91" s="404">
        <f t="shared" si="13"/>
        <v>208.33333333333334</v>
      </c>
      <c r="E91" s="404">
        <f t="shared" si="10"/>
        <v>705.55555555555713</v>
      </c>
      <c r="F91" t="str">
        <f t="shared" si="14"/>
        <v/>
      </c>
    </row>
    <row r="92" spans="1:6">
      <c r="A92">
        <f t="shared" si="11"/>
        <v>84</v>
      </c>
      <c r="B92" s="11">
        <f>'More accurate Energy (Solar)'!B99</f>
        <v>1.0416666666666667</v>
      </c>
      <c r="C92" s="404">
        <f t="shared" si="12"/>
        <v>1041.6666666666667</v>
      </c>
      <c r="D92" s="404">
        <f t="shared" si="13"/>
        <v>208.33333333333334</v>
      </c>
      <c r="E92" s="404">
        <f t="shared" si="10"/>
        <v>913.88888888889051</v>
      </c>
      <c r="F92" t="str">
        <f t="shared" si="14"/>
        <v/>
      </c>
    </row>
    <row r="93" spans="1:6">
      <c r="A93">
        <f t="shared" si="11"/>
        <v>85</v>
      </c>
      <c r="B93" s="11">
        <f>'More accurate Energy (Solar)'!B100</f>
        <v>1.0416666666666667</v>
      </c>
      <c r="C93" s="404">
        <f t="shared" si="12"/>
        <v>1041.6666666666667</v>
      </c>
      <c r="D93" s="404">
        <f t="shared" si="13"/>
        <v>208.33333333333334</v>
      </c>
      <c r="E93" s="404">
        <f t="shared" si="10"/>
        <v>1122.2222222222238</v>
      </c>
      <c r="F93" t="str">
        <f t="shared" si="14"/>
        <v/>
      </c>
    </row>
    <row r="94" spans="1:6">
      <c r="A94">
        <f t="shared" si="11"/>
        <v>86</v>
      </c>
      <c r="B94" s="11">
        <f>'More accurate Energy (Solar)'!B101</f>
        <v>1.0416666666666667</v>
      </c>
      <c r="C94" s="404">
        <f t="shared" si="12"/>
        <v>1041.6666666666667</v>
      </c>
      <c r="D94" s="404">
        <f t="shared" si="13"/>
        <v>208.33333333333334</v>
      </c>
      <c r="E94" s="404">
        <f t="shared" si="10"/>
        <v>1330.555555555557</v>
      </c>
      <c r="F94" t="str">
        <f t="shared" si="14"/>
        <v/>
      </c>
    </row>
    <row r="95" spans="1:6">
      <c r="A95">
        <f t="shared" si="11"/>
        <v>87</v>
      </c>
      <c r="B95" s="11">
        <f>'More accurate Energy (Solar)'!B102</f>
        <v>1.0416666666666667</v>
      </c>
      <c r="C95" s="404">
        <f t="shared" si="12"/>
        <v>1041.6666666666667</v>
      </c>
      <c r="D95" s="404">
        <f t="shared" si="13"/>
        <v>208.33333333333334</v>
      </c>
      <c r="E95" s="404">
        <f t="shared" si="10"/>
        <v>1538.8888888888903</v>
      </c>
      <c r="F95" t="str">
        <f t="shared" si="14"/>
        <v/>
      </c>
    </row>
    <row r="96" spans="1:6">
      <c r="A96">
        <f t="shared" si="11"/>
        <v>88</v>
      </c>
      <c r="B96" s="11">
        <f>'More accurate Energy (Solar)'!B103</f>
        <v>0.69444444444444442</v>
      </c>
      <c r="C96" s="404">
        <f t="shared" si="12"/>
        <v>694.44444444444446</v>
      </c>
      <c r="D96" s="404">
        <f t="shared" si="13"/>
        <v>138.88888888888891</v>
      </c>
      <c r="E96" s="404">
        <f t="shared" si="10"/>
        <v>1677.7777777777792</v>
      </c>
      <c r="F96" t="str">
        <f t="shared" si="14"/>
        <v/>
      </c>
    </row>
    <row r="97" spans="1:6">
      <c r="A97">
        <f t="shared" si="11"/>
        <v>89</v>
      </c>
      <c r="B97" s="11">
        <f>'More accurate Energy (Solar)'!B104</f>
        <v>1.0416666666666667</v>
      </c>
      <c r="C97" s="404">
        <f t="shared" si="12"/>
        <v>1041.6666666666667</v>
      </c>
      <c r="D97" s="404">
        <f t="shared" si="13"/>
        <v>208.33333333333334</v>
      </c>
      <c r="E97" s="404">
        <f t="shared" si="10"/>
        <v>1886.1111111111125</v>
      </c>
      <c r="F97" t="str">
        <f t="shared" si="14"/>
        <v/>
      </c>
    </row>
    <row r="98" spans="1:6">
      <c r="A98">
        <f t="shared" si="11"/>
        <v>90</v>
      </c>
      <c r="B98" s="11">
        <f>'More accurate Energy (Solar)'!B105</f>
        <v>0.80555555555555547</v>
      </c>
      <c r="C98" s="404">
        <f t="shared" si="12"/>
        <v>805.55555555555543</v>
      </c>
      <c r="D98" s="404">
        <f t="shared" si="13"/>
        <v>161.11111111111109</v>
      </c>
      <c r="E98" s="404">
        <f t="shared" si="10"/>
        <v>2047.2222222222235</v>
      </c>
      <c r="F98" t="str">
        <f t="shared" si="14"/>
        <v/>
      </c>
    </row>
    <row r="99" spans="1:6">
      <c r="A99">
        <f t="shared" si="11"/>
        <v>91</v>
      </c>
      <c r="B99" s="11">
        <f>'More accurate Energy (Solar)'!B106</f>
        <v>0</v>
      </c>
      <c r="C99" s="404">
        <f t="shared" si="12"/>
        <v>0</v>
      </c>
      <c r="D99" s="404">
        <f t="shared" si="13"/>
        <v>0</v>
      </c>
      <c r="E99" s="404">
        <f t="shared" si="10"/>
        <v>2047.2222222222235</v>
      </c>
      <c r="F99" t="str">
        <f t="shared" si="14"/>
        <v/>
      </c>
    </row>
    <row r="100" spans="1:6">
      <c r="A100">
        <f t="shared" si="11"/>
        <v>92</v>
      </c>
      <c r="B100" s="11">
        <f>'More accurate Energy (Solar)'!B107</f>
        <v>1.0416666666666667</v>
      </c>
      <c r="C100" s="404">
        <f t="shared" si="12"/>
        <v>1041.6666666666667</v>
      </c>
      <c r="D100" s="404">
        <f t="shared" si="13"/>
        <v>208.33333333333334</v>
      </c>
      <c r="E100" s="404">
        <f t="shared" si="10"/>
        <v>2255.555555555557</v>
      </c>
      <c r="F100" t="str">
        <f t="shared" si="14"/>
        <v/>
      </c>
    </row>
    <row r="101" spans="1:6">
      <c r="A101">
        <f t="shared" si="11"/>
        <v>93</v>
      </c>
      <c r="B101" s="11">
        <f>'More accurate Energy (Solar)'!B108</f>
        <v>0.62499999999999989</v>
      </c>
      <c r="C101" s="404">
        <f t="shared" si="12"/>
        <v>624.99999999999989</v>
      </c>
      <c r="D101" s="404">
        <f t="shared" si="13"/>
        <v>124.99999999999997</v>
      </c>
      <c r="E101" s="404">
        <f t="shared" si="10"/>
        <v>2380.555555555557</v>
      </c>
      <c r="F101" t="str">
        <f t="shared" si="14"/>
        <v/>
      </c>
    </row>
    <row r="102" spans="1:6">
      <c r="A102">
        <f t="shared" si="11"/>
        <v>94</v>
      </c>
      <c r="B102" s="11">
        <f>'More accurate Energy (Solar)'!B109</f>
        <v>0.58333333333333348</v>
      </c>
      <c r="C102" s="404">
        <f t="shared" si="12"/>
        <v>583.33333333333348</v>
      </c>
      <c r="D102" s="404">
        <f t="shared" si="13"/>
        <v>116.6666666666667</v>
      </c>
      <c r="E102" s="404">
        <f t="shared" si="10"/>
        <v>2497.2222222222235</v>
      </c>
      <c r="F102" t="str">
        <f t="shared" si="14"/>
        <v/>
      </c>
    </row>
    <row r="103" spans="1:6">
      <c r="A103">
        <f t="shared" si="11"/>
        <v>95</v>
      </c>
      <c r="B103" s="11">
        <f>'More accurate Energy (Solar)'!B110</f>
        <v>4.1666666666666664E-2</v>
      </c>
      <c r="C103" s="404">
        <f t="shared" si="12"/>
        <v>41.666666666666664</v>
      </c>
      <c r="D103" s="404">
        <f t="shared" si="13"/>
        <v>8.3333333333333321</v>
      </c>
      <c r="E103" s="404">
        <f t="shared" si="10"/>
        <v>2505.555555555557</v>
      </c>
      <c r="F103" t="str">
        <f t="shared" si="14"/>
        <v/>
      </c>
    </row>
    <row r="104" spans="1:6">
      <c r="A104">
        <f t="shared" si="11"/>
        <v>96</v>
      </c>
      <c r="B104" s="11">
        <f>'More accurate Energy (Solar)'!B111</f>
        <v>0</v>
      </c>
      <c r="C104" s="404">
        <f t="shared" si="12"/>
        <v>0</v>
      </c>
      <c r="D104" s="404">
        <f t="shared" si="13"/>
        <v>0</v>
      </c>
      <c r="E104" s="404">
        <f t="shared" si="10"/>
        <v>2505.555555555557</v>
      </c>
      <c r="F104" t="str">
        <f t="shared" si="14"/>
        <v/>
      </c>
    </row>
    <row r="105" spans="1:6">
      <c r="A105">
        <f t="shared" si="11"/>
        <v>97</v>
      </c>
      <c r="B105" s="11">
        <f>'More accurate Energy (Solar)'!B112</f>
        <v>0</v>
      </c>
      <c r="C105" s="404">
        <f t="shared" si="12"/>
        <v>0</v>
      </c>
      <c r="D105" s="404">
        <f t="shared" si="13"/>
        <v>0</v>
      </c>
      <c r="E105" s="404">
        <f t="shared" si="10"/>
        <v>2505.555555555557</v>
      </c>
      <c r="F105" t="str">
        <f t="shared" si="14"/>
        <v/>
      </c>
    </row>
    <row r="106" spans="1:6">
      <c r="A106">
        <f t="shared" si="11"/>
        <v>98</v>
      </c>
      <c r="B106" s="11">
        <f>'More accurate Energy (Solar)'!B113</f>
        <v>0</v>
      </c>
      <c r="C106" s="404">
        <f t="shared" si="12"/>
        <v>0</v>
      </c>
      <c r="D106" s="404">
        <f t="shared" si="13"/>
        <v>0</v>
      </c>
      <c r="E106" s="404">
        <f t="shared" si="10"/>
        <v>2505.555555555557</v>
      </c>
      <c r="F106" t="str">
        <f t="shared" si="14"/>
        <v/>
      </c>
    </row>
    <row r="107" spans="1:6">
      <c r="A107">
        <f t="shared" si="11"/>
        <v>99</v>
      </c>
      <c r="B107" s="11">
        <f>'More accurate Energy (Solar)'!B114</f>
        <v>0.22222222222222221</v>
      </c>
      <c r="C107" s="404">
        <f t="shared" si="12"/>
        <v>222.2222222222222</v>
      </c>
      <c r="D107" s="404">
        <f t="shared" si="13"/>
        <v>44.444444444444436</v>
      </c>
      <c r="E107" s="404">
        <f t="shared" si="10"/>
        <v>2550.0000000000014</v>
      </c>
      <c r="F107" t="str">
        <f t="shared" si="14"/>
        <v/>
      </c>
    </row>
    <row r="108" spans="1:6">
      <c r="A108">
        <f t="shared" si="11"/>
        <v>100</v>
      </c>
      <c r="B108" s="11">
        <f>'More accurate Energy (Solar)'!B115</f>
        <v>1.0416666666666667</v>
      </c>
      <c r="C108" s="404">
        <f t="shared" si="12"/>
        <v>1041.6666666666667</v>
      </c>
      <c r="D108" s="404">
        <f t="shared" si="13"/>
        <v>208.33333333333334</v>
      </c>
      <c r="E108" s="404">
        <f t="shared" si="10"/>
        <v>2758.3333333333348</v>
      </c>
      <c r="F108" t="str">
        <f t="shared" si="14"/>
        <v/>
      </c>
    </row>
    <row r="109" spans="1:6">
      <c r="A109">
        <f t="shared" si="11"/>
        <v>101</v>
      </c>
      <c r="B109" s="11">
        <f>'More accurate Energy (Solar)'!B116</f>
        <v>0.63888888888888884</v>
      </c>
      <c r="C109" s="404">
        <f t="shared" si="12"/>
        <v>638.8888888888888</v>
      </c>
      <c r="D109" s="404">
        <f t="shared" si="13"/>
        <v>127.77777777777779</v>
      </c>
      <c r="E109" s="404">
        <f t="shared" si="10"/>
        <v>2886.1111111111127</v>
      </c>
      <c r="F109" t="str">
        <f t="shared" si="14"/>
        <v/>
      </c>
    </row>
    <row r="110" spans="1:6">
      <c r="A110">
        <f t="shared" si="11"/>
        <v>102</v>
      </c>
      <c r="B110" s="11">
        <f>'More accurate Energy (Solar)'!B117</f>
        <v>1.0416666666666667</v>
      </c>
      <c r="C110" s="404">
        <f t="shared" si="12"/>
        <v>1041.6666666666667</v>
      </c>
      <c r="D110" s="404">
        <f t="shared" si="13"/>
        <v>208.33333333333334</v>
      </c>
      <c r="E110" s="404">
        <f t="shared" si="10"/>
        <v>94.444444444446162</v>
      </c>
      <c r="F110">
        <f t="shared" si="14"/>
        <v>1</v>
      </c>
    </row>
    <row r="111" spans="1:6">
      <c r="A111">
        <f t="shared" si="11"/>
        <v>103</v>
      </c>
      <c r="B111" s="11">
        <f>'More accurate Energy (Solar)'!B118</f>
        <v>1.0416666666666667</v>
      </c>
      <c r="C111" s="404">
        <f t="shared" si="12"/>
        <v>1041.6666666666667</v>
      </c>
      <c r="D111" s="404">
        <f t="shared" si="13"/>
        <v>208.33333333333334</v>
      </c>
      <c r="E111" s="404">
        <f t="shared" si="10"/>
        <v>302.77777777777953</v>
      </c>
      <c r="F111" t="str">
        <f t="shared" si="14"/>
        <v/>
      </c>
    </row>
    <row r="112" spans="1:6">
      <c r="A112">
        <f t="shared" si="11"/>
        <v>104</v>
      </c>
      <c r="B112" s="11">
        <f>'More accurate Energy (Solar)'!B119</f>
        <v>0.10416666666666667</v>
      </c>
      <c r="C112" s="404">
        <f t="shared" si="12"/>
        <v>104.16666666666667</v>
      </c>
      <c r="D112" s="404">
        <f t="shared" si="13"/>
        <v>20.833333333333336</v>
      </c>
      <c r="E112" s="404">
        <f t="shared" si="10"/>
        <v>323.61111111111285</v>
      </c>
      <c r="F112" t="str">
        <f t="shared" si="14"/>
        <v/>
      </c>
    </row>
    <row r="113" spans="1:6">
      <c r="A113">
        <f t="shared" si="11"/>
        <v>105</v>
      </c>
      <c r="B113" s="11">
        <f>'More accurate Energy (Solar)'!B120</f>
        <v>1.0416666666666667</v>
      </c>
      <c r="C113" s="404">
        <f t="shared" si="12"/>
        <v>1041.6666666666667</v>
      </c>
      <c r="D113" s="404">
        <f t="shared" si="13"/>
        <v>208.33333333333334</v>
      </c>
      <c r="E113" s="404">
        <f t="shared" si="10"/>
        <v>531.94444444444616</v>
      </c>
      <c r="F113" t="str">
        <f t="shared" si="14"/>
        <v/>
      </c>
    </row>
    <row r="114" spans="1:6">
      <c r="A114">
        <f t="shared" si="11"/>
        <v>106</v>
      </c>
      <c r="B114" s="11">
        <f>'More accurate Energy (Solar)'!B121</f>
        <v>0.20833333333333334</v>
      </c>
      <c r="C114" s="404">
        <f t="shared" si="12"/>
        <v>208.33333333333334</v>
      </c>
      <c r="D114" s="404">
        <f t="shared" si="13"/>
        <v>41.666666666666671</v>
      </c>
      <c r="E114" s="404">
        <f t="shared" si="10"/>
        <v>573.61111111111279</v>
      </c>
      <c r="F114" t="str">
        <f t="shared" si="14"/>
        <v/>
      </c>
    </row>
    <row r="115" spans="1:6">
      <c r="A115">
        <f t="shared" si="11"/>
        <v>107</v>
      </c>
      <c r="B115" s="11">
        <f>'More accurate Energy (Solar)'!B122</f>
        <v>0</v>
      </c>
      <c r="C115" s="404">
        <f t="shared" si="12"/>
        <v>0</v>
      </c>
      <c r="D115" s="404">
        <f t="shared" si="13"/>
        <v>0</v>
      </c>
      <c r="E115" s="404">
        <f t="shared" si="10"/>
        <v>573.61111111111279</v>
      </c>
      <c r="F115" t="str">
        <f t="shared" si="14"/>
        <v/>
      </c>
    </row>
    <row r="116" spans="1:6">
      <c r="A116">
        <f t="shared" si="11"/>
        <v>108</v>
      </c>
      <c r="B116" s="11">
        <f>'More accurate Energy (Solar)'!B123</f>
        <v>0</v>
      </c>
      <c r="C116" s="404">
        <f t="shared" si="12"/>
        <v>0</v>
      </c>
      <c r="D116" s="404">
        <f t="shared" si="13"/>
        <v>0</v>
      </c>
      <c r="E116" s="404">
        <f t="shared" ref="E116:E179" si="15">IF(E115+D116 &gt; $B$4 * 1000,(E115+D116)-3000,E115 + D116)</f>
        <v>573.61111111111279</v>
      </c>
      <c r="F116" t="str">
        <f t="shared" si="14"/>
        <v/>
      </c>
    </row>
    <row r="117" spans="1:6">
      <c r="A117">
        <f t="shared" si="11"/>
        <v>109</v>
      </c>
      <c r="B117" s="11">
        <f>'More accurate Energy (Solar)'!B124</f>
        <v>0</v>
      </c>
      <c r="C117" s="404">
        <f t="shared" si="12"/>
        <v>0</v>
      </c>
      <c r="D117" s="404">
        <f t="shared" si="13"/>
        <v>0</v>
      </c>
      <c r="E117" s="404">
        <f t="shared" si="15"/>
        <v>573.61111111111279</v>
      </c>
      <c r="F117" t="str">
        <f t="shared" si="14"/>
        <v/>
      </c>
    </row>
    <row r="118" spans="1:6">
      <c r="A118">
        <f t="shared" si="11"/>
        <v>110</v>
      </c>
      <c r="B118" s="11">
        <f>'More accurate Energy (Solar)'!B125</f>
        <v>7.6388888888888895E-2</v>
      </c>
      <c r="C118" s="404">
        <f t="shared" si="12"/>
        <v>76.3888888888889</v>
      </c>
      <c r="D118" s="404">
        <f t="shared" si="13"/>
        <v>15.277777777777777</v>
      </c>
      <c r="E118" s="404">
        <f t="shared" si="15"/>
        <v>588.88888888889062</v>
      </c>
      <c r="F118" t="str">
        <f t="shared" si="14"/>
        <v/>
      </c>
    </row>
    <row r="119" spans="1:6">
      <c r="A119">
        <f t="shared" si="11"/>
        <v>111</v>
      </c>
      <c r="B119" s="11">
        <f>'More accurate Energy (Solar)'!B126</f>
        <v>2.7777777777777776E-2</v>
      </c>
      <c r="C119" s="404">
        <f t="shared" si="12"/>
        <v>27.777777777777775</v>
      </c>
      <c r="D119" s="404">
        <f t="shared" si="13"/>
        <v>5.5555555555555545</v>
      </c>
      <c r="E119" s="404">
        <f t="shared" si="15"/>
        <v>594.44444444444616</v>
      </c>
      <c r="F119" t="str">
        <f t="shared" si="14"/>
        <v/>
      </c>
    </row>
    <row r="120" spans="1:6">
      <c r="A120">
        <f t="shared" si="11"/>
        <v>112</v>
      </c>
      <c r="B120" s="11">
        <f>'More accurate Energy (Solar)'!B127</f>
        <v>0.56944444444444431</v>
      </c>
      <c r="C120" s="404">
        <f t="shared" si="12"/>
        <v>569.44444444444434</v>
      </c>
      <c r="D120" s="404">
        <f t="shared" si="13"/>
        <v>113.88888888888887</v>
      </c>
      <c r="E120" s="404">
        <f t="shared" si="15"/>
        <v>708.33333333333508</v>
      </c>
      <c r="F120" t="str">
        <f t="shared" si="14"/>
        <v/>
      </c>
    </row>
    <row r="121" spans="1:6">
      <c r="A121">
        <f t="shared" si="11"/>
        <v>113</v>
      </c>
      <c r="B121" s="11">
        <f>'More accurate Energy (Solar)'!B128</f>
        <v>0.58333333333333348</v>
      </c>
      <c r="C121" s="404">
        <f t="shared" si="12"/>
        <v>583.33333333333348</v>
      </c>
      <c r="D121" s="404">
        <f t="shared" si="13"/>
        <v>116.6666666666667</v>
      </c>
      <c r="E121" s="404">
        <f t="shared" si="15"/>
        <v>825.00000000000182</v>
      </c>
      <c r="F121" t="str">
        <f t="shared" si="14"/>
        <v/>
      </c>
    </row>
    <row r="122" spans="1:6">
      <c r="A122">
        <f t="shared" si="11"/>
        <v>114</v>
      </c>
      <c r="B122" s="11">
        <f>'More accurate Energy (Solar)'!B129</f>
        <v>0.125</v>
      </c>
      <c r="C122" s="404">
        <f t="shared" si="12"/>
        <v>125</v>
      </c>
      <c r="D122" s="404">
        <f t="shared" si="13"/>
        <v>25</v>
      </c>
      <c r="E122" s="404">
        <f t="shared" si="15"/>
        <v>850.00000000000182</v>
      </c>
      <c r="F122" t="str">
        <f t="shared" si="14"/>
        <v/>
      </c>
    </row>
    <row r="123" spans="1:6">
      <c r="A123">
        <f t="shared" si="11"/>
        <v>115</v>
      </c>
      <c r="B123" s="11">
        <f>'More accurate Energy (Solar)'!B130</f>
        <v>0</v>
      </c>
      <c r="C123" s="404">
        <f t="shared" si="12"/>
        <v>0</v>
      </c>
      <c r="D123" s="404">
        <f t="shared" si="13"/>
        <v>0</v>
      </c>
      <c r="E123" s="404">
        <f t="shared" si="15"/>
        <v>850.00000000000182</v>
      </c>
      <c r="F123" t="str">
        <f t="shared" si="14"/>
        <v/>
      </c>
    </row>
    <row r="124" spans="1:6">
      <c r="A124">
        <f t="shared" si="11"/>
        <v>116</v>
      </c>
      <c r="B124" s="11">
        <f>'More accurate Energy (Solar)'!B131</f>
        <v>0.29166666666666674</v>
      </c>
      <c r="C124" s="404">
        <f t="shared" si="12"/>
        <v>291.66666666666674</v>
      </c>
      <c r="D124" s="404">
        <f t="shared" si="13"/>
        <v>58.33333333333335</v>
      </c>
      <c r="E124" s="404">
        <f t="shared" si="15"/>
        <v>908.33333333333519</v>
      </c>
      <c r="F124" t="str">
        <f t="shared" si="14"/>
        <v/>
      </c>
    </row>
    <row r="125" spans="1:6">
      <c r="A125">
        <f t="shared" si="11"/>
        <v>117</v>
      </c>
      <c r="B125" s="11">
        <f>'More accurate Energy (Solar)'!B132</f>
        <v>1.0416666666666667</v>
      </c>
      <c r="C125" s="404">
        <f t="shared" si="12"/>
        <v>1041.6666666666667</v>
      </c>
      <c r="D125" s="404">
        <f t="shared" si="13"/>
        <v>208.33333333333334</v>
      </c>
      <c r="E125" s="404">
        <f t="shared" si="15"/>
        <v>1116.6666666666686</v>
      </c>
      <c r="F125" t="str">
        <f t="shared" si="14"/>
        <v/>
      </c>
    </row>
    <row r="126" spans="1:6">
      <c r="A126">
        <f t="shared" si="11"/>
        <v>118</v>
      </c>
      <c r="B126" s="11">
        <f>'More accurate Energy (Solar)'!B133</f>
        <v>1.0416666666666667</v>
      </c>
      <c r="C126" s="404">
        <f t="shared" si="12"/>
        <v>1041.6666666666667</v>
      </c>
      <c r="D126" s="404">
        <f t="shared" si="13"/>
        <v>208.33333333333334</v>
      </c>
      <c r="E126" s="404">
        <f t="shared" si="15"/>
        <v>1325.0000000000018</v>
      </c>
      <c r="F126" t="str">
        <f t="shared" si="14"/>
        <v/>
      </c>
    </row>
    <row r="127" spans="1:6">
      <c r="A127">
        <f t="shared" si="11"/>
        <v>119</v>
      </c>
      <c r="B127" s="11">
        <f>'More accurate Energy (Solar)'!B134</f>
        <v>1.0416666666666667</v>
      </c>
      <c r="C127" s="404">
        <f t="shared" si="12"/>
        <v>1041.6666666666667</v>
      </c>
      <c r="D127" s="404">
        <f t="shared" si="13"/>
        <v>208.33333333333334</v>
      </c>
      <c r="E127" s="404">
        <f t="shared" si="15"/>
        <v>1533.3333333333351</v>
      </c>
      <c r="F127" t="str">
        <f t="shared" si="14"/>
        <v/>
      </c>
    </row>
    <row r="128" spans="1:6">
      <c r="A128">
        <f t="shared" si="11"/>
        <v>120</v>
      </c>
      <c r="B128" s="11">
        <f>'More accurate Energy (Solar)'!B135</f>
        <v>0.33333333333333331</v>
      </c>
      <c r="C128" s="404">
        <f t="shared" si="12"/>
        <v>333.33333333333331</v>
      </c>
      <c r="D128" s="404">
        <f t="shared" si="13"/>
        <v>66.666666666666657</v>
      </c>
      <c r="E128" s="404">
        <f t="shared" si="15"/>
        <v>1600.0000000000018</v>
      </c>
      <c r="F128" t="str">
        <f t="shared" si="14"/>
        <v/>
      </c>
    </row>
    <row r="129" spans="1:6">
      <c r="A129">
        <f t="shared" si="11"/>
        <v>121</v>
      </c>
      <c r="B129" s="11">
        <f>'More accurate Energy (Solar)'!B136</f>
        <v>5.5555555555555552E-2</v>
      </c>
      <c r="C129" s="404">
        <f t="shared" si="12"/>
        <v>55.55555555555555</v>
      </c>
      <c r="D129" s="404">
        <f t="shared" si="13"/>
        <v>11.111111111111109</v>
      </c>
      <c r="E129" s="404">
        <f t="shared" si="15"/>
        <v>1611.1111111111129</v>
      </c>
      <c r="F129" t="str">
        <f t="shared" si="14"/>
        <v/>
      </c>
    </row>
    <row r="130" spans="1:6">
      <c r="A130">
        <f t="shared" si="11"/>
        <v>122</v>
      </c>
      <c r="B130" s="11">
        <f>'More accurate Energy (Solar)'!B137</f>
        <v>0</v>
      </c>
      <c r="C130" s="404">
        <f t="shared" si="12"/>
        <v>0</v>
      </c>
      <c r="D130" s="404">
        <f t="shared" si="13"/>
        <v>0</v>
      </c>
      <c r="E130" s="404">
        <f t="shared" si="15"/>
        <v>1611.1111111111129</v>
      </c>
      <c r="F130" t="str">
        <f t="shared" si="14"/>
        <v/>
      </c>
    </row>
    <row r="131" spans="1:6">
      <c r="A131">
        <f t="shared" si="11"/>
        <v>123</v>
      </c>
      <c r="B131" s="11">
        <f>'More accurate Energy (Solar)'!B138</f>
        <v>0</v>
      </c>
      <c r="C131" s="404">
        <f t="shared" si="12"/>
        <v>0</v>
      </c>
      <c r="D131" s="404">
        <f t="shared" si="13"/>
        <v>0</v>
      </c>
      <c r="E131" s="404">
        <f t="shared" si="15"/>
        <v>1611.1111111111129</v>
      </c>
      <c r="F131" t="str">
        <f t="shared" si="14"/>
        <v/>
      </c>
    </row>
    <row r="132" spans="1:6">
      <c r="A132">
        <f t="shared" si="11"/>
        <v>124</v>
      </c>
      <c r="B132" s="11">
        <f>'More accurate Energy (Solar)'!B139</f>
        <v>1.0416666666666667</v>
      </c>
      <c r="C132" s="404">
        <f t="shared" si="12"/>
        <v>1041.6666666666667</v>
      </c>
      <c r="D132" s="404">
        <f t="shared" si="13"/>
        <v>208.33333333333334</v>
      </c>
      <c r="E132" s="404">
        <f t="shared" si="15"/>
        <v>1819.4444444444462</v>
      </c>
      <c r="F132" t="str">
        <f t="shared" si="14"/>
        <v/>
      </c>
    </row>
    <row r="133" spans="1:6">
      <c r="A133">
        <f t="shared" si="11"/>
        <v>125</v>
      </c>
      <c r="B133" s="11">
        <f>'More accurate Energy (Solar)'!B140</f>
        <v>2.7777777777777776E-2</v>
      </c>
      <c r="C133" s="404">
        <f t="shared" si="12"/>
        <v>27.777777777777775</v>
      </c>
      <c r="D133" s="404">
        <f t="shared" si="13"/>
        <v>5.5555555555555545</v>
      </c>
      <c r="E133" s="404">
        <f t="shared" si="15"/>
        <v>1825.0000000000018</v>
      </c>
      <c r="F133" t="str">
        <f t="shared" si="14"/>
        <v/>
      </c>
    </row>
    <row r="134" spans="1:6">
      <c r="A134">
        <f t="shared" si="11"/>
        <v>126</v>
      </c>
      <c r="B134" s="11">
        <f>'More accurate Energy (Solar)'!B141</f>
        <v>0</v>
      </c>
      <c r="C134" s="404">
        <f t="shared" si="12"/>
        <v>0</v>
      </c>
      <c r="D134" s="404">
        <f t="shared" si="13"/>
        <v>0</v>
      </c>
      <c r="E134" s="404">
        <f t="shared" si="15"/>
        <v>1825.0000000000018</v>
      </c>
      <c r="F134" t="str">
        <f t="shared" si="14"/>
        <v/>
      </c>
    </row>
    <row r="135" spans="1:6">
      <c r="A135">
        <f t="shared" si="11"/>
        <v>127</v>
      </c>
      <c r="B135" s="11">
        <f>'More accurate Energy (Solar)'!B142</f>
        <v>0</v>
      </c>
      <c r="C135" s="404">
        <f t="shared" si="12"/>
        <v>0</v>
      </c>
      <c r="D135" s="404">
        <f t="shared" si="13"/>
        <v>0</v>
      </c>
      <c r="E135" s="404">
        <f t="shared" si="15"/>
        <v>1825.0000000000018</v>
      </c>
      <c r="F135" t="str">
        <f t="shared" si="14"/>
        <v/>
      </c>
    </row>
    <row r="136" spans="1:6">
      <c r="A136">
        <f t="shared" si="11"/>
        <v>128</v>
      </c>
      <c r="B136" s="11">
        <f>'More accurate Energy (Solar)'!B143</f>
        <v>0</v>
      </c>
      <c r="C136" s="404">
        <f t="shared" si="12"/>
        <v>0</v>
      </c>
      <c r="D136" s="404">
        <f t="shared" si="13"/>
        <v>0</v>
      </c>
      <c r="E136" s="404">
        <f t="shared" si="15"/>
        <v>1825.0000000000018</v>
      </c>
      <c r="F136" t="str">
        <f t="shared" si="14"/>
        <v/>
      </c>
    </row>
    <row r="137" spans="1:6">
      <c r="A137">
        <f t="shared" si="11"/>
        <v>129</v>
      </c>
      <c r="B137" s="11">
        <f>'More accurate Energy (Solar)'!B144</f>
        <v>0</v>
      </c>
      <c r="C137" s="404">
        <f t="shared" si="12"/>
        <v>0</v>
      </c>
      <c r="D137" s="404">
        <f t="shared" si="13"/>
        <v>0</v>
      </c>
      <c r="E137" s="404">
        <f t="shared" si="15"/>
        <v>1825.0000000000018</v>
      </c>
      <c r="F137" t="str">
        <f t="shared" si="14"/>
        <v/>
      </c>
    </row>
    <row r="138" spans="1:6">
      <c r="A138">
        <f t="shared" ref="A138:A201" si="16">A137+1</f>
        <v>130</v>
      </c>
      <c r="B138" s="11">
        <f>'More accurate Energy (Solar)'!B145</f>
        <v>2.7777777777777776E-2</v>
      </c>
      <c r="C138" s="404">
        <f t="shared" ref="C138:C201" si="17">B138 * 1000</f>
        <v>27.777777777777775</v>
      </c>
      <c r="D138" s="404">
        <f t="shared" ref="D138:D201" si="18">C138*$B$3*$B$1/$B$2/1000</f>
        <v>5.5555555555555545</v>
      </c>
      <c r="E138" s="404">
        <f t="shared" si="15"/>
        <v>1830.5555555555575</v>
      </c>
      <c r="F138" t="str">
        <f t="shared" si="14"/>
        <v/>
      </c>
    </row>
    <row r="139" spans="1:6">
      <c r="A139">
        <f t="shared" si="16"/>
        <v>131</v>
      </c>
      <c r="B139" s="11">
        <f>'More accurate Energy (Solar)'!B146</f>
        <v>0</v>
      </c>
      <c r="C139" s="404">
        <f t="shared" si="17"/>
        <v>0</v>
      </c>
      <c r="D139" s="404">
        <f t="shared" si="18"/>
        <v>0</v>
      </c>
      <c r="E139" s="404">
        <f t="shared" si="15"/>
        <v>1830.5555555555575</v>
      </c>
      <c r="F139" t="str">
        <f t="shared" ref="F139:F202" si="19">IF(E139 &lt; E138, 1, "")</f>
        <v/>
      </c>
    </row>
    <row r="140" spans="1:6">
      <c r="A140">
        <f t="shared" si="16"/>
        <v>132</v>
      </c>
      <c r="B140" s="11">
        <f>'More accurate Energy (Solar)'!B147</f>
        <v>0</v>
      </c>
      <c r="C140" s="404">
        <f t="shared" si="17"/>
        <v>0</v>
      </c>
      <c r="D140" s="404">
        <f t="shared" si="18"/>
        <v>0</v>
      </c>
      <c r="E140" s="404">
        <f t="shared" si="15"/>
        <v>1830.5555555555575</v>
      </c>
      <c r="F140" t="str">
        <f t="shared" si="19"/>
        <v/>
      </c>
    </row>
    <row r="141" spans="1:6">
      <c r="A141">
        <f t="shared" si="16"/>
        <v>133</v>
      </c>
      <c r="B141" s="11">
        <f>'More accurate Energy (Solar)'!B148</f>
        <v>0</v>
      </c>
      <c r="C141" s="404">
        <f t="shared" si="17"/>
        <v>0</v>
      </c>
      <c r="D141" s="404">
        <f t="shared" si="18"/>
        <v>0</v>
      </c>
      <c r="E141" s="404">
        <f t="shared" si="15"/>
        <v>1830.5555555555575</v>
      </c>
      <c r="F141" t="str">
        <f t="shared" si="19"/>
        <v/>
      </c>
    </row>
    <row r="142" spans="1:6">
      <c r="A142">
        <f t="shared" si="16"/>
        <v>134</v>
      </c>
      <c r="B142" s="11">
        <f>'More accurate Energy (Solar)'!B149</f>
        <v>0</v>
      </c>
      <c r="C142" s="404">
        <f t="shared" si="17"/>
        <v>0</v>
      </c>
      <c r="D142" s="404">
        <f t="shared" si="18"/>
        <v>0</v>
      </c>
      <c r="E142" s="404">
        <f t="shared" si="15"/>
        <v>1830.5555555555575</v>
      </c>
      <c r="F142" t="str">
        <f t="shared" si="19"/>
        <v/>
      </c>
    </row>
    <row r="143" spans="1:6">
      <c r="A143">
        <f t="shared" si="16"/>
        <v>135</v>
      </c>
      <c r="B143" s="11">
        <f>'More accurate Energy (Solar)'!B150</f>
        <v>0</v>
      </c>
      <c r="C143" s="404">
        <f t="shared" si="17"/>
        <v>0</v>
      </c>
      <c r="D143" s="404">
        <f t="shared" si="18"/>
        <v>0</v>
      </c>
      <c r="E143" s="404">
        <f t="shared" si="15"/>
        <v>1830.5555555555575</v>
      </c>
      <c r="F143" t="str">
        <f t="shared" si="19"/>
        <v/>
      </c>
    </row>
    <row r="144" spans="1:6">
      <c r="A144">
        <f t="shared" si="16"/>
        <v>136</v>
      </c>
      <c r="B144" s="11">
        <f>'More accurate Energy (Solar)'!B151</f>
        <v>1.3888888888888888E-2</v>
      </c>
      <c r="C144" s="404">
        <f t="shared" si="17"/>
        <v>13.888888888888888</v>
      </c>
      <c r="D144" s="404">
        <f t="shared" si="18"/>
        <v>2.7777777777777772</v>
      </c>
      <c r="E144" s="404">
        <f t="shared" si="15"/>
        <v>1833.3333333333353</v>
      </c>
      <c r="F144" t="str">
        <f t="shared" si="19"/>
        <v/>
      </c>
    </row>
    <row r="145" spans="1:6">
      <c r="A145">
        <f t="shared" si="16"/>
        <v>137</v>
      </c>
      <c r="B145" s="11">
        <f>'More accurate Energy (Solar)'!B152</f>
        <v>0</v>
      </c>
      <c r="C145" s="404">
        <f t="shared" si="17"/>
        <v>0</v>
      </c>
      <c r="D145" s="404">
        <f t="shared" si="18"/>
        <v>0</v>
      </c>
      <c r="E145" s="404">
        <f t="shared" si="15"/>
        <v>1833.3333333333353</v>
      </c>
      <c r="F145" t="str">
        <f t="shared" si="19"/>
        <v/>
      </c>
    </row>
    <row r="146" spans="1:6">
      <c r="A146">
        <f t="shared" si="16"/>
        <v>138</v>
      </c>
      <c r="B146" s="11">
        <f>'More accurate Energy (Solar)'!B153</f>
        <v>0</v>
      </c>
      <c r="C146" s="404">
        <f t="shared" si="17"/>
        <v>0</v>
      </c>
      <c r="D146" s="404">
        <f t="shared" si="18"/>
        <v>0</v>
      </c>
      <c r="E146" s="404">
        <f t="shared" si="15"/>
        <v>1833.3333333333353</v>
      </c>
      <c r="F146" t="str">
        <f t="shared" si="19"/>
        <v/>
      </c>
    </row>
    <row r="147" spans="1:6">
      <c r="A147">
        <f t="shared" si="16"/>
        <v>139</v>
      </c>
      <c r="B147" s="11">
        <f>'More accurate Energy (Solar)'!B154</f>
        <v>0</v>
      </c>
      <c r="C147" s="404">
        <f t="shared" si="17"/>
        <v>0</v>
      </c>
      <c r="D147" s="404">
        <f t="shared" si="18"/>
        <v>0</v>
      </c>
      <c r="E147" s="404">
        <f t="shared" si="15"/>
        <v>1833.3333333333353</v>
      </c>
      <c r="F147" t="str">
        <f t="shared" si="19"/>
        <v/>
      </c>
    </row>
    <row r="148" spans="1:6">
      <c r="A148">
        <f t="shared" si="16"/>
        <v>140</v>
      </c>
      <c r="B148" s="11">
        <f>'More accurate Energy (Solar)'!B155</f>
        <v>0</v>
      </c>
      <c r="C148" s="404">
        <f t="shared" si="17"/>
        <v>0</v>
      </c>
      <c r="D148" s="404">
        <f t="shared" si="18"/>
        <v>0</v>
      </c>
      <c r="E148" s="404">
        <f t="shared" si="15"/>
        <v>1833.3333333333353</v>
      </c>
      <c r="F148" t="str">
        <f t="shared" si="19"/>
        <v/>
      </c>
    </row>
    <row r="149" spans="1:6">
      <c r="A149">
        <f t="shared" si="16"/>
        <v>141</v>
      </c>
      <c r="B149" s="11">
        <f>'More accurate Energy (Solar)'!B156</f>
        <v>0</v>
      </c>
      <c r="C149" s="404">
        <f t="shared" si="17"/>
        <v>0</v>
      </c>
      <c r="D149" s="404">
        <f t="shared" si="18"/>
        <v>0</v>
      </c>
      <c r="E149" s="404">
        <f t="shared" si="15"/>
        <v>1833.3333333333353</v>
      </c>
      <c r="F149" t="str">
        <f t="shared" si="19"/>
        <v/>
      </c>
    </row>
    <row r="150" spans="1:6">
      <c r="A150">
        <f t="shared" si="16"/>
        <v>142</v>
      </c>
      <c r="B150" s="11">
        <f>'More accurate Energy (Solar)'!B157</f>
        <v>1.3888888888888888E-2</v>
      </c>
      <c r="C150" s="404">
        <f t="shared" si="17"/>
        <v>13.888888888888888</v>
      </c>
      <c r="D150" s="404">
        <f t="shared" si="18"/>
        <v>2.7777777777777772</v>
      </c>
      <c r="E150" s="404">
        <f t="shared" si="15"/>
        <v>1836.1111111111131</v>
      </c>
      <c r="F150" t="str">
        <f t="shared" si="19"/>
        <v/>
      </c>
    </row>
    <row r="151" spans="1:6">
      <c r="A151">
        <f t="shared" si="16"/>
        <v>143</v>
      </c>
      <c r="B151" s="11">
        <f>'More accurate Energy (Solar)'!B158</f>
        <v>1.3888888888888888E-2</v>
      </c>
      <c r="C151" s="404">
        <f t="shared" si="17"/>
        <v>13.888888888888888</v>
      </c>
      <c r="D151" s="404">
        <f t="shared" si="18"/>
        <v>2.7777777777777772</v>
      </c>
      <c r="E151" s="404">
        <f t="shared" si="15"/>
        <v>1838.888888888891</v>
      </c>
      <c r="F151" t="str">
        <f t="shared" si="19"/>
        <v/>
      </c>
    </row>
    <row r="152" spans="1:6">
      <c r="A152">
        <f t="shared" si="16"/>
        <v>144</v>
      </c>
      <c r="B152" s="11">
        <f>'More accurate Energy (Solar)'!B159</f>
        <v>0</v>
      </c>
      <c r="C152" s="404">
        <f t="shared" si="17"/>
        <v>0</v>
      </c>
      <c r="D152" s="404">
        <f t="shared" si="18"/>
        <v>0</v>
      </c>
      <c r="E152" s="404">
        <f t="shared" si="15"/>
        <v>1838.888888888891</v>
      </c>
      <c r="F152" t="str">
        <f t="shared" si="19"/>
        <v/>
      </c>
    </row>
    <row r="153" spans="1:6">
      <c r="A153">
        <f t="shared" si="16"/>
        <v>145</v>
      </c>
      <c r="B153" s="11">
        <f>'More accurate Energy (Solar)'!B160</f>
        <v>0</v>
      </c>
      <c r="C153" s="404">
        <f t="shared" si="17"/>
        <v>0</v>
      </c>
      <c r="D153" s="404">
        <f t="shared" si="18"/>
        <v>0</v>
      </c>
      <c r="E153" s="404">
        <f t="shared" si="15"/>
        <v>1838.888888888891</v>
      </c>
      <c r="F153" t="str">
        <f t="shared" si="19"/>
        <v/>
      </c>
    </row>
    <row r="154" spans="1:6">
      <c r="A154">
        <f t="shared" si="16"/>
        <v>146</v>
      </c>
      <c r="B154" s="11">
        <f>'More accurate Energy (Solar)'!B161</f>
        <v>0</v>
      </c>
      <c r="C154" s="404">
        <f t="shared" si="17"/>
        <v>0</v>
      </c>
      <c r="D154" s="404">
        <f t="shared" si="18"/>
        <v>0</v>
      </c>
      <c r="E154" s="404">
        <f t="shared" si="15"/>
        <v>1838.888888888891</v>
      </c>
      <c r="F154" t="str">
        <f t="shared" si="19"/>
        <v/>
      </c>
    </row>
    <row r="155" spans="1:6">
      <c r="A155">
        <f t="shared" si="16"/>
        <v>147</v>
      </c>
      <c r="B155" s="11">
        <f>'More accurate Energy (Solar)'!B162</f>
        <v>0</v>
      </c>
      <c r="C155" s="404">
        <f t="shared" si="17"/>
        <v>0</v>
      </c>
      <c r="D155" s="404">
        <f t="shared" si="18"/>
        <v>0</v>
      </c>
      <c r="E155" s="404">
        <f t="shared" si="15"/>
        <v>1838.888888888891</v>
      </c>
      <c r="F155" t="str">
        <f t="shared" si="19"/>
        <v/>
      </c>
    </row>
    <row r="156" spans="1:6">
      <c r="A156">
        <f t="shared" si="16"/>
        <v>148</v>
      </c>
      <c r="B156" s="11">
        <f>'More accurate Energy (Solar)'!B163</f>
        <v>0</v>
      </c>
      <c r="C156" s="404">
        <f t="shared" si="17"/>
        <v>0</v>
      </c>
      <c r="D156" s="404">
        <f t="shared" si="18"/>
        <v>0</v>
      </c>
      <c r="E156" s="404">
        <f t="shared" si="15"/>
        <v>1838.888888888891</v>
      </c>
      <c r="F156" t="str">
        <f t="shared" si="19"/>
        <v/>
      </c>
    </row>
    <row r="157" spans="1:6">
      <c r="A157">
        <f t="shared" si="16"/>
        <v>149</v>
      </c>
      <c r="B157" s="11">
        <f>'More accurate Energy (Solar)'!B164</f>
        <v>0</v>
      </c>
      <c r="C157" s="404">
        <f t="shared" si="17"/>
        <v>0</v>
      </c>
      <c r="D157" s="404">
        <f t="shared" si="18"/>
        <v>0</v>
      </c>
      <c r="E157" s="404">
        <f t="shared" si="15"/>
        <v>1838.888888888891</v>
      </c>
      <c r="F157" t="str">
        <f t="shared" si="19"/>
        <v/>
      </c>
    </row>
    <row r="158" spans="1:6">
      <c r="A158">
        <f t="shared" si="16"/>
        <v>150</v>
      </c>
      <c r="B158" s="11">
        <f>'More accurate Energy (Solar)'!B165</f>
        <v>0</v>
      </c>
      <c r="C158" s="404">
        <f t="shared" si="17"/>
        <v>0</v>
      </c>
      <c r="D158" s="404">
        <f t="shared" si="18"/>
        <v>0</v>
      </c>
      <c r="E158" s="404">
        <f t="shared" si="15"/>
        <v>1838.888888888891</v>
      </c>
      <c r="F158" t="str">
        <f t="shared" si="19"/>
        <v/>
      </c>
    </row>
    <row r="159" spans="1:6">
      <c r="A159">
        <f t="shared" si="16"/>
        <v>151</v>
      </c>
      <c r="B159" s="11">
        <f>'More accurate Energy (Solar)'!B166</f>
        <v>0</v>
      </c>
      <c r="C159" s="404">
        <f t="shared" si="17"/>
        <v>0</v>
      </c>
      <c r="D159" s="404">
        <f t="shared" si="18"/>
        <v>0</v>
      </c>
      <c r="E159" s="404">
        <f t="shared" si="15"/>
        <v>1838.888888888891</v>
      </c>
      <c r="F159" t="str">
        <f t="shared" si="19"/>
        <v/>
      </c>
    </row>
    <row r="160" spans="1:6">
      <c r="A160">
        <f t="shared" si="16"/>
        <v>152</v>
      </c>
      <c r="B160" s="11">
        <f>'More accurate Energy (Solar)'!B167</f>
        <v>0.51388888888888884</v>
      </c>
      <c r="C160" s="404">
        <f t="shared" si="17"/>
        <v>513.8888888888888</v>
      </c>
      <c r="D160" s="404">
        <f t="shared" si="18"/>
        <v>102.77777777777777</v>
      </c>
      <c r="E160" s="404">
        <f t="shared" si="15"/>
        <v>1941.6666666666688</v>
      </c>
      <c r="F160" t="str">
        <f t="shared" si="19"/>
        <v/>
      </c>
    </row>
    <row r="161" spans="1:6">
      <c r="A161">
        <f t="shared" si="16"/>
        <v>153</v>
      </c>
      <c r="B161" s="11">
        <f>'More accurate Energy (Solar)'!B168</f>
        <v>0.19444444444444442</v>
      </c>
      <c r="C161" s="404">
        <f t="shared" si="17"/>
        <v>194.44444444444443</v>
      </c>
      <c r="D161" s="404">
        <f t="shared" si="18"/>
        <v>38.888888888888886</v>
      </c>
      <c r="E161" s="404">
        <f t="shared" si="15"/>
        <v>1980.5555555555577</v>
      </c>
      <c r="F161" t="str">
        <f t="shared" si="19"/>
        <v/>
      </c>
    </row>
    <row r="162" spans="1:6">
      <c r="A162">
        <f t="shared" si="16"/>
        <v>154</v>
      </c>
      <c r="B162" s="11">
        <f>'More accurate Energy (Solar)'!B169</f>
        <v>0</v>
      </c>
      <c r="C162" s="404">
        <f t="shared" si="17"/>
        <v>0</v>
      </c>
      <c r="D162" s="404">
        <f t="shared" si="18"/>
        <v>0</v>
      </c>
      <c r="E162" s="404">
        <f t="shared" si="15"/>
        <v>1980.5555555555577</v>
      </c>
      <c r="F162" t="str">
        <f t="shared" si="19"/>
        <v/>
      </c>
    </row>
    <row r="163" spans="1:6">
      <c r="A163">
        <f t="shared" si="16"/>
        <v>155</v>
      </c>
      <c r="B163" s="11">
        <f>'More accurate Energy (Solar)'!B170</f>
        <v>0</v>
      </c>
      <c r="C163" s="404">
        <f t="shared" si="17"/>
        <v>0</v>
      </c>
      <c r="D163" s="404">
        <f t="shared" si="18"/>
        <v>0</v>
      </c>
      <c r="E163" s="404">
        <f t="shared" si="15"/>
        <v>1980.5555555555577</v>
      </c>
      <c r="F163" t="str">
        <f t="shared" si="19"/>
        <v/>
      </c>
    </row>
    <row r="164" spans="1:6">
      <c r="A164">
        <f t="shared" si="16"/>
        <v>156</v>
      </c>
      <c r="B164" s="11">
        <f>'More accurate Energy (Solar)'!B171</f>
        <v>0</v>
      </c>
      <c r="C164" s="404">
        <f t="shared" si="17"/>
        <v>0</v>
      </c>
      <c r="D164" s="404">
        <f t="shared" si="18"/>
        <v>0</v>
      </c>
      <c r="E164" s="404">
        <f t="shared" si="15"/>
        <v>1980.5555555555577</v>
      </c>
      <c r="F164" t="str">
        <f t="shared" si="19"/>
        <v/>
      </c>
    </row>
    <row r="165" spans="1:6">
      <c r="A165">
        <f t="shared" si="16"/>
        <v>157</v>
      </c>
      <c r="B165" s="11">
        <f>'More accurate Energy (Solar)'!B172</f>
        <v>0</v>
      </c>
      <c r="C165" s="404">
        <f t="shared" si="17"/>
        <v>0</v>
      </c>
      <c r="D165" s="404">
        <f t="shared" si="18"/>
        <v>0</v>
      </c>
      <c r="E165" s="404">
        <f t="shared" si="15"/>
        <v>1980.5555555555577</v>
      </c>
      <c r="F165" t="str">
        <f t="shared" si="19"/>
        <v/>
      </c>
    </row>
    <row r="166" spans="1:6">
      <c r="A166">
        <f t="shared" si="16"/>
        <v>158</v>
      </c>
      <c r="B166" s="11">
        <f>'More accurate Energy (Solar)'!B173</f>
        <v>0</v>
      </c>
      <c r="C166" s="404">
        <f t="shared" si="17"/>
        <v>0</v>
      </c>
      <c r="D166" s="404">
        <f t="shared" si="18"/>
        <v>0</v>
      </c>
      <c r="E166" s="404">
        <f t="shared" si="15"/>
        <v>1980.5555555555577</v>
      </c>
      <c r="F166" t="str">
        <f t="shared" si="19"/>
        <v/>
      </c>
    </row>
    <row r="167" spans="1:6">
      <c r="A167">
        <f t="shared" si="16"/>
        <v>159</v>
      </c>
      <c r="B167" s="11">
        <f>'More accurate Energy (Solar)'!B174</f>
        <v>0</v>
      </c>
      <c r="C167" s="404">
        <f t="shared" si="17"/>
        <v>0</v>
      </c>
      <c r="D167" s="404">
        <f t="shared" si="18"/>
        <v>0</v>
      </c>
      <c r="E167" s="404">
        <f t="shared" si="15"/>
        <v>1980.5555555555577</v>
      </c>
      <c r="F167" t="str">
        <f t="shared" si="19"/>
        <v/>
      </c>
    </row>
    <row r="168" spans="1:6">
      <c r="A168">
        <f t="shared" si="16"/>
        <v>160</v>
      </c>
      <c r="B168" s="11">
        <f>'More accurate Energy (Solar)'!B175</f>
        <v>0</v>
      </c>
      <c r="C168" s="404">
        <f t="shared" si="17"/>
        <v>0</v>
      </c>
      <c r="D168" s="404">
        <f t="shared" si="18"/>
        <v>0</v>
      </c>
      <c r="E168" s="404">
        <f t="shared" si="15"/>
        <v>1980.5555555555577</v>
      </c>
      <c r="F168" t="str">
        <f t="shared" si="19"/>
        <v/>
      </c>
    </row>
    <row r="169" spans="1:6">
      <c r="A169">
        <f t="shared" si="16"/>
        <v>161</v>
      </c>
      <c r="B169" s="11">
        <f>'More accurate Energy (Solar)'!B176</f>
        <v>0</v>
      </c>
      <c r="C169" s="404">
        <f t="shared" si="17"/>
        <v>0</v>
      </c>
      <c r="D169" s="404">
        <f t="shared" si="18"/>
        <v>0</v>
      </c>
      <c r="E169" s="404">
        <f t="shared" si="15"/>
        <v>1980.5555555555577</v>
      </c>
      <c r="F169" t="str">
        <f t="shared" si="19"/>
        <v/>
      </c>
    </row>
    <row r="170" spans="1:6">
      <c r="A170">
        <f t="shared" si="16"/>
        <v>162</v>
      </c>
      <c r="B170" s="11">
        <f>'More accurate Energy (Solar)'!B177</f>
        <v>0</v>
      </c>
      <c r="C170" s="404">
        <f t="shared" si="17"/>
        <v>0</v>
      </c>
      <c r="D170" s="404">
        <f t="shared" si="18"/>
        <v>0</v>
      </c>
      <c r="E170" s="404">
        <f t="shared" si="15"/>
        <v>1980.5555555555577</v>
      </c>
      <c r="F170" t="str">
        <f t="shared" si="19"/>
        <v/>
      </c>
    </row>
    <row r="171" spans="1:6">
      <c r="A171">
        <f t="shared" si="16"/>
        <v>163</v>
      </c>
      <c r="B171" s="11">
        <f>'More accurate Energy (Solar)'!B178</f>
        <v>0</v>
      </c>
      <c r="C171" s="404">
        <f t="shared" si="17"/>
        <v>0</v>
      </c>
      <c r="D171" s="404">
        <f t="shared" si="18"/>
        <v>0</v>
      </c>
      <c r="E171" s="404">
        <f t="shared" si="15"/>
        <v>1980.5555555555577</v>
      </c>
      <c r="F171" t="str">
        <f t="shared" si="19"/>
        <v/>
      </c>
    </row>
    <row r="172" spans="1:6">
      <c r="A172">
        <f t="shared" si="16"/>
        <v>164</v>
      </c>
      <c r="B172" s="11">
        <f>'More accurate Energy (Solar)'!B179</f>
        <v>0</v>
      </c>
      <c r="C172" s="404">
        <f t="shared" si="17"/>
        <v>0</v>
      </c>
      <c r="D172" s="404">
        <f t="shared" si="18"/>
        <v>0</v>
      </c>
      <c r="E172" s="404">
        <f t="shared" si="15"/>
        <v>1980.5555555555577</v>
      </c>
      <c r="F172" t="str">
        <f t="shared" si="19"/>
        <v/>
      </c>
    </row>
    <row r="173" spans="1:6">
      <c r="A173">
        <f t="shared" si="16"/>
        <v>165</v>
      </c>
      <c r="B173" s="11">
        <f>'More accurate Energy (Solar)'!B180</f>
        <v>0</v>
      </c>
      <c r="C173" s="404">
        <f t="shared" si="17"/>
        <v>0</v>
      </c>
      <c r="D173" s="404">
        <f t="shared" si="18"/>
        <v>0</v>
      </c>
      <c r="E173" s="404">
        <f t="shared" si="15"/>
        <v>1980.5555555555577</v>
      </c>
      <c r="F173" t="str">
        <f t="shared" si="19"/>
        <v/>
      </c>
    </row>
    <row r="174" spans="1:6">
      <c r="A174">
        <f t="shared" si="16"/>
        <v>166</v>
      </c>
      <c r="B174" s="11">
        <f>'More accurate Energy (Solar)'!B181</f>
        <v>0</v>
      </c>
      <c r="C174" s="404">
        <f t="shared" si="17"/>
        <v>0</v>
      </c>
      <c r="D174" s="404">
        <f t="shared" si="18"/>
        <v>0</v>
      </c>
      <c r="E174" s="404">
        <f t="shared" si="15"/>
        <v>1980.5555555555577</v>
      </c>
      <c r="F174" t="str">
        <f t="shared" si="19"/>
        <v/>
      </c>
    </row>
    <row r="175" spans="1:6">
      <c r="A175">
        <f t="shared" si="16"/>
        <v>167</v>
      </c>
      <c r="B175" s="11">
        <f>'More accurate Energy (Solar)'!B182</f>
        <v>0</v>
      </c>
      <c r="C175" s="404">
        <f t="shared" si="17"/>
        <v>0</v>
      </c>
      <c r="D175" s="404">
        <f t="shared" si="18"/>
        <v>0</v>
      </c>
      <c r="E175" s="404">
        <f t="shared" si="15"/>
        <v>1980.5555555555577</v>
      </c>
      <c r="F175" t="str">
        <f t="shared" si="19"/>
        <v/>
      </c>
    </row>
    <row r="176" spans="1:6">
      <c r="A176">
        <f t="shared" si="16"/>
        <v>168</v>
      </c>
      <c r="B176" s="11">
        <f>'More accurate Energy (Solar)'!B183</f>
        <v>0</v>
      </c>
      <c r="C176" s="404">
        <f t="shared" si="17"/>
        <v>0</v>
      </c>
      <c r="D176" s="404">
        <f t="shared" si="18"/>
        <v>0</v>
      </c>
      <c r="E176" s="404">
        <f t="shared" si="15"/>
        <v>1980.5555555555577</v>
      </c>
      <c r="F176" t="str">
        <f t="shared" si="19"/>
        <v/>
      </c>
    </row>
    <row r="177" spans="1:6">
      <c r="A177">
        <f t="shared" si="16"/>
        <v>169</v>
      </c>
      <c r="B177" s="11">
        <f>'More accurate Energy (Solar)'!B184</f>
        <v>0.4861111111111111</v>
      </c>
      <c r="C177" s="404">
        <f t="shared" si="17"/>
        <v>486.11111111111109</v>
      </c>
      <c r="D177" s="404">
        <f t="shared" si="18"/>
        <v>97.222222222222214</v>
      </c>
      <c r="E177" s="404">
        <f t="shared" si="15"/>
        <v>2077.7777777777801</v>
      </c>
      <c r="F177" t="str">
        <f t="shared" si="19"/>
        <v/>
      </c>
    </row>
    <row r="178" spans="1:6">
      <c r="A178">
        <f t="shared" si="16"/>
        <v>170</v>
      </c>
      <c r="B178" s="11">
        <f>'More accurate Energy (Solar)'!B185</f>
        <v>0</v>
      </c>
      <c r="C178" s="404">
        <f t="shared" si="17"/>
        <v>0</v>
      </c>
      <c r="D178" s="404">
        <f t="shared" si="18"/>
        <v>0</v>
      </c>
      <c r="E178" s="404">
        <f t="shared" si="15"/>
        <v>2077.7777777777801</v>
      </c>
      <c r="F178" t="str">
        <f t="shared" si="19"/>
        <v/>
      </c>
    </row>
    <row r="179" spans="1:6">
      <c r="A179">
        <f t="shared" si="16"/>
        <v>171</v>
      </c>
      <c r="B179" s="11">
        <f>'More accurate Energy (Solar)'!B186</f>
        <v>0</v>
      </c>
      <c r="C179" s="404">
        <f t="shared" si="17"/>
        <v>0</v>
      </c>
      <c r="D179" s="404">
        <f t="shared" si="18"/>
        <v>0</v>
      </c>
      <c r="E179" s="404">
        <f t="shared" si="15"/>
        <v>2077.7777777777801</v>
      </c>
      <c r="F179" t="str">
        <f t="shared" si="19"/>
        <v/>
      </c>
    </row>
    <row r="180" spans="1:6">
      <c r="A180">
        <f t="shared" si="16"/>
        <v>172</v>
      </c>
      <c r="B180" s="11">
        <f>'More accurate Energy (Solar)'!B187</f>
        <v>0</v>
      </c>
      <c r="C180" s="404">
        <f t="shared" si="17"/>
        <v>0</v>
      </c>
      <c r="D180" s="404">
        <f t="shared" si="18"/>
        <v>0</v>
      </c>
      <c r="E180" s="404">
        <f t="shared" ref="E180:E243" si="20">IF(E179+D180 &gt; $B$4 * 1000,(E179+D180)-3000,E179 + D180)</f>
        <v>2077.7777777777801</v>
      </c>
      <c r="F180" t="str">
        <f t="shared" si="19"/>
        <v/>
      </c>
    </row>
    <row r="181" spans="1:6">
      <c r="A181">
        <f t="shared" si="16"/>
        <v>173</v>
      </c>
      <c r="B181" s="11">
        <f>'More accurate Energy (Solar)'!B188</f>
        <v>0</v>
      </c>
      <c r="C181" s="404">
        <f t="shared" si="17"/>
        <v>0</v>
      </c>
      <c r="D181" s="404">
        <f t="shared" si="18"/>
        <v>0</v>
      </c>
      <c r="E181" s="404">
        <f t="shared" si="20"/>
        <v>2077.7777777777801</v>
      </c>
      <c r="F181" t="str">
        <f t="shared" si="19"/>
        <v/>
      </c>
    </row>
    <row r="182" spans="1:6">
      <c r="A182">
        <f t="shared" si="16"/>
        <v>174</v>
      </c>
      <c r="B182" s="11">
        <f>'More accurate Energy (Solar)'!B189</f>
        <v>9.722222222222221E-2</v>
      </c>
      <c r="C182" s="404">
        <f t="shared" si="17"/>
        <v>97.222222222222214</v>
      </c>
      <c r="D182" s="404">
        <f t="shared" si="18"/>
        <v>19.444444444444443</v>
      </c>
      <c r="E182" s="404">
        <f t="shared" si="20"/>
        <v>2097.2222222222244</v>
      </c>
      <c r="F182" t="str">
        <f t="shared" si="19"/>
        <v/>
      </c>
    </row>
    <row r="183" spans="1:6">
      <c r="A183">
        <f t="shared" si="16"/>
        <v>175</v>
      </c>
      <c r="B183" s="11">
        <f>'More accurate Energy (Solar)'!B190</f>
        <v>0.93055555555555558</v>
      </c>
      <c r="C183" s="404">
        <f t="shared" si="17"/>
        <v>930.55555555555554</v>
      </c>
      <c r="D183" s="404">
        <f t="shared" si="18"/>
        <v>186.11111111111109</v>
      </c>
      <c r="E183" s="404">
        <f t="shared" si="20"/>
        <v>2283.3333333333358</v>
      </c>
      <c r="F183" t="str">
        <f t="shared" si="19"/>
        <v/>
      </c>
    </row>
    <row r="184" spans="1:6">
      <c r="A184">
        <f t="shared" si="16"/>
        <v>176</v>
      </c>
      <c r="B184" s="11">
        <f>'More accurate Energy (Solar)'!B191</f>
        <v>0.27777777777777779</v>
      </c>
      <c r="C184" s="404">
        <f t="shared" si="17"/>
        <v>277.77777777777777</v>
      </c>
      <c r="D184" s="404">
        <f t="shared" si="18"/>
        <v>55.55555555555555</v>
      </c>
      <c r="E184" s="404">
        <f t="shared" si="20"/>
        <v>2338.8888888888914</v>
      </c>
      <c r="F184" t="str">
        <f t="shared" si="19"/>
        <v/>
      </c>
    </row>
    <row r="185" spans="1:6">
      <c r="A185">
        <f t="shared" si="16"/>
        <v>177</v>
      </c>
      <c r="B185" s="11">
        <f>'More accurate Energy (Solar)'!B192</f>
        <v>0</v>
      </c>
      <c r="C185" s="404">
        <f t="shared" si="17"/>
        <v>0</v>
      </c>
      <c r="D185" s="404">
        <f t="shared" si="18"/>
        <v>0</v>
      </c>
      <c r="E185" s="404">
        <f t="shared" si="20"/>
        <v>2338.8888888888914</v>
      </c>
      <c r="F185" t="str">
        <f t="shared" si="19"/>
        <v/>
      </c>
    </row>
    <row r="186" spans="1:6">
      <c r="A186">
        <f t="shared" si="16"/>
        <v>178</v>
      </c>
      <c r="B186" s="11">
        <f>'More accurate Energy (Solar)'!B193</f>
        <v>0</v>
      </c>
      <c r="C186" s="404">
        <f t="shared" si="17"/>
        <v>0</v>
      </c>
      <c r="D186" s="404">
        <f t="shared" si="18"/>
        <v>0</v>
      </c>
      <c r="E186" s="404">
        <f t="shared" si="20"/>
        <v>2338.8888888888914</v>
      </c>
      <c r="F186" t="str">
        <f t="shared" si="19"/>
        <v/>
      </c>
    </row>
    <row r="187" spans="1:6">
      <c r="A187">
        <f t="shared" si="16"/>
        <v>179</v>
      </c>
      <c r="B187" s="11">
        <f>'More accurate Energy (Solar)'!B194</f>
        <v>0</v>
      </c>
      <c r="C187" s="404">
        <f t="shared" si="17"/>
        <v>0</v>
      </c>
      <c r="D187" s="404">
        <f t="shared" si="18"/>
        <v>0</v>
      </c>
      <c r="E187" s="404">
        <f t="shared" si="20"/>
        <v>2338.8888888888914</v>
      </c>
      <c r="F187" t="str">
        <f t="shared" si="19"/>
        <v/>
      </c>
    </row>
    <row r="188" spans="1:6">
      <c r="A188">
        <f t="shared" si="16"/>
        <v>180</v>
      </c>
      <c r="B188" s="11">
        <f>'More accurate Energy (Solar)'!B195</f>
        <v>0</v>
      </c>
      <c r="C188" s="404">
        <f t="shared" si="17"/>
        <v>0</v>
      </c>
      <c r="D188" s="404">
        <f t="shared" si="18"/>
        <v>0</v>
      </c>
      <c r="E188" s="404">
        <f t="shared" si="20"/>
        <v>2338.8888888888914</v>
      </c>
      <c r="F188" t="str">
        <f t="shared" si="19"/>
        <v/>
      </c>
    </row>
    <row r="189" spans="1:6">
      <c r="A189">
        <f t="shared" si="16"/>
        <v>181</v>
      </c>
      <c r="B189" s="11">
        <f>'More accurate Energy (Solar)'!B196</f>
        <v>0</v>
      </c>
      <c r="C189" s="404">
        <f t="shared" si="17"/>
        <v>0</v>
      </c>
      <c r="D189" s="404">
        <f t="shared" si="18"/>
        <v>0</v>
      </c>
      <c r="E189" s="404">
        <f t="shared" si="20"/>
        <v>2338.8888888888914</v>
      </c>
      <c r="F189" t="str">
        <f t="shared" si="19"/>
        <v/>
      </c>
    </row>
    <row r="190" spans="1:6">
      <c r="A190">
        <f t="shared" si="16"/>
        <v>182</v>
      </c>
      <c r="B190" s="11">
        <f>'More accurate Energy (Solar)'!B197</f>
        <v>0</v>
      </c>
      <c r="C190" s="404">
        <f t="shared" si="17"/>
        <v>0</v>
      </c>
      <c r="D190" s="404">
        <f t="shared" si="18"/>
        <v>0</v>
      </c>
      <c r="E190" s="404">
        <f t="shared" si="20"/>
        <v>2338.8888888888914</v>
      </c>
      <c r="F190" t="str">
        <f t="shared" si="19"/>
        <v/>
      </c>
    </row>
    <row r="191" spans="1:6">
      <c r="A191">
        <f t="shared" si="16"/>
        <v>183</v>
      </c>
      <c r="B191" s="11">
        <f>'More accurate Energy (Solar)'!B198</f>
        <v>0</v>
      </c>
      <c r="C191" s="404">
        <f t="shared" si="17"/>
        <v>0</v>
      </c>
      <c r="D191" s="404">
        <f t="shared" si="18"/>
        <v>0</v>
      </c>
      <c r="E191" s="404">
        <f t="shared" si="20"/>
        <v>2338.8888888888914</v>
      </c>
      <c r="F191" t="str">
        <f t="shared" si="19"/>
        <v/>
      </c>
    </row>
    <row r="192" spans="1:6">
      <c r="A192">
        <f t="shared" si="16"/>
        <v>184</v>
      </c>
      <c r="B192" s="11">
        <f>'More accurate Energy (Solar)'!B199</f>
        <v>0</v>
      </c>
      <c r="C192" s="404">
        <f t="shared" si="17"/>
        <v>0</v>
      </c>
      <c r="D192" s="404">
        <f t="shared" si="18"/>
        <v>0</v>
      </c>
      <c r="E192" s="404">
        <f t="shared" si="20"/>
        <v>2338.8888888888914</v>
      </c>
      <c r="F192" t="str">
        <f t="shared" si="19"/>
        <v/>
      </c>
    </row>
    <row r="193" spans="1:6">
      <c r="A193">
        <f t="shared" si="16"/>
        <v>185</v>
      </c>
      <c r="B193" s="11">
        <f>'More accurate Energy (Solar)'!B200</f>
        <v>0</v>
      </c>
      <c r="C193" s="404">
        <f t="shared" si="17"/>
        <v>0</v>
      </c>
      <c r="D193" s="404">
        <f t="shared" si="18"/>
        <v>0</v>
      </c>
      <c r="E193" s="404">
        <f t="shared" si="20"/>
        <v>2338.8888888888914</v>
      </c>
      <c r="F193" t="str">
        <f t="shared" si="19"/>
        <v/>
      </c>
    </row>
    <row r="194" spans="1:6">
      <c r="A194">
        <f t="shared" si="16"/>
        <v>186</v>
      </c>
      <c r="B194" s="11">
        <f>'More accurate Energy (Solar)'!B201</f>
        <v>0</v>
      </c>
      <c r="C194" s="404">
        <f t="shared" si="17"/>
        <v>0</v>
      </c>
      <c r="D194" s="404">
        <f t="shared" si="18"/>
        <v>0</v>
      </c>
      <c r="E194" s="404">
        <f t="shared" si="20"/>
        <v>2338.8888888888914</v>
      </c>
      <c r="F194" t="str">
        <f t="shared" si="19"/>
        <v/>
      </c>
    </row>
    <row r="195" spans="1:6">
      <c r="A195">
        <f t="shared" si="16"/>
        <v>187</v>
      </c>
      <c r="B195" s="11">
        <f>'More accurate Energy (Solar)'!B202</f>
        <v>0</v>
      </c>
      <c r="C195" s="404">
        <f t="shared" si="17"/>
        <v>0</v>
      </c>
      <c r="D195" s="404">
        <f t="shared" si="18"/>
        <v>0</v>
      </c>
      <c r="E195" s="404">
        <f t="shared" si="20"/>
        <v>2338.8888888888914</v>
      </c>
      <c r="F195" t="str">
        <f t="shared" si="19"/>
        <v/>
      </c>
    </row>
    <row r="196" spans="1:6">
      <c r="A196">
        <f t="shared" si="16"/>
        <v>188</v>
      </c>
      <c r="B196" s="11">
        <f>'More accurate Energy (Solar)'!B203</f>
        <v>1.3888888888888888E-2</v>
      </c>
      <c r="C196" s="404">
        <f t="shared" si="17"/>
        <v>13.888888888888888</v>
      </c>
      <c r="D196" s="404">
        <f t="shared" si="18"/>
        <v>2.7777777777777772</v>
      </c>
      <c r="E196" s="404">
        <f t="shared" si="20"/>
        <v>2341.6666666666692</v>
      </c>
      <c r="F196" t="str">
        <f t="shared" si="19"/>
        <v/>
      </c>
    </row>
    <row r="197" spans="1:6">
      <c r="A197">
        <f t="shared" si="16"/>
        <v>189</v>
      </c>
      <c r="B197" s="11">
        <f>'More accurate Energy (Solar)'!B204</f>
        <v>0</v>
      </c>
      <c r="C197" s="404">
        <f t="shared" si="17"/>
        <v>0</v>
      </c>
      <c r="D197" s="404">
        <f t="shared" si="18"/>
        <v>0</v>
      </c>
      <c r="E197" s="404">
        <f t="shared" si="20"/>
        <v>2341.6666666666692</v>
      </c>
      <c r="F197" t="str">
        <f t="shared" si="19"/>
        <v/>
      </c>
    </row>
    <row r="198" spans="1:6">
      <c r="A198">
        <f t="shared" si="16"/>
        <v>190</v>
      </c>
      <c r="B198" s="11">
        <f>'More accurate Energy (Solar)'!B205</f>
        <v>6.9444444444444448E-2</v>
      </c>
      <c r="C198" s="404">
        <f t="shared" si="17"/>
        <v>69.444444444444443</v>
      </c>
      <c r="D198" s="404">
        <f t="shared" si="18"/>
        <v>13.888888888888888</v>
      </c>
      <c r="E198" s="404">
        <f t="shared" si="20"/>
        <v>2355.5555555555579</v>
      </c>
      <c r="F198" t="str">
        <f t="shared" si="19"/>
        <v/>
      </c>
    </row>
    <row r="199" spans="1:6">
      <c r="A199">
        <f t="shared" si="16"/>
        <v>191</v>
      </c>
      <c r="B199" s="11">
        <f>'More accurate Energy (Solar)'!B206</f>
        <v>8.3333333333333329E-2</v>
      </c>
      <c r="C199" s="404">
        <f t="shared" si="17"/>
        <v>83.333333333333329</v>
      </c>
      <c r="D199" s="404">
        <f t="shared" si="18"/>
        <v>16.666666666666664</v>
      </c>
      <c r="E199" s="404">
        <f t="shared" si="20"/>
        <v>2372.2222222222244</v>
      </c>
      <c r="F199" t="str">
        <f t="shared" si="19"/>
        <v/>
      </c>
    </row>
    <row r="200" spans="1:6">
      <c r="A200">
        <f t="shared" si="16"/>
        <v>192</v>
      </c>
      <c r="B200" s="11">
        <f>'More accurate Energy (Solar)'!B207</f>
        <v>0.16666666666666666</v>
      </c>
      <c r="C200" s="404">
        <f t="shared" si="17"/>
        <v>166.66666666666666</v>
      </c>
      <c r="D200" s="404">
        <f t="shared" si="18"/>
        <v>33.333333333333329</v>
      </c>
      <c r="E200" s="404">
        <f t="shared" si="20"/>
        <v>2405.5555555555579</v>
      </c>
      <c r="F200" t="str">
        <f t="shared" si="19"/>
        <v/>
      </c>
    </row>
    <row r="201" spans="1:6">
      <c r="A201">
        <f t="shared" si="16"/>
        <v>193</v>
      </c>
      <c r="B201" s="11">
        <f>'More accurate Energy (Solar)'!B208</f>
        <v>0.27777777777777779</v>
      </c>
      <c r="C201" s="404">
        <f t="shared" si="17"/>
        <v>277.77777777777777</v>
      </c>
      <c r="D201" s="404">
        <f t="shared" si="18"/>
        <v>55.55555555555555</v>
      </c>
      <c r="E201" s="404">
        <f t="shared" si="20"/>
        <v>2461.1111111111136</v>
      </c>
      <c r="F201" t="str">
        <f t="shared" si="19"/>
        <v/>
      </c>
    </row>
    <row r="202" spans="1:6">
      <c r="A202">
        <f t="shared" ref="A202:A265" si="21">A201+1</f>
        <v>194</v>
      </c>
      <c r="B202" s="11">
        <f>'More accurate Energy (Solar)'!B209</f>
        <v>0</v>
      </c>
      <c r="C202" s="404">
        <f t="shared" ref="C202:C265" si="22">B202 * 1000</f>
        <v>0</v>
      </c>
      <c r="D202" s="404">
        <f t="shared" ref="D202:D265" si="23">C202*$B$3*$B$1/$B$2/1000</f>
        <v>0</v>
      </c>
      <c r="E202" s="404">
        <f t="shared" si="20"/>
        <v>2461.1111111111136</v>
      </c>
      <c r="F202" t="str">
        <f t="shared" si="19"/>
        <v/>
      </c>
    </row>
    <row r="203" spans="1:6">
      <c r="A203">
        <f t="shared" si="21"/>
        <v>195</v>
      </c>
      <c r="B203" s="11">
        <f>'More accurate Energy (Solar)'!B210</f>
        <v>0</v>
      </c>
      <c r="C203" s="404">
        <f t="shared" si="22"/>
        <v>0</v>
      </c>
      <c r="D203" s="404">
        <f t="shared" si="23"/>
        <v>0</v>
      </c>
      <c r="E203" s="404">
        <f t="shared" si="20"/>
        <v>2461.1111111111136</v>
      </c>
      <c r="F203" t="str">
        <f t="shared" ref="F203:F266" si="24">IF(E203 &lt; E202, 1, "")</f>
        <v/>
      </c>
    </row>
    <row r="204" spans="1:6">
      <c r="A204">
        <f t="shared" si="21"/>
        <v>196</v>
      </c>
      <c r="B204" s="11">
        <f>'More accurate Energy (Solar)'!B211</f>
        <v>0</v>
      </c>
      <c r="C204" s="404">
        <f t="shared" si="22"/>
        <v>0</v>
      </c>
      <c r="D204" s="404">
        <f t="shared" si="23"/>
        <v>0</v>
      </c>
      <c r="E204" s="404">
        <f t="shared" si="20"/>
        <v>2461.1111111111136</v>
      </c>
      <c r="F204" t="str">
        <f t="shared" si="24"/>
        <v/>
      </c>
    </row>
    <row r="205" spans="1:6">
      <c r="A205">
        <f t="shared" si="21"/>
        <v>197</v>
      </c>
      <c r="B205" s="11">
        <f>'More accurate Energy (Solar)'!B212</f>
        <v>0</v>
      </c>
      <c r="C205" s="404">
        <f t="shared" si="22"/>
        <v>0</v>
      </c>
      <c r="D205" s="404">
        <f t="shared" si="23"/>
        <v>0</v>
      </c>
      <c r="E205" s="404">
        <f t="shared" si="20"/>
        <v>2461.1111111111136</v>
      </c>
      <c r="F205" t="str">
        <f t="shared" si="24"/>
        <v/>
      </c>
    </row>
    <row r="206" spans="1:6">
      <c r="A206">
        <f t="shared" si="21"/>
        <v>198</v>
      </c>
      <c r="B206" s="11">
        <f>'More accurate Energy (Solar)'!B213</f>
        <v>0</v>
      </c>
      <c r="C206" s="404">
        <f t="shared" si="22"/>
        <v>0</v>
      </c>
      <c r="D206" s="404">
        <f t="shared" si="23"/>
        <v>0</v>
      </c>
      <c r="E206" s="404">
        <f t="shared" si="20"/>
        <v>2461.1111111111136</v>
      </c>
      <c r="F206" t="str">
        <f t="shared" si="24"/>
        <v/>
      </c>
    </row>
    <row r="207" spans="1:6">
      <c r="A207">
        <f t="shared" si="21"/>
        <v>199</v>
      </c>
      <c r="B207" s="11">
        <f>'More accurate Energy (Solar)'!B214</f>
        <v>0</v>
      </c>
      <c r="C207" s="404">
        <f t="shared" si="22"/>
        <v>0</v>
      </c>
      <c r="D207" s="404">
        <f t="shared" si="23"/>
        <v>0</v>
      </c>
      <c r="E207" s="404">
        <f t="shared" si="20"/>
        <v>2461.1111111111136</v>
      </c>
      <c r="F207" t="str">
        <f t="shared" si="24"/>
        <v/>
      </c>
    </row>
    <row r="208" spans="1:6">
      <c r="A208">
        <f t="shared" si="21"/>
        <v>200</v>
      </c>
      <c r="B208" s="11">
        <f>'More accurate Energy (Solar)'!B215</f>
        <v>0</v>
      </c>
      <c r="C208" s="404">
        <f t="shared" si="22"/>
        <v>0</v>
      </c>
      <c r="D208" s="404">
        <f t="shared" si="23"/>
        <v>0</v>
      </c>
      <c r="E208" s="404">
        <f t="shared" si="20"/>
        <v>2461.1111111111136</v>
      </c>
      <c r="F208" t="str">
        <f t="shared" si="24"/>
        <v/>
      </c>
    </row>
    <row r="209" spans="1:6">
      <c r="A209">
        <f t="shared" si="21"/>
        <v>201</v>
      </c>
      <c r="B209" s="11">
        <f>'More accurate Energy (Solar)'!B216</f>
        <v>4.1666666666666664E-2</v>
      </c>
      <c r="C209" s="404">
        <f t="shared" si="22"/>
        <v>41.666666666666664</v>
      </c>
      <c r="D209" s="404">
        <f t="shared" si="23"/>
        <v>8.3333333333333321</v>
      </c>
      <c r="E209" s="404">
        <f t="shared" si="20"/>
        <v>2469.4444444444471</v>
      </c>
      <c r="F209" t="str">
        <f t="shared" si="24"/>
        <v/>
      </c>
    </row>
    <row r="210" spans="1:6">
      <c r="A210">
        <f t="shared" si="21"/>
        <v>202</v>
      </c>
      <c r="B210" s="11">
        <f>'More accurate Energy (Solar)'!B217</f>
        <v>0</v>
      </c>
      <c r="C210" s="404">
        <f t="shared" si="22"/>
        <v>0</v>
      </c>
      <c r="D210" s="404">
        <f t="shared" si="23"/>
        <v>0</v>
      </c>
      <c r="E210" s="404">
        <f t="shared" si="20"/>
        <v>2469.4444444444471</v>
      </c>
      <c r="F210" t="str">
        <f t="shared" si="24"/>
        <v/>
      </c>
    </row>
    <row r="211" spans="1:6">
      <c r="A211">
        <f t="shared" si="21"/>
        <v>203</v>
      </c>
      <c r="B211" s="11">
        <f>'More accurate Energy (Solar)'!B218</f>
        <v>0</v>
      </c>
      <c r="C211" s="404">
        <f t="shared" si="22"/>
        <v>0</v>
      </c>
      <c r="D211" s="404">
        <f t="shared" si="23"/>
        <v>0</v>
      </c>
      <c r="E211" s="404">
        <f t="shared" si="20"/>
        <v>2469.4444444444471</v>
      </c>
      <c r="F211" t="str">
        <f t="shared" si="24"/>
        <v/>
      </c>
    </row>
    <row r="212" spans="1:6">
      <c r="A212">
        <f t="shared" si="21"/>
        <v>204</v>
      </c>
      <c r="B212" s="11">
        <f>'More accurate Energy (Solar)'!B219</f>
        <v>0.58333333333333348</v>
      </c>
      <c r="C212" s="404">
        <f t="shared" si="22"/>
        <v>583.33333333333348</v>
      </c>
      <c r="D212" s="404">
        <f t="shared" si="23"/>
        <v>116.6666666666667</v>
      </c>
      <c r="E212" s="404">
        <f t="shared" si="20"/>
        <v>2586.1111111111136</v>
      </c>
      <c r="F212" t="str">
        <f t="shared" si="24"/>
        <v/>
      </c>
    </row>
    <row r="213" spans="1:6">
      <c r="A213">
        <f t="shared" si="21"/>
        <v>205</v>
      </c>
      <c r="B213" s="11">
        <f>'More accurate Energy (Solar)'!B220</f>
        <v>0.27777777777777779</v>
      </c>
      <c r="C213" s="404">
        <f t="shared" si="22"/>
        <v>277.77777777777777</v>
      </c>
      <c r="D213" s="404">
        <f t="shared" si="23"/>
        <v>55.55555555555555</v>
      </c>
      <c r="E213" s="404">
        <f t="shared" si="20"/>
        <v>2641.6666666666692</v>
      </c>
      <c r="F213" t="str">
        <f t="shared" si="24"/>
        <v/>
      </c>
    </row>
    <row r="214" spans="1:6">
      <c r="A214">
        <f t="shared" si="21"/>
        <v>206</v>
      </c>
      <c r="B214" s="11">
        <f>'More accurate Energy (Solar)'!B221</f>
        <v>0.29166666666666674</v>
      </c>
      <c r="C214" s="404">
        <f t="shared" si="22"/>
        <v>291.66666666666674</v>
      </c>
      <c r="D214" s="404">
        <f t="shared" si="23"/>
        <v>58.33333333333335</v>
      </c>
      <c r="E214" s="404">
        <f t="shared" si="20"/>
        <v>2700.0000000000027</v>
      </c>
      <c r="F214" t="str">
        <f t="shared" si="24"/>
        <v/>
      </c>
    </row>
    <row r="215" spans="1:6">
      <c r="A215">
        <f t="shared" si="21"/>
        <v>207</v>
      </c>
      <c r="B215" s="11">
        <f>'More accurate Energy (Solar)'!B222</f>
        <v>0</v>
      </c>
      <c r="C215" s="404">
        <f t="shared" si="22"/>
        <v>0</v>
      </c>
      <c r="D215" s="404">
        <f t="shared" si="23"/>
        <v>0</v>
      </c>
      <c r="E215" s="404">
        <f t="shared" si="20"/>
        <v>2700.0000000000027</v>
      </c>
      <c r="F215" t="str">
        <f t="shared" si="24"/>
        <v/>
      </c>
    </row>
    <row r="216" spans="1:6">
      <c r="A216">
        <f t="shared" si="21"/>
        <v>208</v>
      </c>
      <c r="B216" s="11">
        <f>'More accurate Energy (Solar)'!B223</f>
        <v>0</v>
      </c>
      <c r="C216" s="404">
        <f t="shared" si="22"/>
        <v>0</v>
      </c>
      <c r="D216" s="404">
        <f t="shared" si="23"/>
        <v>0</v>
      </c>
      <c r="E216" s="404">
        <f t="shared" si="20"/>
        <v>2700.0000000000027</v>
      </c>
      <c r="F216" t="str">
        <f t="shared" si="24"/>
        <v/>
      </c>
    </row>
    <row r="217" spans="1:6">
      <c r="A217">
        <f t="shared" si="21"/>
        <v>209</v>
      </c>
      <c r="B217" s="11">
        <f>'More accurate Energy (Solar)'!B224</f>
        <v>0</v>
      </c>
      <c r="C217" s="404">
        <f t="shared" si="22"/>
        <v>0</v>
      </c>
      <c r="D217" s="404">
        <f t="shared" si="23"/>
        <v>0</v>
      </c>
      <c r="E217" s="404">
        <f t="shared" si="20"/>
        <v>2700.0000000000027</v>
      </c>
      <c r="F217" t="str">
        <f t="shared" si="24"/>
        <v/>
      </c>
    </row>
    <row r="218" spans="1:6">
      <c r="A218">
        <f t="shared" si="21"/>
        <v>210</v>
      </c>
      <c r="B218" s="11">
        <f>'More accurate Energy (Solar)'!B225</f>
        <v>0</v>
      </c>
      <c r="C218" s="404">
        <f t="shared" si="22"/>
        <v>0</v>
      </c>
      <c r="D218" s="404">
        <f t="shared" si="23"/>
        <v>0</v>
      </c>
      <c r="E218" s="404">
        <f t="shared" si="20"/>
        <v>2700.0000000000027</v>
      </c>
      <c r="F218" t="str">
        <f t="shared" si="24"/>
        <v/>
      </c>
    </row>
    <row r="219" spans="1:6">
      <c r="A219">
        <f t="shared" si="21"/>
        <v>211</v>
      </c>
      <c r="B219" s="11">
        <f>'More accurate Energy (Solar)'!B226</f>
        <v>0</v>
      </c>
      <c r="C219" s="404">
        <f t="shared" si="22"/>
        <v>0</v>
      </c>
      <c r="D219" s="404">
        <f t="shared" si="23"/>
        <v>0</v>
      </c>
      <c r="E219" s="404">
        <f t="shared" si="20"/>
        <v>2700.0000000000027</v>
      </c>
      <c r="F219" t="str">
        <f t="shared" si="24"/>
        <v/>
      </c>
    </row>
    <row r="220" spans="1:6">
      <c r="A220">
        <f t="shared" si="21"/>
        <v>212</v>
      </c>
      <c r="B220" s="11">
        <f>'More accurate Energy (Solar)'!B227</f>
        <v>0</v>
      </c>
      <c r="C220" s="404">
        <f t="shared" si="22"/>
        <v>0</v>
      </c>
      <c r="D220" s="404">
        <f t="shared" si="23"/>
        <v>0</v>
      </c>
      <c r="E220" s="404">
        <f t="shared" si="20"/>
        <v>2700.0000000000027</v>
      </c>
      <c r="F220" t="str">
        <f t="shared" si="24"/>
        <v/>
      </c>
    </row>
    <row r="221" spans="1:6">
      <c r="A221">
        <f t="shared" si="21"/>
        <v>213</v>
      </c>
      <c r="B221" s="11">
        <f>'More accurate Energy (Solar)'!B228</f>
        <v>0</v>
      </c>
      <c r="C221" s="404">
        <f t="shared" si="22"/>
        <v>0</v>
      </c>
      <c r="D221" s="404">
        <f t="shared" si="23"/>
        <v>0</v>
      </c>
      <c r="E221" s="404">
        <f t="shared" si="20"/>
        <v>2700.0000000000027</v>
      </c>
      <c r="F221" t="str">
        <f t="shared" si="24"/>
        <v/>
      </c>
    </row>
    <row r="222" spans="1:6">
      <c r="A222">
        <f t="shared" si="21"/>
        <v>214</v>
      </c>
      <c r="B222" s="11">
        <f>'More accurate Energy (Solar)'!B229</f>
        <v>0</v>
      </c>
      <c r="C222" s="404">
        <f t="shared" si="22"/>
        <v>0</v>
      </c>
      <c r="D222" s="404">
        <f t="shared" si="23"/>
        <v>0</v>
      </c>
      <c r="E222" s="404">
        <f t="shared" si="20"/>
        <v>2700.0000000000027</v>
      </c>
      <c r="F222" t="str">
        <f t="shared" si="24"/>
        <v/>
      </c>
    </row>
    <row r="223" spans="1:6">
      <c r="A223">
        <f t="shared" si="21"/>
        <v>215</v>
      </c>
      <c r="B223" s="11">
        <f>'More accurate Energy (Solar)'!B230</f>
        <v>0</v>
      </c>
      <c r="C223" s="404">
        <f t="shared" si="22"/>
        <v>0</v>
      </c>
      <c r="D223" s="404">
        <f t="shared" si="23"/>
        <v>0</v>
      </c>
      <c r="E223" s="404">
        <f t="shared" si="20"/>
        <v>2700.0000000000027</v>
      </c>
      <c r="F223" t="str">
        <f t="shared" si="24"/>
        <v/>
      </c>
    </row>
    <row r="224" spans="1:6">
      <c r="A224">
        <f t="shared" si="21"/>
        <v>216</v>
      </c>
      <c r="B224" s="11">
        <f>'More accurate Energy (Solar)'!B231</f>
        <v>0</v>
      </c>
      <c r="C224" s="404">
        <f t="shared" si="22"/>
        <v>0</v>
      </c>
      <c r="D224" s="404">
        <f t="shared" si="23"/>
        <v>0</v>
      </c>
      <c r="E224" s="404">
        <f t="shared" si="20"/>
        <v>2700.0000000000027</v>
      </c>
      <c r="F224" t="str">
        <f t="shared" si="24"/>
        <v/>
      </c>
    </row>
    <row r="225" spans="1:6">
      <c r="A225">
        <f t="shared" si="21"/>
        <v>217</v>
      </c>
      <c r="B225" s="11">
        <f>'More accurate Energy (Solar)'!B232</f>
        <v>0</v>
      </c>
      <c r="C225" s="404">
        <f t="shared" si="22"/>
        <v>0</v>
      </c>
      <c r="D225" s="404">
        <f t="shared" si="23"/>
        <v>0</v>
      </c>
      <c r="E225" s="404">
        <f t="shared" si="20"/>
        <v>2700.0000000000027</v>
      </c>
      <c r="F225" t="str">
        <f t="shared" si="24"/>
        <v/>
      </c>
    </row>
    <row r="226" spans="1:6">
      <c r="A226">
        <f t="shared" si="21"/>
        <v>218</v>
      </c>
      <c r="B226" s="11">
        <f>'More accurate Energy (Solar)'!B233</f>
        <v>0.22222222222222221</v>
      </c>
      <c r="C226" s="404">
        <f t="shared" si="22"/>
        <v>222.2222222222222</v>
      </c>
      <c r="D226" s="404">
        <f t="shared" si="23"/>
        <v>44.444444444444436</v>
      </c>
      <c r="E226" s="404">
        <f t="shared" si="20"/>
        <v>2744.4444444444471</v>
      </c>
      <c r="F226" t="str">
        <f t="shared" si="24"/>
        <v/>
      </c>
    </row>
    <row r="227" spans="1:6">
      <c r="A227">
        <f t="shared" si="21"/>
        <v>219</v>
      </c>
      <c r="B227" s="11">
        <f>'More accurate Energy (Solar)'!B234</f>
        <v>1.0138888888888888</v>
      </c>
      <c r="C227" s="404">
        <f t="shared" si="22"/>
        <v>1013.8888888888888</v>
      </c>
      <c r="D227" s="404">
        <f t="shared" si="23"/>
        <v>202.77777777777774</v>
      </c>
      <c r="E227" s="404">
        <f t="shared" si="20"/>
        <v>2947.2222222222249</v>
      </c>
      <c r="F227" t="str">
        <f t="shared" si="24"/>
        <v/>
      </c>
    </row>
    <row r="228" spans="1:6">
      <c r="A228">
        <f t="shared" si="21"/>
        <v>220</v>
      </c>
      <c r="B228" s="11">
        <f>'More accurate Energy (Solar)'!B235</f>
        <v>1.0416666666666667</v>
      </c>
      <c r="C228" s="404">
        <f t="shared" si="22"/>
        <v>1041.6666666666667</v>
      </c>
      <c r="D228" s="404">
        <f t="shared" si="23"/>
        <v>208.33333333333334</v>
      </c>
      <c r="E228" s="404">
        <f t="shared" si="20"/>
        <v>155.55555555555839</v>
      </c>
      <c r="F228">
        <f t="shared" si="24"/>
        <v>1</v>
      </c>
    </row>
    <row r="229" spans="1:6">
      <c r="A229">
        <f t="shared" si="21"/>
        <v>221</v>
      </c>
      <c r="B229" s="11">
        <f>'More accurate Energy (Solar)'!B236</f>
        <v>0.125</v>
      </c>
      <c r="C229" s="404">
        <f t="shared" si="22"/>
        <v>125</v>
      </c>
      <c r="D229" s="404">
        <f t="shared" si="23"/>
        <v>25</v>
      </c>
      <c r="E229" s="404">
        <f t="shared" si="20"/>
        <v>180.55555555555839</v>
      </c>
      <c r="F229" t="str">
        <f t="shared" si="24"/>
        <v/>
      </c>
    </row>
    <row r="230" spans="1:6">
      <c r="A230">
        <f t="shared" si="21"/>
        <v>222</v>
      </c>
      <c r="B230" s="11">
        <f>'More accurate Energy (Solar)'!B237</f>
        <v>0</v>
      </c>
      <c r="C230" s="404">
        <f t="shared" si="22"/>
        <v>0</v>
      </c>
      <c r="D230" s="404">
        <f t="shared" si="23"/>
        <v>0</v>
      </c>
      <c r="E230" s="404">
        <f t="shared" si="20"/>
        <v>180.55555555555839</v>
      </c>
      <c r="F230" t="str">
        <f t="shared" si="24"/>
        <v/>
      </c>
    </row>
    <row r="231" spans="1:6">
      <c r="A231">
        <f t="shared" si="21"/>
        <v>223</v>
      </c>
      <c r="B231" s="11">
        <f>'More accurate Energy (Solar)'!B238</f>
        <v>0</v>
      </c>
      <c r="C231" s="404">
        <f t="shared" si="22"/>
        <v>0</v>
      </c>
      <c r="D231" s="404">
        <f t="shared" si="23"/>
        <v>0</v>
      </c>
      <c r="E231" s="404">
        <f t="shared" si="20"/>
        <v>180.55555555555839</v>
      </c>
      <c r="F231" t="str">
        <f t="shared" si="24"/>
        <v/>
      </c>
    </row>
    <row r="232" spans="1:6">
      <c r="A232">
        <f t="shared" si="21"/>
        <v>224</v>
      </c>
      <c r="B232" s="11">
        <f>'More accurate Energy (Solar)'!B239</f>
        <v>0</v>
      </c>
      <c r="C232" s="404">
        <f t="shared" si="22"/>
        <v>0</v>
      </c>
      <c r="D232" s="404">
        <f t="shared" si="23"/>
        <v>0</v>
      </c>
      <c r="E232" s="404">
        <f t="shared" si="20"/>
        <v>180.55555555555839</v>
      </c>
      <c r="F232" t="str">
        <f t="shared" si="24"/>
        <v/>
      </c>
    </row>
    <row r="233" spans="1:6">
      <c r="A233">
        <f t="shared" si="21"/>
        <v>225</v>
      </c>
      <c r="B233" s="11">
        <f>'More accurate Energy (Solar)'!B240</f>
        <v>0</v>
      </c>
      <c r="C233" s="404">
        <f t="shared" si="22"/>
        <v>0</v>
      </c>
      <c r="D233" s="404">
        <f t="shared" si="23"/>
        <v>0</v>
      </c>
      <c r="E233" s="404">
        <f t="shared" si="20"/>
        <v>180.55555555555839</v>
      </c>
      <c r="F233" t="str">
        <f t="shared" si="24"/>
        <v/>
      </c>
    </row>
    <row r="234" spans="1:6">
      <c r="A234">
        <f t="shared" si="21"/>
        <v>226</v>
      </c>
      <c r="B234" s="11">
        <f>'More accurate Energy (Solar)'!B241</f>
        <v>0</v>
      </c>
      <c r="C234" s="404">
        <f t="shared" si="22"/>
        <v>0</v>
      </c>
      <c r="D234" s="404">
        <f t="shared" si="23"/>
        <v>0</v>
      </c>
      <c r="E234" s="404">
        <f t="shared" si="20"/>
        <v>180.55555555555839</v>
      </c>
      <c r="F234" t="str">
        <f t="shared" si="24"/>
        <v/>
      </c>
    </row>
    <row r="235" spans="1:6">
      <c r="A235">
        <f t="shared" si="21"/>
        <v>227</v>
      </c>
      <c r="B235" s="11">
        <f>'More accurate Energy (Solar)'!B242</f>
        <v>0</v>
      </c>
      <c r="C235" s="404">
        <f t="shared" si="22"/>
        <v>0</v>
      </c>
      <c r="D235" s="404">
        <f t="shared" si="23"/>
        <v>0</v>
      </c>
      <c r="E235" s="404">
        <f t="shared" si="20"/>
        <v>180.55555555555839</v>
      </c>
      <c r="F235" t="str">
        <f t="shared" si="24"/>
        <v/>
      </c>
    </row>
    <row r="236" spans="1:6">
      <c r="A236">
        <f t="shared" si="21"/>
        <v>228</v>
      </c>
      <c r="B236" s="11">
        <f>'More accurate Energy (Solar)'!B243</f>
        <v>0</v>
      </c>
      <c r="C236" s="404">
        <f t="shared" si="22"/>
        <v>0</v>
      </c>
      <c r="D236" s="404">
        <f t="shared" si="23"/>
        <v>0</v>
      </c>
      <c r="E236" s="404">
        <f t="shared" si="20"/>
        <v>180.55555555555839</v>
      </c>
      <c r="F236" t="str">
        <f t="shared" si="24"/>
        <v/>
      </c>
    </row>
    <row r="237" spans="1:6">
      <c r="A237">
        <f t="shared" si="21"/>
        <v>229</v>
      </c>
      <c r="B237" s="11">
        <f>'More accurate Energy (Solar)'!B244</f>
        <v>0</v>
      </c>
      <c r="C237" s="404">
        <f t="shared" si="22"/>
        <v>0</v>
      </c>
      <c r="D237" s="404">
        <f t="shared" si="23"/>
        <v>0</v>
      </c>
      <c r="E237" s="404">
        <f t="shared" si="20"/>
        <v>180.55555555555839</v>
      </c>
      <c r="F237" t="str">
        <f t="shared" si="24"/>
        <v/>
      </c>
    </row>
    <row r="238" spans="1:6">
      <c r="A238">
        <f t="shared" si="21"/>
        <v>230</v>
      </c>
      <c r="B238" s="11">
        <f>'More accurate Energy (Solar)'!B245</f>
        <v>0</v>
      </c>
      <c r="C238" s="404">
        <f t="shared" si="22"/>
        <v>0</v>
      </c>
      <c r="D238" s="404">
        <f t="shared" si="23"/>
        <v>0</v>
      </c>
      <c r="E238" s="404">
        <f t="shared" si="20"/>
        <v>180.55555555555839</v>
      </c>
      <c r="F238" t="str">
        <f t="shared" si="24"/>
        <v/>
      </c>
    </row>
    <row r="239" spans="1:6">
      <c r="A239">
        <f t="shared" si="21"/>
        <v>231</v>
      </c>
      <c r="B239" s="11">
        <f>'More accurate Energy (Solar)'!B246</f>
        <v>0</v>
      </c>
      <c r="C239" s="404">
        <f t="shared" si="22"/>
        <v>0</v>
      </c>
      <c r="D239" s="404">
        <f t="shared" si="23"/>
        <v>0</v>
      </c>
      <c r="E239" s="404">
        <f t="shared" si="20"/>
        <v>180.55555555555839</v>
      </c>
      <c r="F239" t="str">
        <f t="shared" si="24"/>
        <v/>
      </c>
    </row>
    <row r="240" spans="1:6">
      <c r="A240">
        <f t="shared" si="21"/>
        <v>232</v>
      </c>
      <c r="B240" s="11">
        <f>'More accurate Energy (Solar)'!B247</f>
        <v>0</v>
      </c>
      <c r="C240" s="404">
        <f t="shared" si="22"/>
        <v>0</v>
      </c>
      <c r="D240" s="404">
        <f t="shared" si="23"/>
        <v>0</v>
      </c>
      <c r="E240" s="404">
        <f t="shared" si="20"/>
        <v>180.55555555555839</v>
      </c>
      <c r="F240" t="str">
        <f t="shared" si="24"/>
        <v/>
      </c>
    </row>
    <row r="241" spans="1:6">
      <c r="A241">
        <f t="shared" si="21"/>
        <v>233</v>
      </c>
      <c r="B241" s="11">
        <f>'More accurate Energy (Solar)'!B248</f>
        <v>0</v>
      </c>
      <c r="C241" s="404">
        <f t="shared" si="22"/>
        <v>0</v>
      </c>
      <c r="D241" s="404">
        <f t="shared" si="23"/>
        <v>0</v>
      </c>
      <c r="E241" s="404">
        <f t="shared" si="20"/>
        <v>180.55555555555839</v>
      </c>
      <c r="F241" t="str">
        <f t="shared" si="24"/>
        <v/>
      </c>
    </row>
    <row r="242" spans="1:6">
      <c r="A242">
        <f t="shared" si="21"/>
        <v>234</v>
      </c>
      <c r="B242" s="11">
        <f>'More accurate Energy (Solar)'!B249</f>
        <v>0</v>
      </c>
      <c r="C242" s="404">
        <f t="shared" si="22"/>
        <v>0</v>
      </c>
      <c r="D242" s="404">
        <f t="shared" si="23"/>
        <v>0</v>
      </c>
      <c r="E242" s="404">
        <f t="shared" si="20"/>
        <v>180.55555555555839</v>
      </c>
      <c r="F242" t="str">
        <f t="shared" si="24"/>
        <v/>
      </c>
    </row>
    <row r="243" spans="1:6">
      <c r="A243">
        <f t="shared" si="21"/>
        <v>235</v>
      </c>
      <c r="B243" s="11">
        <f>'More accurate Energy (Solar)'!B250</f>
        <v>0</v>
      </c>
      <c r="C243" s="404">
        <f t="shared" si="22"/>
        <v>0</v>
      </c>
      <c r="D243" s="404">
        <f t="shared" si="23"/>
        <v>0</v>
      </c>
      <c r="E243" s="404">
        <f t="shared" si="20"/>
        <v>180.55555555555839</v>
      </c>
      <c r="F243" t="str">
        <f t="shared" si="24"/>
        <v/>
      </c>
    </row>
    <row r="244" spans="1:6">
      <c r="A244">
        <f t="shared" si="21"/>
        <v>236</v>
      </c>
      <c r="B244" s="11">
        <f>'More accurate Energy (Solar)'!B251</f>
        <v>0</v>
      </c>
      <c r="C244" s="404">
        <f t="shared" si="22"/>
        <v>0</v>
      </c>
      <c r="D244" s="404">
        <f t="shared" si="23"/>
        <v>0</v>
      </c>
      <c r="E244" s="404">
        <f t="shared" ref="E244:E307" si="25">IF(E243+D244 &gt; $B$4 * 1000,(E243+D244)-3000,E243 + D244)</f>
        <v>180.55555555555839</v>
      </c>
      <c r="F244" t="str">
        <f t="shared" si="24"/>
        <v/>
      </c>
    </row>
    <row r="245" spans="1:6">
      <c r="A245">
        <f t="shared" si="21"/>
        <v>237</v>
      </c>
      <c r="B245" s="11">
        <f>'More accurate Energy (Solar)'!B252</f>
        <v>0</v>
      </c>
      <c r="C245" s="404">
        <f t="shared" si="22"/>
        <v>0</v>
      </c>
      <c r="D245" s="404">
        <f t="shared" si="23"/>
        <v>0</v>
      </c>
      <c r="E245" s="404">
        <f t="shared" si="25"/>
        <v>180.55555555555839</v>
      </c>
      <c r="F245" t="str">
        <f t="shared" si="24"/>
        <v/>
      </c>
    </row>
    <row r="246" spans="1:6">
      <c r="A246">
        <f t="shared" si="21"/>
        <v>238</v>
      </c>
      <c r="B246" s="11">
        <f>'More accurate Energy (Solar)'!B253</f>
        <v>0</v>
      </c>
      <c r="C246" s="404">
        <f t="shared" si="22"/>
        <v>0</v>
      </c>
      <c r="D246" s="404">
        <f t="shared" si="23"/>
        <v>0</v>
      </c>
      <c r="E246" s="404">
        <f t="shared" si="25"/>
        <v>180.55555555555839</v>
      </c>
      <c r="F246" t="str">
        <f t="shared" si="24"/>
        <v/>
      </c>
    </row>
    <row r="247" spans="1:6">
      <c r="A247">
        <f t="shared" si="21"/>
        <v>239</v>
      </c>
      <c r="B247" s="11">
        <f>'More accurate Energy (Solar)'!B254</f>
        <v>0.19444444444444442</v>
      </c>
      <c r="C247" s="404">
        <f t="shared" si="22"/>
        <v>194.44444444444443</v>
      </c>
      <c r="D247" s="404">
        <f t="shared" si="23"/>
        <v>38.888888888888886</v>
      </c>
      <c r="E247" s="404">
        <f t="shared" si="25"/>
        <v>219.44444444444727</v>
      </c>
      <c r="F247" t="str">
        <f t="shared" si="24"/>
        <v/>
      </c>
    </row>
    <row r="248" spans="1:6">
      <c r="A248">
        <f t="shared" si="21"/>
        <v>240</v>
      </c>
      <c r="B248" s="11">
        <f>'More accurate Energy (Solar)'!B255</f>
        <v>0.72222222222222221</v>
      </c>
      <c r="C248" s="404">
        <f t="shared" si="22"/>
        <v>722.22222222222217</v>
      </c>
      <c r="D248" s="404">
        <f t="shared" si="23"/>
        <v>144.44444444444443</v>
      </c>
      <c r="E248" s="404">
        <f t="shared" si="25"/>
        <v>363.8888888888917</v>
      </c>
      <c r="F248" t="str">
        <f t="shared" si="24"/>
        <v/>
      </c>
    </row>
    <row r="249" spans="1:6">
      <c r="A249">
        <f t="shared" si="21"/>
        <v>241</v>
      </c>
      <c r="B249" s="11">
        <f>'More accurate Energy (Solar)'!B256</f>
        <v>1.0416666666666667</v>
      </c>
      <c r="C249" s="404">
        <f t="shared" si="22"/>
        <v>1041.6666666666667</v>
      </c>
      <c r="D249" s="404">
        <f t="shared" si="23"/>
        <v>208.33333333333334</v>
      </c>
      <c r="E249" s="404">
        <f t="shared" si="25"/>
        <v>572.22222222222501</v>
      </c>
      <c r="F249" t="str">
        <f t="shared" si="24"/>
        <v/>
      </c>
    </row>
    <row r="250" spans="1:6">
      <c r="A250">
        <f t="shared" si="21"/>
        <v>242</v>
      </c>
      <c r="B250" s="11">
        <f>'More accurate Energy (Solar)'!B257</f>
        <v>1.0416666666666667</v>
      </c>
      <c r="C250" s="404">
        <f t="shared" si="22"/>
        <v>1041.6666666666667</v>
      </c>
      <c r="D250" s="404">
        <f t="shared" si="23"/>
        <v>208.33333333333334</v>
      </c>
      <c r="E250" s="404">
        <f t="shared" si="25"/>
        <v>780.55555555555839</v>
      </c>
      <c r="F250" t="str">
        <f t="shared" si="24"/>
        <v/>
      </c>
    </row>
    <row r="251" spans="1:6">
      <c r="A251">
        <f t="shared" si="21"/>
        <v>243</v>
      </c>
      <c r="B251" s="11">
        <f>'More accurate Energy (Solar)'!B258</f>
        <v>0.41666666666666669</v>
      </c>
      <c r="C251" s="404">
        <f t="shared" si="22"/>
        <v>416.66666666666669</v>
      </c>
      <c r="D251" s="404">
        <f t="shared" si="23"/>
        <v>83.333333333333343</v>
      </c>
      <c r="E251" s="404">
        <f t="shared" si="25"/>
        <v>863.88888888889176</v>
      </c>
      <c r="F251" t="str">
        <f t="shared" si="24"/>
        <v/>
      </c>
    </row>
    <row r="252" spans="1:6">
      <c r="A252">
        <f t="shared" si="21"/>
        <v>244</v>
      </c>
      <c r="B252" s="11">
        <f>'More accurate Energy (Solar)'!B259</f>
        <v>1.0416666666666667</v>
      </c>
      <c r="C252" s="404">
        <f t="shared" si="22"/>
        <v>1041.6666666666667</v>
      </c>
      <c r="D252" s="404">
        <f t="shared" si="23"/>
        <v>208.33333333333334</v>
      </c>
      <c r="E252" s="404">
        <f t="shared" si="25"/>
        <v>1072.2222222222251</v>
      </c>
      <c r="F252" t="str">
        <f t="shared" si="24"/>
        <v/>
      </c>
    </row>
    <row r="253" spans="1:6">
      <c r="A253">
        <f t="shared" si="21"/>
        <v>245</v>
      </c>
      <c r="B253" s="11">
        <f>'More accurate Energy (Solar)'!B260</f>
        <v>5.5555555555555552E-2</v>
      </c>
      <c r="C253" s="404">
        <f t="shared" si="22"/>
        <v>55.55555555555555</v>
      </c>
      <c r="D253" s="404">
        <f t="shared" si="23"/>
        <v>11.111111111111109</v>
      </c>
      <c r="E253" s="404">
        <f t="shared" si="25"/>
        <v>1083.3333333333362</v>
      </c>
      <c r="F253" t="str">
        <f t="shared" si="24"/>
        <v/>
      </c>
    </row>
    <row r="254" spans="1:6">
      <c r="A254">
        <f t="shared" si="21"/>
        <v>246</v>
      </c>
      <c r="B254" s="11">
        <f>'More accurate Energy (Solar)'!B261</f>
        <v>0.16666666666666666</v>
      </c>
      <c r="C254" s="404">
        <f t="shared" si="22"/>
        <v>166.66666666666666</v>
      </c>
      <c r="D254" s="404">
        <f t="shared" si="23"/>
        <v>33.333333333333329</v>
      </c>
      <c r="E254" s="404">
        <f t="shared" si="25"/>
        <v>1116.6666666666695</v>
      </c>
      <c r="F254" t="str">
        <f t="shared" si="24"/>
        <v/>
      </c>
    </row>
    <row r="255" spans="1:6">
      <c r="A255">
        <f t="shared" si="21"/>
        <v>247</v>
      </c>
      <c r="B255" s="11">
        <f>'More accurate Energy (Solar)'!B262</f>
        <v>0</v>
      </c>
      <c r="C255" s="404">
        <f t="shared" si="22"/>
        <v>0</v>
      </c>
      <c r="D255" s="404">
        <f t="shared" si="23"/>
        <v>0</v>
      </c>
      <c r="E255" s="404">
        <f t="shared" si="25"/>
        <v>1116.6666666666695</v>
      </c>
      <c r="F255" t="str">
        <f t="shared" si="24"/>
        <v/>
      </c>
    </row>
    <row r="256" spans="1:6">
      <c r="A256">
        <f t="shared" si="21"/>
        <v>248</v>
      </c>
      <c r="B256" s="11">
        <f>'More accurate Energy (Solar)'!B263</f>
        <v>0.1111111111111111</v>
      </c>
      <c r="C256" s="404">
        <f t="shared" si="22"/>
        <v>111.1111111111111</v>
      </c>
      <c r="D256" s="404">
        <f t="shared" si="23"/>
        <v>22.222222222222218</v>
      </c>
      <c r="E256" s="404">
        <f t="shared" si="25"/>
        <v>1138.8888888888916</v>
      </c>
      <c r="F256" t="str">
        <f t="shared" si="24"/>
        <v/>
      </c>
    </row>
    <row r="257" spans="1:6">
      <c r="A257">
        <f t="shared" si="21"/>
        <v>249</v>
      </c>
      <c r="B257" s="11">
        <f>'More accurate Energy (Solar)'!B264</f>
        <v>0</v>
      </c>
      <c r="C257" s="404">
        <f t="shared" si="22"/>
        <v>0</v>
      </c>
      <c r="D257" s="404">
        <f t="shared" si="23"/>
        <v>0</v>
      </c>
      <c r="E257" s="404">
        <f t="shared" si="25"/>
        <v>1138.8888888888916</v>
      </c>
      <c r="F257" t="str">
        <f t="shared" si="24"/>
        <v/>
      </c>
    </row>
    <row r="258" spans="1:6">
      <c r="A258">
        <f t="shared" si="21"/>
        <v>250</v>
      </c>
      <c r="B258" s="11">
        <f>'More accurate Energy (Solar)'!B265</f>
        <v>1.0416666666666667</v>
      </c>
      <c r="C258" s="404">
        <f t="shared" si="22"/>
        <v>1041.6666666666667</v>
      </c>
      <c r="D258" s="404">
        <f t="shared" si="23"/>
        <v>208.33333333333334</v>
      </c>
      <c r="E258" s="404">
        <f t="shared" si="25"/>
        <v>1347.2222222222249</v>
      </c>
      <c r="F258" t="str">
        <f t="shared" si="24"/>
        <v/>
      </c>
    </row>
    <row r="259" spans="1:6">
      <c r="A259">
        <f t="shared" si="21"/>
        <v>251</v>
      </c>
      <c r="B259" s="11">
        <f>'More accurate Energy (Solar)'!B266</f>
        <v>0.90277777777777779</v>
      </c>
      <c r="C259" s="404">
        <f t="shared" si="22"/>
        <v>902.77777777777783</v>
      </c>
      <c r="D259" s="404">
        <f t="shared" si="23"/>
        <v>180.55555555555557</v>
      </c>
      <c r="E259" s="404">
        <f t="shared" si="25"/>
        <v>1527.7777777777806</v>
      </c>
      <c r="F259" t="str">
        <f t="shared" si="24"/>
        <v/>
      </c>
    </row>
    <row r="260" spans="1:6">
      <c r="A260">
        <f t="shared" si="21"/>
        <v>252</v>
      </c>
      <c r="B260" s="11">
        <f>'More accurate Energy (Solar)'!B267</f>
        <v>9.722222222222221E-2</v>
      </c>
      <c r="C260" s="404">
        <f t="shared" si="22"/>
        <v>97.222222222222214</v>
      </c>
      <c r="D260" s="404">
        <f t="shared" si="23"/>
        <v>19.444444444444443</v>
      </c>
      <c r="E260" s="404">
        <f t="shared" si="25"/>
        <v>1547.2222222222249</v>
      </c>
      <c r="F260" t="str">
        <f t="shared" si="24"/>
        <v/>
      </c>
    </row>
    <row r="261" spans="1:6">
      <c r="A261">
        <f t="shared" si="21"/>
        <v>253</v>
      </c>
      <c r="B261" s="11">
        <f>'More accurate Energy (Solar)'!B268</f>
        <v>0</v>
      </c>
      <c r="C261" s="404">
        <f t="shared" si="22"/>
        <v>0</v>
      </c>
      <c r="D261" s="404">
        <f t="shared" si="23"/>
        <v>0</v>
      </c>
      <c r="E261" s="404">
        <f t="shared" si="25"/>
        <v>1547.2222222222249</v>
      </c>
      <c r="F261" t="str">
        <f t="shared" si="24"/>
        <v/>
      </c>
    </row>
    <row r="262" spans="1:6">
      <c r="A262">
        <f t="shared" si="21"/>
        <v>254</v>
      </c>
      <c r="B262" s="11">
        <f>'More accurate Energy (Solar)'!B269</f>
        <v>0</v>
      </c>
      <c r="C262" s="404">
        <f t="shared" si="22"/>
        <v>0</v>
      </c>
      <c r="D262" s="404">
        <f t="shared" si="23"/>
        <v>0</v>
      </c>
      <c r="E262" s="404">
        <f t="shared" si="25"/>
        <v>1547.2222222222249</v>
      </c>
      <c r="F262" t="str">
        <f t="shared" si="24"/>
        <v/>
      </c>
    </row>
    <row r="263" spans="1:6">
      <c r="A263">
        <f t="shared" si="21"/>
        <v>255</v>
      </c>
      <c r="B263" s="11">
        <f>'More accurate Energy (Solar)'!B270</f>
        <v>0</v>
      </c>
      <c r="C263" s="404">
        <f t="shared" si="22"/>
        <v>0</v>
      </c>
      <c r="D263" s="404">
        <f t="shared" si="23"/>
        <v>0</v>
      </c>
      <c r="E263" s="404">
        <f t="shared" si="25"/>
        <v>1547.2222222222249</v>
      </c>
      <c r="F263" t="str">
        <f t="shared" si="24"/>
        <v/>
      </c>
    </row>
    <row r="264" spans="1:6">
      <c r="A264">
        <f t="shared" si="21"/>
        <v>256</v>
      </c>
      <c r="B264" s="11">
        <f>'More accurate Energy (Solar)'!B271</f>
        <v>0</v>
      </c>
      <c r="C264" s="404">
        <f t="shared" si="22"/>
        <v>0</v>
      </c>
      <c r="D264" s="404">
        <f t="shared" si="23"/>
        <v>0</v>
      </c>
      <c r="E264" s="404">
        <f t="shared" si="25"/>
        <v>1547.2222222222249</v>
      </c>
      <c r="F264" t="str">
        <f t="shared" si="24"/>
        <v/>
      </c>
    </row>
    <row r="265" spans="1:6">
      <c r="A265">
        <f t="shared" si="21"/>
        <v>257</v>
      </c>
      <c r="B265" s="11">
        <f>'More accurate Energy (Solar)'!B272</f>
        <v>0</v>
      </c>
      <c r="C265" s="404">
        <f t="shared" si="22"/>
        <v>0</v>
      </c>
      <c r="D265" s="404">
        <f t="shared" si="23"/>
        <v>0</v>
      </c>
      <c r="E265" s="404">
        <f t="shared" si="25"/>
        <v>1547.2222222222249</v>
      </c>
      <c r="F265" t="str">
        <f t="shared" si="24"/>
        <v/>
      </c>
    </row>
    <row r="266" spans="1:6">
      <c r="A266">
        <f t="shared" ref="A266:A329" si="26">A265+1</f>
        <v>258</v>
      </c>
      <c r="B266" s="11">
        <f>'More accurate Energy (Solar)'!B273</f>
        <v>0.1388888888888889</v>
      </c>
      <c r="C266" s="404">
        <f t="shared" ref="C266:C329" si="27">B266 * 1000</f>
        <v>138.88888888888889</v>
      </c>
      <c r="D266" s="404">
        <f t="shared" ref="D266:D329" si="28">C266*$B$3*$B$1/$B$2/1000</f>
        <v>27.777777777777775</v>
      </c>
      <c r="E266" s="404">
        <f t="shared" si="25"/>
        <v>1575.0000000000027</v>
      </c>
      <c r="F266" t="str">
        <f t="shared" si="24"/>
        <v/>
      </c>
    </row>
    <row r="267" spans="1:6">
      <c r="A267">
        <f t="shared" si="26"/>
        <v>259</v>
      </c>
      <c r="B267" s="11">
        <f>'More accurate Energy (Solar)'!B274</f>
        <v>0.27777777777777779</v>
      </c>
      <c r="C267" s="404">
        <f t="shared" si="27"/>
        <v>277.77777777777777</v>
      </c>
      <c r="D267" s="404">
        <f t="shared" si="28"/>
        <v>55.55555555555555</v>
      </c>
      <c r="E267" s="404">
        <f t="shared" si="25"/>
        <v>1630.5555555555584</v>
      </c>
      <c r="F267" t="str">
        <f t="shared" ref="F267:F330" si="29">IF(E267 &lt; E266, 1, "")</f>
        <v/>
      </c>
    </row>
    <row r="268" spans="1:6">
      <c r="A268">
        <f t="shared" si="26"/>
        <v>260</v>
      </c>
      <c r="B268" s="11">
        <f>'More accurate Energy (Solar)'!B275</f>
        <v>0.19444444444444442</v>
      </c>
      <c r="C268" s="404">
        <f t="shared" si="27"/>
        <v>194.44444444444443</v>
      </c>
      <c r="D268" s="404">
        <f t="shared" si="28"/>
        <v>38.888888888888886</v>
      </c>
      <c r="E268" s="404">
        <f t="shared" si="25"/>
        <v>1669.4444444444473</v>
      </c>
      <c r="F268" t="str">
        <f t="shared" si="29"/>
        <v/>
      </c>
    </row>
    <row r="269" spans="1:6">
      <c r="A269">
        <f t="shared" si="26"/>
        <v>261</v>
      </c>
      <c r="B269" s="11">
        <f>'More accurate Energy (Solar)'!B276</f>
        <v>1.0416666666666667</v>
      </c>
      <c r="C269" s="404">
        <f t="shared" si="27"/>
        <v>1041.6666666666667</v>
      </c>
      <c r="D269" s="404">
        <f t="shared" si="28"/>
        <v>208.33333333333334</v>
      </c>
      <c r="E269" s="404">
        <f t="shared" si="25"/>
        <v>1877.7777777777806</v>
      </c>
      <c r="F269" t="str">
        <f t="shared" si="29"/>
        <v/>
      </c>
    </row>
    <row r="270" spans="1:6">
      <c r="A270">
        <f t="shared" si="26"/>
        <v>262</v>
      </c>
      <c r="B270" s="11">
        <f>'More accurate Energy (Solar)'!B277</f>
        <v>1.0416666666666667</v>
      </c>
      <c r="C270" s="404">
        <f t="shared" si="27"/>
        <v>1041.6666666666667</v>
      </c>
      <c r="D270" s="404">
        <f t="shared" si="28"/>
        <v>208.33333333333334</v>
      </c>
      <c r="E270" s="404">
        <f t="shared" si="25"/>
        <v>2086.111111111114</v>
      </c>
      <c r="F270" t="str">
        <f t="shared" si="29"/>
        <v/>
      </c>
    </row>
    <row r="271" spans="1:6">
      <c r="A271">
        <f t="shared" si="26"/>
        <v>263</v>
      </c>
      <c r="B271" s="11">
        <f>'More accurate Energy (Solar)'!B278</f>
        <v>9.722222222222221E-2</v>
      </c>
      <c r="C271" s="404">
        <f t="shared" si="27"/>
        <v>97.222222222222214</v>
      </c>
      <c r="D271" s="404">
        <f t="shared" si="28"/>
        <v>19.444444444444443</v>
      </c>
      <c r="E271" s="404">
        <f t="shared" si="25"/>
        <v>2105.5555555555584</v>
      </c>
      <c r="F271" t="str">
        <f t="shared" si="29"/>
        <v/>
      </c>
    </row>
    <row r="272" spans="1:6">
      <c r="A272">
        <f t="shared" si="26"/>
        <v>264</v>
      </c>
      <c r="B272" s="11">
        <f>'More accurate Energy (Solar)'!B279</f>
        <v>0.29166666666666674</v>
      </c>
      <c r="C272" s="404">
        <f t="shared" si="27"/>
        <v>291.66666666666674</v>
      </c>
      <c r="D272" s="404">
        <f t="shared" si="28"/>
        <v>58.33333333333335</v>
      </c>
      <c r="E272" s="404">
        <f t="shared" si="25"/>
        <v>2163.8888888888919</v>
      </c>
      <c r="F272" t="str">
        <f t="shared" si="29"/>
        <v/>
      </c>
    </row>
    <row r="273" spans="1:6">
      <c r="A273">
        <f t="shared" si="26"/>
        <v>265</v>
      </c>
      <c r="B273" s="11">
        <f>'More accurate Energy (Solar)'!B280</f>
        <v>1.0416666666666667</v>
      </c>
      <c r="C273" s="404">
        <f t="shared" si="27"/>
        <v>1041.6666666666667</v>
      </c>
      <c r="D273" s="404">
        <f t="shared" si="28"/>
        <v>208.33333333333334</v>
      </c>
      <c r="E273" s="404">
        <f t="shared" si="25"/>
        <v>2372.2222222222254</v>
      </c>
      <c r="F273" t="str">
        <f t="shared" si="29"/>
        <v/>
      </c>
    </row>
    <row r="274" spans="1:6">
      <c r="A274">
        <f t="shared" si="26"/>
        <v>266</v>
      </c>
      <c r="B274" s="11">
        <f>'More accurate Energy (Solar)'!B281</f>
        <v>1.0416666666666667</v>
      </c>
      <c r="C274" s="404">
        <f t="shared" si="27"/>
        <v>1041.6666666666667</v>
      </c>
      <c r="D274" s="404">
        <f t="shared" si="28"/>
        <v>208.33333333333334</v>
      </c>
      <c r="E274" s="404">
        <f t="shared" si="25"/>
        <v>2580.5555555555588</v>
      </c>
      <c r="F274" t="str">
        <f t="shared" si="29"/>
        <v/>
      </c>
    </row>
    <row r="275" spans="1:6">
      <c r="A275">
        <f t="shared" si="26"/>
        <v>267</v>
      </c>
      <c r="B275" s="11">
        <f>'More accurate Energy (Solar)'!B282</f>
        <v>0.81944444444444453</v>
      </c>
      <c r="C275" s="404">
        <f t="shared" si="27"/>
        <v>819.44444444444457</v>
      </c>
      <c r="D275" s="404">
        <f t="shared" si="28"/>
        <v>163.88888888888891</v>
      </c>
      <c r="E275" s="404">
        <f t="shared" si="25"/>
        <v>2744.444444444448</v>
      </c>
      <c r="F275" t="str">
        <f t="shared" si="29"/>
        <v/>
      </c>
    </row>
    <row r="276" spans="1:6">
      <c r="A276">
        <f t="shared" si="26"/>
        <v>268</v>
      </c>
      <c r="B276" s="11">
        <f>'More accurate Energy (Solar)'!B283</f>
        <v>0.1111111111111111</v>
      </c>
      <c r="C276" s="404">
        <f t="shared" si="27"/>
        <v>111.1111111111111</v>
      </c>
      <c r="D276" s="404">
        <f t="shared" si="28"/>
        <v>22.222222222222218</v>
      </c>
      <c r="E276" s="404">
        <f t="shared" si="25"/>
        <v>2766.6666666666702</v>
      </c>
      <c r="F276" t="str">
        <f t="shared" si="29"/>
        <v/>
      </c>
    </row>
    <row r="277" spans="1:6">
      <c r="A277">
        <f t="shared" si="26"/>
        <v>269</v>
      </c>
      <c r="B277" s="11">
        <f>'More accurate Energy (Solar)'!B284</f>
        <v>0</v>
      </c>
      <c r="C277" s="404">
        <f t="shared" si="27"/>
        <v>0</v>
      </c>
      <c r="D277" s="404">
        <f t="shared" si="28"/>
        <v>0</v>
      </c>
      <c r="E277" s="404">
        <f t="shared" si="25"/>
        <v>2766.6666666666702</v>
      </c>
      <c r="F277" t="str">
        <f t="shared" si="29"/>
        <v/>
      </c>
    </row>
    <row r="278" spans="1:6">
      <c r="A278">
        <f t="shared" si="26"/>
        <v>270</v>
      </c>
      <c r="B278" s="11">
        <f>'More accurate Energy (Solar)'!B285</f>
        <v>0</v>
      </c>
      <c r="C278" s="404">
        <f t="shared" si="27"/>
        <v>0</v>
      </c>
      <c r="D278" s="404">
        <f t="shared" si="28"/>
        <v>0</v>
      </c>
      <c r="E278" s="404">
        <f t="shared" si="25"/>
        <v>2766.6666666666702</v>
      </c>
      <c r="F278" t="str">
        <f t="shared" si="29"/>
        <v/>
      </c>
    </row>
    <row r="279" spans="1:6">
      <c r="A279">
        <f t="shared" si="26"/>
        <v>271</v>
      </c>
      <c r="B279" s="11">
        <f>'More accurate Energy (Solar)'!B286</f>
        <v>0</v>
      </c>
      <c r="C279" s="404">
        <f t="shared" si="27"/>
        <v>0</v>
      </c>
      <c r="D279" s="404">
        <f t="shared" si="28"/>
        <v>0</v>
      </c>
      <c r="E279" s="404">
        <f t="shared" si="25"/>
        <v>2766.6666666666702</v>
      </c>
      <c r="F279" t="str">
        <f t="shared" si="29"/>
        <v/>
      </c>
    </row>
    <row r="280" spans="1:6">
      <c r="A280">
        <f t="shared" si="26"/>
        <v>272</v>
      </c>
      <c r="B280" s="11">
        <f>'More accurate Energy (Solar)'!B287</f>
        <v>0</v>
      </c>
      <c r="C280" s="404">
        <f t="shared" si="27"/>
        <v>0</v>
      </c>
      <c r="D280" s="404">
        <f t="shared" si="28"/>
        <v>0</v>
      </c>
      <c r="E280" s="404">
        <f t="shared" si="25"/>
        <v>2766.6666666666702</v>
      </c>
      <c r="F280" t="str">
        <f t="shared" si="29"/>
        <v/>
      </c>
    </row>
    <row r="281" spans="1:6">
      <c r="A281">
        <f t="shared" si="26"/>
        <v>273</v>
      </c>
      <c r="B281" s="11">
        <f>'More accurate Energy (Solar)'!B288</f>
        <v>0</v>
      </c>
      <c r="C281" s="404">
        <f t="shared" si="27"/>
        <v>0</v>
      </c>
      <c r="D281" s="404">
        <f t="shared" si="28"/>
        <v>0</v>
      </c>
      <c r="E281" s="404">
        <f t="shared" si="25"/>
        <v>2766.6666666666702</v>
      </c>
      <c r="F281" t="str">
        <f t="shared" si="29"/>
        <v/>
      </c>
    </row>
    <row r="282" spans="1:6">
      <c r="A282">
        <f t="shared" si="26"/>
        <v>274</v>
      </c>
      <c r="B282" s="11">
        <f>'More accurate Energy (Solar)'!B289</f>
        <v>0</v>
      </c>
      <c r="C282" s="404">
        <f t="shared" si="27"/>
        <v>0</v>
      </c>
      <c r="D282" s="404">
        <f t="shared" si="28"/>
        <v>0</v>
      </c>
      <c r="E282" s="404">
        <f t="shared" si="25"/>
        <v>2766.6666666666702</v>
      </c>
      <c r="F282" t="str">
        <f t="shared" si="29"/>
        <v/>
      </c>
    </row>
    <row r="283" spans="1:6">
      <c r="A283">
        <f t="shared" si="26"/>
        <v>275</v>
      </c>
      <c r="B283" s="11">
        <f>'More accurate Energy (Solar)'!B290</f>
        <v>0</v>
      </c>
      <c r="C283" s="404">
        <f t="shared" si="27"/>
        <v>0</v>
      </c>
      <c r="D283" s="404">
        <f t="shared" si="28"/>
        <v>0</v>
      </c>
      <c r="E283" s="404">
        <f t="shared" si="25"/>
        <v>2766.6666666666702</v>
      </c>
      <c r="F283" t="str">
        <f t="shared" si="29"/>
        <v/>
      </c>
    </row>
    <row r="284" spans="1:6">
      <c r="A284">
        <f t="shared" si="26"/>
        <v>276</v>
      </c>
      <c r="B284" s="11">
        <f>'More accurate Energy (Solar)'!B291</f>
        <v>0</v>
      </c>
      <c r="C284" s="404">
        <f t="shared" si="27"/>
        <v>0</v>
      </c>
      <c r="D284" s="404">
        <f t="shared" si="28"/>
        <v>0</v>
      </c>
      <c r="E284" s="404">
        <f t="shared" si="25"/>
        <v>2766.6666666666702</v>
      </c>
      <c r="F284" t="str">
        <f t="shared" si="29"/>
        <v/>
      </c>
    </row>
    <row r="285" spans="1:6">
      <c r="A285">
        <f t="shared" si="26"/>
        <v>277</v>
      </c>
      <c r="B285" s="11">
        <f>'More accurate Energy (Solar)'!B292</f>
        <v>0</v>
      </c>
      <c r="C285" s="404">
        <f t="shared" si="27"/>
        <v>0</v>
      </c>
      <c r="D285" s="404">
        <f t="shared" si="28"/>
        <v>0</v>
      </c>
      <c r="E285" s="404">
        <f t="shared" si="25"/>
        <v>2766.6666666666702</v>
      </c>
      <c r="F285" t="str">
        <f t="shared" si="29"/>
        <v/>
      </c>
    </row>
    <row r="286" spans="1:6">
      <c r="A286">
        <f t="shared" si="26"/>
        <v>278</v>
      </c>
      <c r="B286" s="11">
        <f>'More accurate Energy (Solar)'!B293</f>
        <v>0</v>
      </c>
      <c r="C286" s="404">
        <f t="shared" si="27"/>
        <v>0</v>
      </c>
      <c r="D286" s="404">
        <f t="shared" si="28"/>
        <v>0</v>
      </c>
      <c r="E286" s="404">
        <f t="shared" si="25"/>
        <v>2766.6666666666702</v>
      </c>
      <c r="F286" t="str">
        <f t="shared" si="29"/>
        <v/>
      </c>
    </row>
    <row r="287" spans="1:6">
      <c r="A287">
        <f t="shared" si="26"/>
        <v>279</v>
      </c>
      <c r="B287" s="11">
        <f>'More accurate Energy (Solar)'!B294</f>
        <v>0.27777777777777779</v>
      </c>
      <c r="C287" s="404">
        <f t="shared" si="27"/>
        <v>277.77777777777777</v>
      </c>
      <c r="D287" s="404">
        <f t="shared" si="28"/>
        <v>55.55555555555555</v>
      </c>
      <c r="E287" s="404">
        <f t="shared" si="25"/>
        <v>2822.2222222222258</v>
      </c>
      <c r="F287" t="str">
        <f t="shared" si="29"/>
        <v/>
      </c>
    </row>
    <row r="288" spans="1:6">
      <c r="A288">
        <f t="shared" si="26"/>
        <v>280</v>
      </c>
      <c r="B288" s="11">
        <f>'More accurate Energy (Solar)'!B295</f>
        <v>1.0416666666666667</v>
      </c>
      <c r="C288" s="404">
        <f t="shared" si="27"/>
        <v>1041.6666666666667</v>
      </c>
      <c r="D288" s="404">
        <f t="shared" si="28"/>
        <v>208.33333333333334</v>
      </c>
      <c r="E288" s="404">
        <f t="shared" si="25"/>
        <v>30.555555555559295</v>
      </c>
      <c r="F288">
        <f t="shared" si="29"/>
        <v>1</v>
      </c>
    </row>
    <row r="289" spans="1:6">
      <c r="A289">
        <f t="shared" si="26"/>
        <v>281</v>
      </c>
      <c r="B289" s="11">
        <f>'More accurate Energy (Solar)'!B296</f>
        <v>0.63888888888888884</v>
      </c>
      <c r="C289" s="404">
        <f t="shared" si="27"/>
        <v>638.8888888888888</v>
      </c>
      <c r="D289" s="404">
        <f t="shared" si="28"/>
        <v>127.77777777777779</v>
      </c>
      <c r="E289" s="404">
        <f t="shared" si="25"/>
        <v>158.33333333333707</v>
      </c>
      <c r="F289" t="str">
        <f t="shared" si="29"/>
        <v/>
      </c>
    </row>
    <row r="290" spans="1:6">
      <c r="A290">
        <f t="shared" si="26"/>
        <v>282</v>
      </c>
      <c r="B290" s="11">
        <f>'More accurate Energy (Solar)'!B297</f>
        <v>1.0416666666666667</v>
      </c>
      <c r="C290" s="404">
        <f t="shared" si="27"/>
        <v>1041.6666666666667</v>
      </c>
      <c r="D290" s="404">
        <f t="shared" si="28"/>
        <v>208.33333333333334</v>
      </c>
      <c r="E290" s="404">
        <f t="shared" si="25"/>
        <v>366.66666666667038</v>
      </c>
      <c r="F290" t="str">
        <f t="shared" si="29"/>
        <v/>
      </c>
    </row>
    <row r="291" spans="1:6">
      <c r="A291">
        <f t="shared" si="26"/>
        <v>283</v>
      </c>
      <c r="B291" s="11">
        <f>'More accurate Energy (Solar)'!B298</f>
        <v>1.0416666666666667</v>
      </c>
      <c r="C291" s="404">
        <f t="shared" si="27"/>
        <v>1041.6666666666667</v>
      </c>
      <c r="D291" s="404">
        <f t="shared" si="28"/>
        <v>208.33333333333334</v>
      </c>
      <c r="E291" s="404">
        <f t="shared" si="25"/>
        <v>575.00000000000375</v>
      </c>
      <c r="F291" t="str">
        <f t="shared" si="29"/>
        <v/>
      </c>
    </row>
    <row r="292" spans="1:6">
      <c r="A292">
        <f t="shared" si="26"/>
        <v>284</v>
      </c>
      <c r="B292" s="11">
        <f>'More accurate Energy (Solar)'!B299</f>
        <v>1.0416666666666667</v>
      </c>
      <c r="C292" s="404">
        <f t="shared" si="27"/>
        <v>1041.6666666666667</v>
      </c>
      <c r="D292" s="404">
        <f t="shared" si="28"/>
        <v>208.33333333333334</v>
      </c>
      <c r="E292" s="404">
        <f t="shared" si="25"/>
        <v>783.33333333333712</v>
      </c>
      <c r="F292" t="str">
        <f t="shared" si="29"/>
        <v/>
      </c>
    </row>
    <row r="293" spans="1:6">
      <c r="A293">
        <f t="shared" si="26"/>
        <v>285</v>
      </c>
      <c r="B293" s="11">
        <f>'More accurate Energy (Solar)'!B300</f>
        <v>5.5555555555555552E-2</v>
      </c>
      <c r="C293" s="404">
        <f t="shared" si="27"/>
        <v>55.55555555555555</v>
      </c>
      <c r="D293" s="404">
        <f t="shared" si="28"/>
        <v>11.111111111111109</v>
      </c>
      <c r="E293" s="404">
        <f t="shared" si="25"/>
        <v>794.44444444444821</v>
      </c>
      <c r="F293" t="str">
        <f t="shared" si="29"/>
        <v/>
      </c>
    </row>
    <row r="294" spans="1:6">
      <c r="A294">
        <f t="shared" si="26"/>
        <v>286</v>
      </c>
      <c r="B294" s="11">
        <f>'More accurate Energy (Solar)'!B301</f>
        <v>4.1666666666666664E-2</v>
      </c>
      <c r="C294" s="404">
        <f t="shared" si="27"/>
        <v>41.666666666666664</v>
      </c>
      <c r="D294" s="404">
        <f t="shared" si="28"/>
        <v>8.3333333333333321</v>
      </c>
      <c r="E294" s="404">
        <f t="shared" si="25"/>
        <v>802.77777777778158</v>
      </c>
      <c r="F294" t="str">
        <f t="shared" si="29"/>
        <v/>
      </c>
    </row>
    <row r="295" spans="1:6">
      <c r="A295">
        <f t="shared" si="26"/>
        <v>287</v>
      </c>
      <c r="B295" s="11">
        <f>'More accurate Energy (Solar)'!B302</f>
        <v>0</v>
      </c>
      <c r="C295" s="404">
        <f t="shared" si="27"/>
        <v>0</v>
      </c>
      <c r="D295" s="404">
        <f t="shared" si="28"/>
        <v>0</v>
      </c>
      <c r="E295" s="404">
        <f t="shared" si="25"/>
        <v>802.77777777778158</v>
      </c>
      <c r="F295" t="str">
        <f t="shared" si="29"/>
        <v/>
      </c>
    </row>
    <row r="296" spans="1:6">
      <c r="A296">
        <f t="shared" si="26"/>
        <v>288</v>
      </c>
      <c r="B296" s="11">
        <f>'More accurate Energy (Solar)'!B303</f>
        <v>0</v>
      </c>
      <c r="C296" s="404">
        <f t="shared" si="27"/>
        <v>0</v>
      </c>
      <c r="D296" s="404">
        <f t="shared" si="28"/>
        <v>0</v>
      </c>
      <c r="E296" s="404">
        <f t="shared" si="25"/>
        <v>802.77777777778158</v>
      </c>
      <c r="F296" t="str">
        <f t="shared" si="29"/>
        <v/>
      </c>
    </row>
    <row r="297" spans="1:6">
      <c r="A297">
        <f t="shared" si="26"/>
        <v>289</v>
      </c>
      <c r="B297" s="11">
        <f>'More accurate Energy (Solar)'!B304</f>
        <v>0.98611111111111116</v>
      </c>
      <c r="C297" s="404">
        <f t="shared" si="27"/>
        <v>986.1111111111112</v>
      </c>
      <c r="D297" s="404">
        <f t="shared" si="28"/>
        <v>197.22222222222226</v>
      </c>
      <c r="E297" s="404">
        <f t="shared" si="25"/>
        <v>1000.0000000000039</v>
      </c>
      <c r="F297" t="str">
        <f t="shared" si="29"/>
        <v/>
      </c>
    </row>
    <row r="298" spans="1:6">
      <c r="A298">
        <f t="shared" si="26"/>
        <v>290</v>
      </c>
      <c r="B298" s="11">
        <f>'More accurate Energy (Solar)'!B305</f>
        <v>0.44444444444444442</v>
      </c>
      <c r="C298" s="404">
        <f t="shared" si="27"/>
        <v>444.4444444444444</v>
      </c>
      <c r="D298" s="404">
        <f t="shared" si="28"/>
        <v>88.888888888888872</v>
      </c>
      <c r="E298" s="404">
        <f t="shared" si="25"/>
        <v>1088.8888888888928</v>
      </c>
      <c r="F298" t="str">
        <f t="shared" si="29"/>
        <v/>
      </c>
    </row>
    <row r="299" spans="1:6">
      <c r="A299">
        <f t="shared" si="26"/>
        <v>291</v>
      </c>
      <c r="B299" s="11">
        <f>'More accurate Energy (Solar)'!B306</f>
        <v>1.0416666666666667</v>
      </c>
      <c r="C299" s="404">
        <f t="shared" si="27"/>
        <v>1041.6666666666667</v>
      </c>
      <c r="D299" s="404">
        <f t="shared" si="28"/>
        <v>208.33333333333334</v>
      </c>
      <c r="E299" s="404">
        <f t="shared" si="25"/>
        <v>1297.222222222226</v>
      </c>
      <c r="F299" t="str">
        <f t="shared" si="29"/>
        <v/>
      </c>
    </row>
    <row r="300" spans="1:6">
      <c r="A300">
        <f t="shared" si="26"/>
        <v>292</v>
      </c>
      <c r="B300" s="11">
        <f>'More accurate Energy (Solar)'!B307</f>
        <v>4.1666666666666664E-2</v>
      </c>
      <c r="C300" s="404">
        <f t="shared" si="27"/>
        <v>41.666666666666664</v>
      </c>
      <c r="D300" s="404">
        <f t="shared" si="28"/>
        <v>8.3333333333333321</v>
      </c>
      <c r="E300" s="404">
        <f t="shared" si="25"/>
        <v>1305.5555555555593</v>
      </c>
      <c r="F300" t="str">
        <f t="shared" si="29"/>
        <v/>
      </c>
    </row>
    <row r="301" spans="1:6">
      <c r="A301">
        <f t="shared" si="26"/>
        <v>293</v>
      </c>
      <c r="B301" s="11">
        <f>'More accurate Energy (Solar)'!B308</f>
        <v>0.70833333333333326</v>
      </c>
      <c r="C301" s="404">
        <f t="shared" si="27"/>
        <v>708.33333333333326</v>
      </c>
      <c r="D301" s="404">
        <f t="shared" si="28"/>
        <v>141.66666666666666</v>
      </c>
      <c r="E301" s="404">
        <f t="shared" si="25"/>
        <v>1447.222222222226</v>
      </c>
      <c r="F301" t="str">
        <f t="shared" si="29"/>
        <v/>
      </c>
    </row>
    <row r="302" spans="1:6">
      <c r="A302">
        <f t="shared" si="26"/>
        <v>294</v>
      </c>
      <c r="B302" s="11">
        <f>'More accurate Energy (Solar)'!B309</f>
        <v>0.27777777777777779</v>
      </c>
      <c r="C302" s="404">
        <f t="shared" si="27"/>
        <v>277.77777777777777</v>
      </c>
      <c r="D302" s="404">
        <f t="shared" si="28"/>
        <v>55.55555555555555</v>
      </c>
      <c r="E302" s="404">
        <f t="shared" si="25"/>
        <v>1502.7777777777817</v>
      </c>
      <c r="F302" t="str">
        <f t="shared" si="29"/>
        <v/>
      </c>
    </row>
    <row r="303" spans="1:6">
      <c r="A303">
        <f t="shared" si="26"/>
        <v>295</v>
      </c>
      <c r="B303" s="11">
        <f>'More accurate Energy (Solar)'!B310</f>
        <v>0.68055555555555569</v>
      </c>
      <c r="C303" s="404">
        <f t="shared" si="27"/>
        <v>680.55555555555566</v>
      </c>
      <c r="D303" s="404">
        <f t="shared" si="28"/>
        <v>136.11111111111111</v>
      </c>
      <c r="E303" s="404">
        <f t="shared" si="25"/>
        <v>1638.8888888888928</v>
      </c>
      <c r="F303" t="str">
        <f t="shared" si="29"/>
        <v/>
      </c>
    </row>
    <row r="304" spans="1:6">
      <c r="A304">
        <f t="shared" si="26"/>
        <v>296</v>
      </c>
      <c r="B304" s="11">
        <f>'More accurate Energy (Solar)'!B311</f>
        <v>0</v>
      </c>
      <c r="C304" s="404">
        <f t="shared" si="27"/>
        <v>0</v>
      </c>
      <c r="D304" s="404">
        <f t="shared" si="28"/>
        <v>0</v>
      </c>
      <c r="E304" s="404">
        <f t="shared" si="25"/>
        <v>1638.8888888888928</v>
      </c>
      <c r="F304" t="str">
        <f t="shared" si="29"/>
        <v/>
      </c>
    </row>
    <row r="305" spans="1:6">
      <c r="A305">
        <f t="shared" si="26"/>
        <v>297</v>
      </c>
      <c r="B305" s="11">
        <f>'More accurate Energy (Solar)'!B312</f>
        <v>0.40277777777777773</v>
      </c>
      <c r="C305" s="404">
        <f t="shared" si="27"/>
        <v>402.77777777777771</v>
      </c>
      <c r="D305" s="404">
        <f t="shared" si="28"/>
        <v>80.555555555555543</v>
      </c>
      <c r="E305" s="404">
        <f t="shared" si="25"/>
        <v>1719.4444444444484</v>
      </c>
      <c r="F305" t="str">
        <f t="shared" si="29"/>
        <v/>
      </c>
    </row>
    <row r="306" spans="1:6">
      <c r="A306">
        <f t="shared" si="26"/>
        <v>298</v>
      </c>
      <c r="B306" s="11">
        <f>'More accurate Energy (Solar)'!B313</f>
        <v>0.27777777777777779</v>
      </c>
      <c r="C306" s="404">
        <f t="shared" si="27"/>
        <v>277.77777777777777</v>
      </c>
      <c r="D306" s="404">
        <f t="shared" si="28"/>
        <v>55.55555555555555</v>
      </c>
      <c r="E306" s="404">
        <f t="shared" si="25"/>
        <v>1775.0000000000041</v>
      </c>
      <c r="F306" t="str">
        <f t="shared" si="29"/>
        <v/>
      </c>
    </row>
    <row r="307" spans="1:6">
      <c r="A307">
        <f t="shared" si="26"/>
        <v>299</v>
      </c>
      <c r="B307" s="11">
        <f>'More accurate Energy (Solar)'!B314</f>
        <v>0</v>
      </c>
      <c r="C307" s="404">
        <f t="shared" si="27"/>
        <v>0</v>
      </c>
      <c r="D307" s="404">
        <f t="shared" si="28"/>
        <v>0</v>
      </c>
      <c r="E307" s="404">
        <f t="shared" si="25"/>
        <v>1775.0000000000041</v>
      </c>
      <c r="F307" t="str">
        <f t="shared" si="29"/>
        <v/>
      </c>
    </row>
    <row r="308" spans="1:6">
      <c r="A308">
        <f t="shared" si="26"/>
        <v>300</v>
      </c>
      <c r="B308" s="11">
        <f>'More accurate Energy (Solar)'!B315</f>
        <v>0.47222222222222221</v>
      </c>
      <c r="C308" s="404">
        <f t="shared" si="27"/>
        <v>472.22222222222223</v>
      </c>
      <c r="D308" s="404">
        <f t="shared" si="28"/>
        <v>94.444444444444457</v>
      </c>
      <c r="E308" s="404">
        <f t="shared" ref="E308:E371" si="30">IF(E307+D308 &gt; $B$4 * 1000,(E307+D308)-3000,E307 + D308)</f>
        <v>1869.4444444444484</v>
      </c>
      <c r="F308" t="str">
        <f t="shared" si="29"/>
        <v/>
      </c>
    </row>
    <row r="309" spans="1:6">
      <c r="A309">
        <f t="shared" si="26"/>
        <v>301</v>
      </c>
      <c r="B309" s="11">
        <f>'More accurate Energy (Solar)'!B316</f>
        <v>1.0416666666666667</v>
      </c>
      <c r="C309" s="404">
        <f t="shared" si="27"/>
        <v>1041.6666666666667</v>
      </c>
      <c r="D309" s="404">
        <f t="shared" si="28"/>
        <v>208.33333333333334</v>
      </c>
      <c r="E309" s="404">
        <f t="shared" si="30"/>
        <v>2077.7777777777819</v>
      </c>
      <c r="F309" t="str">
        <f t="shared" si="29"/>
        <v/>
      </c>
    </row>
    <row r="310" spans="1:6">
      <c r="A310">
        <f t="shared" si="26"/>
        <v>302</v>
      </c>
      <c r="B310" s="11">
        <f>'More accurate Energy (Solar)'!B317</f>
        <v>1.0416666666666667</v>
      </c>
      <c r="C310" s="404">
        <f t="shared" si="27"/>
        <v>1041.6666666666667</v>
      </c>
      <c r="D310" s="404">
        <f t="shared" si="28"/>
        <v>208.33333333333334</v>
      </c>
      <c r="E310" s="404">
        <f t="shared" si="30"/>
        <v>2286.1111111111154</v>
      </c>
      <c r="F310" t="str">
        <f t="shared" si="29"/>
        <v/>
      </c>
    </row>
    <row r="311" spans="1:6">
      <c r="A311">
        <f t="shared" si="26"/>
        <v>303</v>
      </c>
      <c r="B311" s="11">
        <f>'More accurate Energy (Solar)'!B318</f>
        <v>1.0416666666666667</v>
      </c>
      <c r="C311" s="404">
        <f t="shared" si="27"/>
        <v>1041.6666666666667</v>
      </c>
      <c r="D311" s="404">
        <f t="shared" si="28"/>
        <v>208.33333333333334</v>
      </c>
      <c r="E311" s="404">
        <f t="shared" si="30"/>
        <v>2494.4444444444489</v>
      </c>
      <c r="F311" t="str">
        <f t="shared" si="29"/>
        <v/>
      </c>
    </row>
    <row r="312" spans="1:6">
      <c r="A312">
        <f t="shared" si="26"/>
        <v>304</v>
      </c>
      <c r="B312" s="11">
        <f>'More accurate Energy (Solar)'!B319</f>
        <v>1.0416666666666667</v>
      </c>
      <c r="C312" s="404">
        <f t="shared" si="27"/>
        <v>1041.6666666666667</v>
      </c>
      <c r="D312" s="404">
        <f t="shared" si="28"/>
        <v>208.33333333333334</v>
      </c>
      <c r="E312" s="404">
        <f t="shared" si="30"/>
        <v>2702.7777777777824</v>
      </c>
      <c r="F312" t="str">
        <f t="shared" si="29"/>
        <v/>
      </c>
    </row>
    <row r="313" spans="1:6">
      <c r="A313">
        <f t="shared" si="26"/>
        <v>305</v>
      </c>
      <c r="B313" s="11">
        <f>'More accurate Energy (Solar)'!B320</f>
        <v>8.3333333333333329E-2</v>
      </c>
      <c r="C313" s="404">
        <f t="shared" si="27"/>
        <v>83.333333333333329</v>
      </c>
      <c r="D313" s="404">
        <f t="shared" si="28"/>
        <v>16.666666666666664</v>
      </c>
      <c r="E313" s="404">
        <f t="shared" si="30"/>
        <v>2719.4444444444489</v>
      </c>
      <c r="F313" t="str">
        <f t="shared" si="29"/>
        <v/>
      </c>
    </row>
    <row r="314" spans="1:6">
      <c r="A314">
        <f t="shared" si="26"/>
        <v>306</v>
      </c>
      <c r="B314" s="11">
        <f>'More accurate Energy (Solar)'!B321</f>
        <v>0</v>
      </c>
      <c r="C314" s="404">
        <f t="shared" si="27"/>
        <v>0</v>
      </c>
      <c r="D314" s="404">
        <f t="shared" si="28"/>
        <v>0</v>
      </c>
      <c r="E314" s="404">
        <f t="shared" si="30"/>
        <v>2719.4444444444489</v>
      </c>
      <c r="F314" t="str">
        <f t="shared" si="29"/>
        <v/>
      </c>
    </row>
    <row r="315" spans="1:6">
      <c r="A315">
        <f t="shared" si="26"/>
        <v>307</v>
      </c>
      <c r="B315" s="11">
        <f>'More accurate Energy (Solar)'!B322</f>
        <v>0</v>
      </c>
      <c r="C315" s="404">
        <f t="shared" si="27"/>
        <v>0</v>
      </c>
      <c r="D315" s="404">
        <f t="shared" si="28"/>
        <v>0</v>
      </c>
      <c r="E315" s="404">
        <f t="shared" si="30"/>
        <v>2719.4444444444489</v>
      </c>
      <c r="F315" t="str">
        <f t="shared" si="29"/>
        <v/>
      </c>
    </row>
    <row r="316" spans="1:6">
      <c r="A316">
        <f t="shared" si="26"/>
        <v>308</v>
      </c>
      <c r="B316" s="11">
        <f>'More accurate Energy (Solar)'!B323</f>
        <v>0.2361111111111111</v>
      </c>
      <c r="C316" s="404">
        <f t="shared" si="27"/>
        <v>236.11111111111111</v>
      </c>
      <c r="D316" s="404">
        <f t="shared" si="28"/>
        <v>47.222222222222229</v>
      </c>
      <c r="E316" s="404">
        <f t="shared" si="30"/>
        <v>2766.6666666666711</v>
      </c>
      <c r="F316" t="str">
        <f t="shared" si="29"/>
        <v/>
      </c>
    </row>
    <row r="317" spans="1:6">
      <c r="A317">
        <f t="shared" si="26"/>
        <v>309</v>
      </c>
      <c r="B317" s="11">
        <f>'More accurate Energy (Solar)'!B324</f>
        <v>0.41666666666666669</v>
      </c>
      <c r="C317" s="404">
        <f t="shared" si="27"/>
        <v>416.66666666666669</v>
      </c>
      <c r="D317" s="404">
        <f t="shared" si="28"/>
        <v>83.333333333333343</v>
      </c>
      <c r="E317" s="404">
        <f t="shared" si="30"/>
        <v>2850.0000000000045</v>
      </c>
      <c r="F317" t="str">
        <f t="shared" si="29"/>
        <v/>
      </c>
    </row>
    <row r="318" spans="1:6">
      <c r="A318">
        <f t="shared" si="26"/>
        <v>310</v>
      </c>
      <c r="B318" s="11">
        <f>'More accurate Energy (Solar)'!B325</f>
        <v>1.0416666666666667</v>
      </c>
      <c r="C318" s="404">
        <f t="shared" si="27"/>
        <v>1041.6666666666667</v>
      </c>
      <c r="D318" s="404">
        <f t="shared" si="28"/>
        <v>208.33333333333334</v>
      </c>
      <c r="E318" s="404">
        <f t="shared" si="30"/>
        <v>58.333333333338032</v>
      </c>
      <c r="F318">
        <f t="shared" si="29"/>
        <v>1</v>
      </c>
    </row>
    <row r="319" spans="1:6">
      <c r="A319">
        <f t="shared" si="26"/>
        <v>311</v>
      </c>
      <c r="B319" s="11">
        <f>'More accurate Energy (Solar)'!B326</f>
        <v>0.15277777777777779</v>
      </c>
      <c r="C319" s="404">
        <f t="shared" si="27"/>
        <v>152.7777777777778</v>
      </c>
      <c r="D319" s="404">
        <f t="shared" si="28"/>
        <v>30.555555555555554</v>
      </c>
      <c r="E319" s="404">
        <f t="shared" si="30"/>
        <v>88.88888888889359</v>
      </c>
      <c r="F319" t="str">
        <f t="shared" si="29"/>
        <v/>
      </c>
    </row>
    <row r="320" spans="1:6">
      <c r="A320">
        <f t="shared" si="26"/>
        <v>312</v>
      </c>
      <c r="B320" s="11">
        <f>'More accurate Energy (Solar)'!B327</f>
        <v>0.1111111111111111</v>
      </c>
      <c r="C320" s="404">
        <f t="shared" si="27"/>
        <v>111.1111111111111</v>
      </c>
      <c r="D320" s="404">
        <f t="shared" si="28"/>
        <v>22.222222222222218</v>
      </c>
      <c r="E320" s="404">
        <f t="shared" si="30"/>
        <v>111.1111111111158</v>
      </c>
      <c r="F320" t="str">
        <f t="shared" si="29"/>
        <v/>
      </c>
    </row>
    <row r="321" spans="1:6">
      <c r="A321">
        <f t="shared" si="26"/>
        <v>313</v>
      </c>
      <c r="B321" s="11">
        <f>'More accurate Energy (Solar)'!B328</f>
        <v>0</v>
      </c>
      <c r="C321" s="404">
        <f t="shared" si="27"/>
        <v>0</v>
      </c>
      <c r="D321" s="404">
        <f t="shared" si="28"/>
        <v>0</v>
      </c>
      <c r="E321" s="404">
        <f t="shared" si="30"/>
        <v>111.1111111111158</v>
      </c>
      <c r="F321" t="str">
        <f t="shared" si="29"/>
        <v/>
      </c>
    </row>
    <row r="322" spans="1:6">
      <c r="A322">
        <f t="shared" si="26"/>
        <v>314</v>
      </c>
      <c r="B322" s="11">
        <f>'More accurate Energy (Solar)'!B329</f>
        <v>1.0416666666666667</v>
      </c>
      <c r="C322" s="404">
        <f t="shared" si="27"/>
        <v>1041.6666666666667</v>
      </c>
      <c r="D322" s="404">
        <f t="shared" si="28"/>
        <v>208.33333333333334</v>
      </c>
      <c r="E322" s="404">
        <f t="shared" si="30"/>
        <v>319.44444444444912</v>
      </c>
      <c r="F322" t="str">
        <f t="shared" si="29"/>
        <v/>
      </c>
    </row>
    <row r="323" spans="1:6">
      <c r="A323">
        <f t="shared" si="26"/>
        <v>315</v>
      </c>
      <c r="B323" s="11">
        <f>'More accurate Energy (Solar)'!B330</f>
        <v>1.0416666666666667</v>
      </c>
      <c r="C323" s="404">
        <f t="shared" si="27"/>
        <v>1041.6666666666667</v>
      </c>
      <c r="D323" s="404">
        <f t="shared" si="28"/>
        <v>208.33333333333334</v>
      </c>
      <c r="E323" s="404">
        <f t="shared" si="30"/>
        <v>527.77777777778249</v>
      </c>
      <c r="F323" t="str">
        <f t="shared" si="29"/>
        <v/>
      </c>
    </row>
    <row r="324" spans="1:6">
      <c r="A324">
        <f t="shared" si="26"/>
        <v>316</v>
      </c>
      <c r="B324" s="11">
        <f>'More accurate Energy (Solar)'!B331</f>
        <v>1.0416666666666667</v>
      </c>
      <c r="C324" s="404">
        <f t="shared" si="27"/>
        <v>1041.6666666666667</v>
      </c>
      <c r="D324" s="404">
        <f t="shared" si="28"/>
        <v>208.33333333333334</v>
      </c>
      <c r="E324" s="404">
        <f t="shared" si="30"/>
        <v>736.11111111111586</v>
      </c>
      <c r="F324" t="str">
        <f t="shared" si="29"/>
        <v/>
      </c>
    </row>
    <row r="325" spans="1:6">
      <c r="A325">
        <f t="shared" si="26"/>
        <v>317</v>
      </c>
      <c r="B325" s="11">
        <f>'More accurate Energy (Solar)'!B332</f>
        <v>0.79166666666666674</v>
      </c>
      <c r="C325" s="404">
        <f t="shared" si="27"/>
        <v>791.66666666666674</v>
      </c>
      <c r="D325" s="404">
        <f t="shared" si="28"/>
        <v>158.33333333333334</v>
      </c>
      <c r="E325" s="404">
        <f t="shared" si="30"/>
        <v>894.44444444444923</v>
      </c>
      <c r="F325" t="str">
        <f t="shared" si="29"/>
        <v/>
      </c>
    </row>
    <row r="326" spans="1:6">
      <c r="A326">
        <f t="shared" si="26"/>
        <v>318</v>
      </c>
      <c r="B326" s="11">
        <f>'More accurate Energy (Solar)'!B333</f>
        <v>4.1666666666666664E-2</v>
      </c>
      <c r="C326" s="404">
        <f t="shared" si="27"/>
        <v>41.666666666666664</v>
      </c>
      <c r="D326" s="404">
        <f t="shared" si="28"/>
        <v>8.3333333333333321</v>
      </c>
      <c r="E326" s="404">
        <f t="shared" si="30"/>
        <v>902.7777777777826</v>
      </c>
      <c r="F326" t="str">
        <f t="shared" si="29"/>
        <v/>
      </c>
    </row>
    <row r="327" spans="1:6">
      <c r="A327">
        <f t="shared" si="26"/>
        <v>319</v>
      </c>
      <c r="B327" s="11">
        <f>'More accurate Energy (Solar)'!B334</f>
        <v>0.41666666666666669</v>
      </c>
      <c r="C327" s="404">
        <f t="shared" si="27"/>
        <v>416.66666666666669</v>
      </c>
      <c r="D327" s="404">
        <f t="shared" si="28"/>
        <v>83.333333333333343</v>
      </c>
      <c r="E327" s="404">
        <f t="shared" si="30"/>
        <v>986.11111111111597</v>
      </c>
      <c r="F327" t="str">
        <f t="shared" si="29"/>
        <v/>
      </c>
    </row>
    <row r="328" spans="1:6">
      <c r="A328">
        <f t="shared" si="26"/>
        <v>320</v>
      </c>
      <c r="B328" s="11">
        <f>'More accurate Energy (Solar)'!B335</f>
        <v>1.0416666666666667</v>
      </c>
      <c r="C328" s="404">
        <f t="shared" si="27"/>
        <v>1041.6666666666667</v>
      </c>
      <c r="D328" s="404">
        <f t="shared" si="28"/>
        <v>208.33333333333334</v>
      </c>
      <c r="E328" s="404">
        <f t="shared" si="30"/>
        <v>1194.4444444444493</v>
      </c>
      <c r="F328" t="str">
        <f t="shared" si="29"/>
        <v/>
      </c>
    </row>
    <row r="329" spans="1:6">
      <c r="A329">
        <f t="shared" si="26"/>
        <v>321</v>
      </c>
      <c r="B329" s="11">
        <f>'More accurate Energy (Solar)'!B336</f>
        <v>0.43055555555555558</v>
      </c>
      <c r="C329" s="404">
        <f t="shared" si="27"/>
        <v>430.5555555555556</v>
      </c>
      <c r="D329" s="404">
        <f t="shared" si="28"/>
        <v>86.111111111111128</v>
      </c>
      <c r="E329" s="404">
        <f t="shared" si="30"/>
        <v>1280.5555555555604</v>
      </c>
      <c r="F329" t="str">
        <f t="shared" si="29"/>
        <v/>
      </c>
    </row>
    <row r="330" spans="1:6">
      <c r="A330">
        <f t="shared" ref="A330:A374" si="31">A329+1</f>
        <v>322</v>
      </c>
      <c r="B330" s="11">
        <f>'More accurate Energy (Solar)'!B337</f>
        <v>0</v>
      </c>
      <c r="C330" s="404">
        <f t="shared" ref="C330:C374" si="32">B330 * 1000</f>
        <v>0</v>
      </c>
      <c r="D330" s="404">
        <f t="shared" ref="D330:D374" si="33">C330*$B$3*$B$1/$B$2/1000</f>
        <v>0</v>
      </c>
      <c r="E330" s="404">
        <f t="shared" si="30"/>
        <v>1280.5555555555604</v>
      </c>
      <c r="F330" t="str">
        <f t="shared" si="29"/>
        <v/>
      </c>
    </row>
    <row r="331" spans="1:6">
      <c r="A331">
        <f t="shared" si="31"/>
        <v>323</v>
      </c>
      <c r="B331" s="11">
        <f>'More accurate Energy (Solar)'!B338</f>
        <v>0</v>
      </c>
      <c r="C331" s="404">
        <f t="shared" si="32"/>
        <v>0</v>
      </c>
      <c r="D331" s="404">
        <f t="shared" si="33"/>
        <v>0</v>
      </c>
      <c r="E331" s="404">
        <f t="shared" si="30"/>
        <v>1280.5555555555604</v>
      </c>
      <c r="F331" t="str">
        <f t="shared" ref="F331:F374" si="34">IF(E331 &lt; E330, 1, "")</f>
        <v/>
      </c>
    </row>
    <row r="332" spans="1:6">
      <c r="A332">
        <f t="shared" si="31"/>
        <v>324</v>
      </c>
      <c r="B332" s="11">
        <f>'More accurate Energy (Solar)'!B339</f>
        <v>0</v>
      </c>
      <c r="C332" s="404">
        <f t="shared" si="32"/>
        <v>0</v>
      </c>
      <c r="D332" s="404">
        <f t="shared" si="33"/>
        <v>0</v>
      </c>
      <c r="E332" s="404">
        <f t="shared" si="30"/>
        <v>1280.5555555555604</v>
      </c>
      <c r="F332" t="str">
        <f t="shared" si="34"/>
        <v/>
      </c>
    </row>
    <row r="333" spans="1:6">
      <c r="A333">
        <f t="shared" si="31"/>
        <v>325</v>
      </c>
      <c r="B333" s="11">
        <f>'More accurate Energy (Solar)'!B340</f>
        <v>0</v>
      </c>
      <c r="C333" s="404">
        <f t="shared" si="32"/>
        <v>0</v>
      </c>
      <c r="D333" s="404">
        <f t="shared" si="33"/>
        <v>0</v>
      </c>
      <c r="E333" s="404">
        <f t="shared" si="30"/>
        <v>1280.5555555555604</v>
      </c>
      <c r="F333" t="str">
        <f t="shared" si="34"/>
        <v/>
      </c>
    </row>
    <row r="334" spans="1:6">
      <c r="A334">
        <f t="shared" si="31"/>
        <v>326</v>
      </c>
      <c r="B334" s="11">
        <f>'More accurate Energy (Solar)'!B341</f>
        <v>0</v>
      </c>
      <c r="C334" s="404">
        <f t="shared" si="32"/>
        <v>0</v>
      </c>
      <c r="D334" s="404">
        <f t="shared" si="33"/>
        <v>0</v>
      </c>
      <c r="E334" s="404">
        <f t="shared" si="30"/>
        <v>1280.5555555555604</v>
      </c>
      <c r="F334" t="str">
        <f t="shared" si="34"/>
        <v/>
      </c>
    </row>
    <row r="335" spans="1:6">
      <c r="A335">
        <f t="shared" si="31"/>
        <v>327</v>
      </c>
      <c r="B335" s="11">
        <f>'More accurate Energy (Solar)'!B342</f>
        <v>0</v>
      </c>
      <c r="C335" s="404">
        <f t="shared" si="32"/>
        <v>0</v>
      </c>
      <c r="D335" s="404">
        <f t="shared" si="33"/>
        <v>0</v>
      </c>
      <c r="E335" s="404">
        <f t="shared" si="30"/>
        <v>1280.5555555555604</v>
      </c>
      <c r="F335" t="str">
        <f t="shared" si="34"/>
        <v/>
      </c>
    </row>
    <row r="336" spans="1:6">
      <c r="A336">
        <f t="shared" si="31"/>
        <v>328</v>
      </c>
      <c r="B336" s="11">
        <f>'More accurate Energy (Solar)'!B343</f>
        <v>0</v>
      </c>
      <c r="C336" s="404">
        <f t="shared" si="32"/>
        <v>0</v>
      </c>
      <c r="D336" s="404">
        <f t="shared" si="33"/>
        <v>0</v>
      </c>
      <c r="E336" s="404">
        <f t="shared" si="30"/>
        <v>1280.5555555555604</v>
      </c>
      <c r="F336" t="str">
        <f t="shared" si="34"/>
        <v/>
      </c>
    </row>
    <row r="337" spans="1:6">
      <c r="A337">
        <f t="shared" si="31"/>
        <v>329</v>
      </c>
      <c r="B337" s="11">
        <f>'More accurate Energy (Solar)'!B344</f>
        <v>0</v>
      </c>
      <c r="C337" s="404">
        <f t="shared" si="32"/>
        <v>0</v>
      </c>
      <c r="D337" s="404">
        <f t="shared" si="33"/>
        <v>0</v>
      </c>
      <c r="E337" s="404">
        <f t="shared" si="30"/>
        <v>1280.5555555555604</v>
      </c>
      <c r="F337" t="str">
        <f t="shared" si="34"/>
        <v/>
      </c>
    </row>
    <row r="338" spans="1:6">
      <c r="A338">
        <f t="shared" si="31"/>
        <v>330</v>
      </c>
      <c r="B338" s="11">
        <f>'More accurate Energy (Solar)'!B345</f>
        <v>0</v>
      </c>
      <c r="C338" s="404">
        <f t="shared" si="32"/>
        <v>0</v>
      </c>
      <c r="D338" s="404">
        <f t="shared" si="33"/>
        <v>0</v>
      </c>
      <c r="E338" s="404">
        <f t="shared" si="30"/>
        <v>1280.5555555555604</v>
      </c>
      <c r="F338" t="str">
        <f t="shared" si="34"/>
        <v/>
      </c>
    </row>
    <row r="339" spans="1:6">
      <c r="A339">
        <f t="shared" si="31"/>
        <v>331</v>
      </c>
      <c r="B339" s="11">
        <f>'More accurate Energy (Solar)'!B346</f>
        <v>0</v>
      </c>
      <c r="C339" s="404">
        <f t="shared" si="32"/>
        <v>0</v>
      </c>
      <c r="D339" s="404">
        <f t="shared" si="33"/>
        <v>0</v>
      </c>
      <c r="E339" s="404">
        <f t="shared" si="30"/>
        <v>1280.5555555555604</v>
      </c>
      <c r="F339" t="str">
        <f t="shared" si="34"/>
        <v/>
      </c>
    </row>
    <row r="340" spans="1:6">
      <c r="A340">
        <f t="shared" si="31"/>
        <v>332</v>
      </c>
      <c r="B340" s="11">
        <f>'More accurate Energy (Solar)'!B347</f>
        <v>0</v>
      </c>
      <c r="C340" s="404">
        <f t="shared" si="32"/>
        <v>0</v>
      </c>
      <c r="D340" s="404">
        <f t="shared" si="33"/>
        <v>0</v>
      </c>
      <c r="E340" s="404">
        <f t="shared" si="30"/>
        <v>1280.5555555555604</v>
      </c>
      <c r="F340" t="str">
        <f t="shared" si="34"/>
        <v/>
      </c>
    </row>
    <row r="341" spans="1:6">
      <c r="A341">
        <f t="shared" si="31"/>
        <v>333</v>
      </c>
      <c r="B341" s="11">
        <f>'More accurate Energy (Solar)'!B348</f>
        <v>0</v>
      </c>
      <c r="C341" s="404">
        <f t="shared" si="32"/>
        <v>0</v>
      </c>
      <c r="D341" s="404">
        <f t="shared" si="33"/>
        <v>0</v>
      </c>
      <c r="E341" s="404">
        <f t="shared" si="30"/>
        <v>1280.5555555555604</v>
      </c>
      <c r="F341" t="str">
        <f t="shared" si="34"/>
        <v/>
      </c>
    </row>
    <row r="342" spans="1:6">
      <c r="A342">
        <f t="shared" si="31"/>
        <v>334</v>
      </c>
      <c r="B342" s="11">
        <f>'More accurate Energy (Solar)'!B349</f>
        <v>0.90277777777777779</v>
      </c>
      <c r="C342" s="404">
        <f t="shared" si="32"/>
        <v>902.77777777777783</v>
      </c>
      <c r="D342" s="404">
        <f t="shared" si="33"/>
        <v>180.55555555555557</v>
      </c>
      <c r="E342" s="404">
        <f t="shared" si="30"/>
        <v>1461.1111111111161</v>
      </c>
      <c r="F342" t="str">
        <f t="shared" si="34"/>
        <v/>
      </c>
    </row>
    <row r="343" spans="1:6">
      <c r="A343">
        <f t="shared" si="31"/>
        <v>335</v>
      </c>
      <c r="B343" s="11">
        <f>'More accurate Energy (Solar)'!B350</f>
        <v>1.0416666666666667</v>
      </c>
      <c r="C343" s="404">
        <f t="shared" si="32"/>
        <v>1041.6666666666667</v>
      </c>
      <c r="D343" s="404">
        <f t="shared" si="33"/>
        <v>208.33333333333334</v>
      </c>
      <c r="E343" s="404">
        <f t="shared" si="30"/>
        <v>1669.4444444444493</v>
      </c>
      <c r="F343" t="str">
        <f t="shared" si="34"/>
        <v/>
      </c>
    </row>
    <row r="344" spans="1:6">
      <c r="A344">
        <f t="shared" si="31"/>
        <v>336</v>
      </c>
      <c r="B344" s="11">
        <f>'More accurate Energy (Solar)'!B351</f>
        <v>1.0416666666666667</v>
      </c>
      <c r="C344" s="404">
        <f t="shared" si="32"/>
        <v>1041.6666666666667</v>
      </c>
      <c r="D344" s="404">
        <f t="shared" si="33"/>
        <v>208.33333333333334</v>
      </c>
      <c r="E344" s="404">
        <f t="shared" si="30"/>
        <v>1877.7777777777826</v>
      </c>
      <c r="F344" t="str">
        <f t="shared" si="34"/>
        <v/>
      </c>
    </row>
    <row r="345" spans="1:6">
      <c r="A345">
        <f t="shared" si="31"/>
        <v>337</v>
      </c>
      <c r="B345" s="11">
        <f>'More accurate Energy (Solar)'!B352</f>
        <v>1.0416666666666667</v>
      </c>
      <c r="C345" s="404">
        <f t="shared" si="32"/>
        <v>1041.6666666666667</v>
      </c>
      <c r="D345" s="404">
        <f t="shared" si="33"/>
        <v>208.33333333333334</v>
      </c>
      <c r="E345" s="404">
        <f t="shared" si="30"/>
        <v>2086.1111111111159</v>
      </c>
      <c r="F345" t="str">
        <f t="shared" si="34"/>
        <v/>
      </c>
    </row>
    <row r="346" spans="1:6">
      <c r="A346">
        <f t="shared" si="31"/>
        <v>338</v>
      </c>
      <c r="B346" s="11">
        <f>'More accurate Energy (Solar)'!B353</f>
        <v>1.0416666666666667</v>
      </c>
      <c r="C346" s="404">
        <f t="shared" si="32"/>
        <v>1041.6666666666667</v>
      </c>
      <c r="D346" s="404">
        <f t="shared" si="33"/>
        <v>208.33333333333334</v>
      </c>
      <c r="E346" s="404">
        <f t="shared" si="30"/>
        <v>2294.4444444444493</v>
      </c>
      <c r="F346" t="str">
        <f t="shared" si="34"/>
        <v/>
      </c>
    </row>
    <row r="347" spans="1:6">
      <c r="A347">
        <f t="shared" si="31"/>
        <v>339</v>
      </c>
      <c r="B347" s="11">
        <f>'More accurate Energy (Solar)'!B354</f>
        <v>1.0416666666666667</v>
      </c>
      <c r="C347" s="404">
        <f t="shared" si="32"/>
        <v>1041.6666666666667</v>
      </c>
      <c r="D347" s="404">
        <f t="shared" si="33"/>
        <v>208.33333333333334</v>
      </c>
      <c r="E347" s="404">
        <f t="shared" si="30"/>
        <v>2502.7777777777828</v>
      </c>
      <c r="F347" t="str">
        <f t="shared" si="34"/>
        <v/>
      </c>
    </row>
    <row r="348" spans="1:6">
      <c r="A348">
        <f t="shared" si="31"/>
        <v>340</v>
      </c>
      <c r="B348" s="11">
        <f>'More accurate Energy (Solar)'!B355</f>
        <v>1.0416666666666667</v>
      </c>
      <c r="C348" s="404">
        <f t="shared" si="32"/>
        <v>1041.6666666666667</v>
      </c>
      <c r="D348" s="404">
        <f t="shared" si="33"/>
        <v>208.33333333333334</v>
      </c>
      <c r="E348" s="404">
        <f t="shared" si="30"/>
        <v>2711.1111111111163</v>
      </c>
      <c r="F348" t="str">
        <f t="shared" si="34"/>
        <v/>
      </c>
    </row>
    <row r="349" spans="1:6">
      <c r="A349">
        <f t="shared" si="31"/>
        <v>341</v>
      </c>
      <c r="B349" s="11">
        <f>'More accurate Energy (Solar)'!B356</f>
        <v>1.0416666666666667</v>
      </c>
      <c r="C349" s="404">
        <f t="shared" si="32"/>
        <v>1041.6666666666667</v>
      </c>
      <c r="D349" s="404">
        <f t="shared" si="33"/>
        <v>208.33333333333334</v>
      </c>
      <c r="E349" s="404">
        <f t="shared" si="30"/>
        <v>2919.4444444444498</v>
      </c>
      <c r="F349" t="str">
        <f t="shared" si="34"/>
        <v/>
      </c>
    </row>
    <row r="350" spans="1:6">
      <c r="A350">
        <f t="shared" si="31"/>
        <v>342</v>
      </c>
      <c r="B350" s="11">
        <f>'More accurate Energy (Solar)'!B357</f>
        <v>1.0416666666666667</v>
      </c>
      <c r="C350" s="404">
        <f t="shared" si="32"/>
        <v>1041.6666666666667</v>
      </c>
      <c r="D350" s="404">
        <f t="shared" si="33"/>
        <v>208.33333333333334</v>
      </c>
      <c r="E350" s="404">
        <f t="shared" si="30"/>
        <v>127.77777777778329</v>
      </c>
      <c r="F350">
        <f t="shared" si="34"/>
        <v>1</v>
      </c>
    </row>
    <row r="351" spans="1:6">
      <c r="A351">
        <f t="shared" si="31"/>
        <v>343</v>
      </c>
      <c r="B351" s="11">
        <f>'More accurate Energy (Solar)'!B358</f>
        <v>0.33333333333333331</v>
      </c>
      <c r="C351" s="404">
        <f t="shared" si="32"/>
        <v>333.33333333333331</v>
      </c>
      <c r="D351" s="404">
        <f t="shared" si="33"/>
        <v>66.666666666666657</v>
      </c>
      <c r="E351" s="404">
        <f t="shared" si="30"/>
        <v>194.44444444444994</v>
      </c>
      <c r="F351" t="str">
        <f t="shared" si="34"/>
        <v/>
      </c>
    </row>
    <row r="352" spans="1:6">
      <c r="A352">
        <f t="shared" si="31"/>
        <v>344</v>
      </c>
      <c r="B352" s="11">
        <f>'More accurate Energy (Solar)'!B359</f>
        <v>0.84722222222222221</v>
      </c>
      <c r="C352" s="404">
        <f t="shared" si="32"/>
        <v>847.22222222222217</v>
      </c>
      <c r="D352" s="404">
        <f t="shared" si="33"/>
        <v>169.44444444444443</v>
      </c>
      <c r="E352" s="404">
        <f t="shared" si="30"/>
        <v>363.88888888889437</v>
      </c>
      <c r="F352" t="str">
        <f t="shared" si="34"/>
        <v/>
      </c>
    </row>
    <row r="353" spans="1:6">
      <c r="A353">
        <f t="shared" si="31"/>
        <v>345</v>
      </c>
      <c r="B353" s="11">
        <f>'More accurate Energy (Solar)'!B360</f>
        <v>0.2361111111111111</v>
      </c>
      <c r="C353" s="404">
        <f t="shared" si="32"/>
        <v>236.11111111111111</v>
      </c>
      <c r="D353" s="404">
        <f t="shared" si="33"/>
        <v>47.222222222222229</v>
      </c>
      <c r="E353" s="404">
        <f t="shared" si="30"/>
        <v>411.1111111111166</v>
      </c>
      <c r="F353" t="str">
        <f t="shared" si="34"/>
        <v/>
      </c>
    </row>
    <row r="354" spans="1:6">
      <c r="A354">
        <f t="shared" si="31"/>
        <v>346</v>
      </c>
      <c r="B354" s="11">
        <f>'More accurate Energy (Solar)'!B361</f>
        <v>1.0416666666666667</v>
      </c>
      <c r="C354" s="404">
        <f t="shared" si="32"/>
        <v>1041.6666666666667</v>
      </c>
      <c r="D354" s="404">
        <f t="shared" si="33"/>
        <v>208.33333333333334</v>
      </c>
      <c r="E354" s="404">
        <f t="shared" si="30"/>
        <v>619.44444444444991</v>
      </c>
      <c r="F354" t="str">
        <f t="shared" si="34"/>
        <v/>
      </c>
    </row>
    <row r="355" spans="1:6">
      <c r="A355">
        <f t="shared" si="31"/>
        <v>347</v>
      </c>
      <c r="B355" s="11">
        <f>'More accurate Energy (Solar)'!B362</f>
        <v>0</v>
      </c>
      <c r="C355" s="404">
        <f t="shared" si="32"/>
        <v>0</v>
      </c>
      <c r="D355" s="404">
        <f t="shared" si="33"/>
        <v>0</v>
      </c>
      <c r="E355" s="404">
        <f t="shared" si="30"/>
        <v>619.44444444444991</v>
      </c>
      <c r="F355" t="str">
        <f t="shared" si="34"/>
        <v/>
      </c>
    </row>
    <row r="356" spans="1:6">
      <c r="A356">
        <f t="shared" si="31"/>
        <v>348</v>
      </c>
      <c r="B356" s="11">
        <f>'More accurate Energy (Solar)'!B363</f>
        <v>0.16666666666666666</v>
      </c>
      <c r="C356" s="404">
        <f t="shared" si="32"/>
        <v>166.66666666666666</v>
      </c>
      <c r="D356" s="404">
        <f t="shared" si="33"/>
        <v>33.333333333333329</v>
      </c>
      <c r="E356" s="404">
        <f t="shared" si="30"/>
        <v>652.77777777778329</v>
      </c>
      <c r="F356" t="str">
        <f t="shared" si="34"/>
        <v/>
      </c>
    </row>
    <row r="357" spans="1:6">
      <c r="A357">
        <f t="shared" si="31"/>
        <v>349</v>
      </c>
      <c r="B357" s="11">
        <f>'More accurate Energy (Solar)'!B364</f>
        <v>0.20833333333333334</v>
      </c>
      <c r="C357" s="404">
        <f t="shared" si="32"/>
        <v>208.33333333333334</v>
      </c>
      <c r="D357" s="404">
        <f t="shared" si="33"/>
        <v>41.666666666666671</v>
      </c>
      <c r="E357" s="404">
        <f t="shared" si="30"/>
        <v>694.44444444444991</v>
      </c>
      <c r="F357" t="str">
        <f t="shared" si="34"/>
        <v/>
      </c>
    </row>
    <row r="358" spans="1:6">
      <c r="A358">
        <f t="shared" si="31"/>
        <v>350</v>
      </c>
      <c r="B358" s="11">
        <f>'More accurate Energy (Solar)'!B365</f>
        <v>0.15277777777777779</v>
      </c>
      <c r="C358" s="404">
        <f t="shared" si="32"/>
        <v>152.7777777777778</v>
      </c>
      <c r="D358" s="404">
        <f t="shared" si="33"/>
        <v>30.555555555555554</v>
      </c>
      <c r="E358" s="404">
        <f t="shared" si="30"/>
        <v>725.00000000000546</v>
      </c>
      <c r="F358" t="str">
        <f t="shared" si="34"/>
        <v/>
      </c>
    </row>
    <row r="359" spans="1:6">
      <c r="A359">
        <f t="shared" si="31"/>
        <v>351</v>
      </c>
      <c r="B359" s="11">
        <f>'More accurate Energy (Solar)'!B366</f>
        <v>1.0416666666666667</v>
      </c>
      <c r="C359" s="404">
        <f t="shared" si="32"/>
        <v>1041.6666666666667</v>
      </c>
      <c r="D359" s="404">
        <f t="shared" si="33"/>
        <v>208.33333333333334</v>
      </c>
      <c r="E359" s="404">
        <f t="shared" si="30"/>
        <v>933.33333333333883</v>
      </c>
      <c r="F359" t="str">
        <f t="shared" si="34"/>
        <v/>
      </c>
    </row>
    <row r="360" spans="1:6">
      <c r="A360">
        <f t="shared" si="31"/>
        <v>352</v>
      </c>
      <c r="B360" s="11">
        <f>'More accurate Energy (Solar)'!B367</f>
        <v>1.0416666666666667</v>
      </c>
      <c r="C360" s="404">
        <f t="shared" si="32"/>
        <v>1041.6666666666667</v>
      </c>
      <c r="D360" s="404">
        <f t="shared" si="33"/>
        <v>208.33333333333334</v>
      </c>
      <c r="E360" s="404">
        <f t="shared" si="30"/>
        <v>1141.6666666666722</v>
      </c>
      <c r="F360" t="str">
        <f t="shared" si="34"/>
        <v/>
      </c>
    </row>
    <row r="361" spans="1:6">
      <c r="A361">
        <f t="shared" si="31"/>
        <v>353</v>
      </c>
      <c r="B361" s="11">
        <f>'More accurate Energy (Solar)'!B368</f>
        <v>1.0416666666666667</v>
      </c>
      <c r="C361" s="404">
        <f t="shared" si="32"/>
        <v>1041.6666666666667</v>
      </c>
      <c r="D361" s="404">
        <f t="shared" si="33"/>
        <v>208.33333333333334</v>
      </c>
      <c r="E361" s="404">
        <f t="shared" si="30"/>
        <v>1350.0000000000055</v>
      </c>
      <c r="F361" t="str">
        <f t="shared" si="34"/>
        <v/>
      </c>
    </row>
    <row r="362" spans="1:6">
      <c r="A362">
        <f t="shared" si="31"/>
        <v>354</v>
      </c>
      <c r="B362" s="11">
        <f>'More accurate Energy (Solar)'!B369</f>
        <v>1.0416666666666667</v>
      </c>
      <c r="C362" s="404">
        <f t="shared" si="32"/>
        <v>1041.6666666666667</v>
      </c>
      <c r="D362" s="404">
        <f t="shared" si="33"/>
        <v>208.33333333333334</v>
      </c>
      <c r="E362" s="404">
        <f t="shared" si="30"/>
        <v>1558.3333333333387</v>
      </c>
      <c r="F362" t="str">
        <f t="shared" si="34"/>
        <v/>
      </c>
    </row>
    <row r="363" spans="1:6">
      <c r="A363">
        <f t="shared" si="31"/>
        <v>355</v>
      </c>
      <c r="B363" s="11">
        <f>'More accurate Energy (Solar)'!B370</f>
        <v>0.62499999999999989</v>
      </c>
      <c r="C363" s="404">
        <f t="shared" si="32"/>
        <v>624.99999999999989</v>
      </c>
      <c r="D363" s="404">
        <f t="shared" si="33"/>
        <v>124.99999999999997</v>
      </c>
      <c r="E363" s="404">
        <f t="shared" si="30"/>
        <v>1683.3333333333387</v>
      </c>
      <c r="F363" t="str">
        <f t="shared" si="34"/>
        <v/>
      </c>
    </row>
    <row r="364" spans="1:6">
      <c r="A364">
        <f t="shared" si="31"/>
        <v>356</v>
      </c>
      <c r="B364" s="11">
        <f>'More accurate Energy (Solar)'!B371</f>
        <v>1.0416666666666667</v>
      </c>
      <c r="C364" s="404">
        <f t="shared" si="32"/>
        <v>1041.6666666666667</v>
      </c>
      <c r="D364" s="404">
        <f t="shared" si="33"/>
        <v>208.33333333333334</v>
      </c>
      <c r="E364" s="404">
        <f t="shared" si="30"/>
        <v>1891.666666666672</v>
      </c>
      <c r="F364" t="str">
        <f t="shared" si="34"/>
        <v/>
      </c>
    </row>
    <row r="365" spans="1:6">
      <c r="A365">
        <f t="shared" si="31"/>
        <v>357</v>
      </c>
      <c r="B365" s="11">
        <f>'More accurate Energy (Solar)'!B372</f>
        <v>0.65277777777777779</v>
      </c>
      <c r="C365" s="404">
        <f t="shared" si="32"/>
        <v>652.77777777777783</v>
      </c>
      <c r="D365" s="404">
        <f t="shared" si="33"/>
        <v>130.55555555555554</v>
      </c>
      <c r="E365" s="404">
        <f t="shared" si="30"/>
        <v>2022.2222222222276</v>
      </c>
      <c r="F365" t="str">
        <f t="shared" si="34"/>
        <v/>
      </c>
    </row>
    <row r="366" spans="1:6">
      <c r="A366">
        <f t="shared" si="31"/>
        <v>358</v>
      </c>
      <c r="B366" s="11">
        <f>'More accurate Energy (Solar)'!B373</f>
        <v>0</v>
      </c>
      <c r="C366" s="404">
        <f t="shared" si="32"/>
        <v>0</v>
      </c>
      <c r="D366" s="404">
        <f t="shared" si="33"/>
        <v>0</v>
      </c>
      <c r="E366" s="404">
        <f t="shared" si="30"/>
        <v>2022.2222222222276</v>
      </c>
      <c r="F366" t="str">
        <f t="shared" si="34"/>
        <v/>
      </c>
    </row>
    <row r="367" spans="1:6">
      <c r="A367">
        <f t="shared" si="31"/>
        <v>359</v>
      </c>
      <c r="B367" s="11">
        <f>'More accurate Energy (Solar)'!B374</f>
        <v>0</v>
      </c>
      <c r="C367" s="404">
        <f t="shared" si="32"/>
        <v>0</v>
      </c>
      <c r="D367" s="404">
        <f t="shared" si="33"/>
        <v>0</v>
      </c>
      <c r="E367" s="404">
        <f t="shared" si="30"/>
        <v>2022.2222222222276</v>
      </c>
      <c r="F367" t="str">
        <f t="shared" si="34"/>
        <v/>
      </c>
    </row>
    <row r="368" spans="1:6">
      <c r="A368">
        <f t="shared" si="31"/>
        <v>360</v>
      </c>
      <c r="B368" s="11">
        <f>'More accurate Energy (Solar)'!B375</f>
        <v>1.0416666666666667</v>
      </c>
      <c r="C368" s="404">
        <f t="shared" si="32"/>
        <v>1041.6666666666667</v>
      </c>
      <c r="D368" s="404">
        <f t="shared" si="33"/>
        <v>208.33333333333334</v>
      </c>
      <c r="E368" s="404">
        <f t="shared" si="30"/>
        <v>2230.5555555555611</v>
      </c>
      <c r="F368" t="str">
        <f t="shared" si="34"/>
        <v/>
      </c>
    </row>
    <row r="369" spans="1:6">
      <c r="A369">
        <f t="shared" si="31"/>
        <v>361</v>
      </c>
      <c r="B369" s="11">
        <f>'More accurate Energy (Solar)'!B376</f>
        <v>0.1111111111111111</v>
      </c>
      <c r="C369" s="404">
        <f t="shared" si="32"/>
        <v>111.1111111111111</v>
      </c>
      <c r="D369" s="404">
        <f t="shared" si="33"/>
        <v>22.222222222222218</v>
      </c>
      <c r="E369" s="404">
        <f t="shared" si="30"/>
        <v>2252.7777777777833</v>
      </c>
      <c r="F369" t="str">
        <f t="shared" si="34"/>
        <v/>
      </c>
    </row>
    <row r="370" spans="1:6">
      <c r="A370">
        <f t="shared" si="31"/>
        <v>362</v>
      </c>
      <c r="B370" s="11">
        <f>'More accurate Energy (Solar)'!B377</f>
        <v>1.3888888888888888E-2</v>
      </c>
      <c r="C370" s="404">
        <f t="shared" si="32"/>
        <v>13.888888888888888</v>
      </c>
      <c r="D370" s="404">
        <f t="shared" si="33"/>
        <v>2.7777777777777772</v>
      </c>
      <c r="E370" s="404">
        <f t="shared" si="30"/>
        <v>2255.5555555555611</v>
      </c>
      <c r="F370" t="str">
        <f t="shared" si="34"/>
        <v/>
      </c>
    </row>
    <row r="371" spans="1:6">
      <c r="A371">
        <f t="shared" si="31"/>
        <v>363</v>
      </c>
      <c r="B371" s="11">
        <f>'More accurate Energy (Solar)'!B378</f>
        <v>0</v>
      </c>
      <c r="C371" s="404">
        <f t="shared" si="32"/>
        <v>0</v>
      </c>
      <c r="D371" s="404">
        <f t="shared" si="33"/>
        <v>0</v>
      </c>
      <c r="E371" s="404">
        <f t="shared" si="30"/>
        <v>2255.5555555555611</v>
      </c>
      <c r="F371" t="str">
        <f t="shared" si="34"/>
        <v/>
      </c>
    </row>
    <row r="372" spans="1:6">
      <c r="A372">
        <f t="shared" si="31"/>
        <v>364</v>
      </c>
      <c r="B372" s="11">
        <f>'More accurate Energy (Solar)'!B379</f>
        <v>0</v>
      </c>
      <c r="C372" s="404">
        <f t="shared" si="32"/>
        <v>0</v>
      </c>
      <c r="D372" s="404">
        <f t="shared" si="33"/>
        <v>0</v>
      </c>
      <c r="E372" s="404">
        <f t="shared" ref="E372:E374" si="35">IF(E371+D372 &gt; $B$4 * 1000,(E371+D372)-3000,E371 + D372)</f>
        <v>2255.5555555555611</v>
      </c>
      <c r="F372" t="str">
        <f t="shared" si="34"/>
        <v/>
      </c>
    </row>
    <row r="373" spans="1:6">
      <c r="A373">
        <f t="shared" si="31"/>
        <v>365</v>
      </c>
      <c r="B373" s="11">
        <f>'More accurate Energy (Solar)'!B380</f>
        <v>0</v>
      </c>
      <c r="C373" s="404">
        <f t="shared" si="32"/>
        <v>0</v>
      </c>
      <c r="D373" s="404">
        <f t="shared" si="33"/>
        <v>0</v>
      </c>
      <c r="E373" s="404">
        <f t="shared" si="35"/>
        <v>2255.5555555555611</v>
      </c>
      <c r="F373" t="str">
        <f t="shared" si="34"/>
        <v/>
      </c>
    </row>
    <row r="374" spans="1:6">
      <c r="A374">
        <f t="shared" si="31"/>
        <v>366</v>
      </c>
      <c r="B374" s="11">
        <f>'More accurate Energy (Solar)'!B381</f>
        <v>0</v>
      </c>
      <c r="C374" s="404">
        <f t="shared" si="32"/>
        <v>0</v>
      </c>
      <c r="D374" s="404">
        <f t="shared" si="33"/>
        <v>0</v>
      </c>
      <c r="E374" s="404">
        <f t="shared" si="35"/>
        <v>2255.5555555555611</v>
      </c>
      <c r="F374" t="str">
        <f t="shared" si="34"/>
        <v/>
      </c>
    </row>
  </sheetData>
  <mergeCells count="3">
    <mergeCell ref="J1:M1"/>
    <mergeCell ref="J2:K2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4C1A-04BD-4E65-909C-FA54C11F7D6C}">
  <dimension ref="A1:M374"/>
  <sheetViews>
    <sheetView workbookViewId="0">
      <selection activeCell="F51" sqref="F51"/>
    </sheetView>
  </sheetViews>
  <sheetFormatPr defaultRowHeight="14.45"/>
  <cols>
    <col min="1" max="1" width="19.140625" customWidth="1"/>
    <col min="2" max="2" width="10.7109375" customWidth="1"/>
    <col min="3" max="3" width="10.5703125" customWidth="1"/>
    <col min="4" max="4" width="12.28515625" customWidth="1"/>
    <col min="5" max="5" width="12.42578125" customWidth="1"/>
    <col min="6" max="6" width="13.7109375" customWidth="1"/>
    <col min="8" max="8" width="16.42578125" customWidth="1"/>
  </cols>
  <sheetData>
    <row r="1" spans="1:13">
      <c r="A1" s="405" t="s">
        <v>78</v>
      </c>
      <c r="B1" s="419">
        <f>InputOutputData!S18</f>
        <v>10</v>
      </c>
      <c r="C1" s="406" t="s">
        <v>81</v>
      </c>
      <c r="E1" s="392" t="s">
        <v>362</v>
      </c>
      <c r="F1" s="414"/>
      <c r="G1" s="414"/>
      <c r="H1" s="393" t="s">
        <v>363</v>
      </c>
      <c r="J1" s="542" t="s">
        <v>364</v>
      </c>
      <c r="K1" s="543"/>
      <c r="L1" s="543"/>
      <c r="M1" s="544"/>
    </row>
    <row r="2" spans="1:13">
      <c r="A2" s="407" t="s">
        <v>365</v>
      </c>
      <c r="B2" s="408">
        <v>5</v>
      </c>
      <c r="C2" s="409" t="s">
        <v>98</v>
      </c>
      <c r="E2" s="413">
        <f>SUM(D9:D374)</f>
        <v>23172.666666666635</v>
      </c>
      <c r="F2" s="67" t="s">
        <v>366</v>
      </c>
      <c r="G2" s="67"/>
      <c r="H2" s="68">
        <f>SUM(F9:F374)</f>
        <v>7</v>
      </c>
      <c r="J2" s="545" t="s">
        <v>85</v>
      </c>
      <c r="K2" s="546"/>
      <c r="L2" s="415">
        <v>700</v>
      </c>
      <c r="M2" s="416" t="s">
        <v>28</v>
      </c>
    </row>
    <row r="3" spans="1:13" ht="15" thickBot="1">
      <c r="A3" s="407" t="s">
        <v>88</v>
      </c>
      <c r="B3" s="408">
        <v>100</v>
      </c>
      <c r="C3" s="409" t="s">
        <v>367</v>
      </c>
      <c r="E3" s="69">
        <f>E2/1000</f>
        <v>23.172666666666636</v>
      </c>
      <c r="F3" s="70" t="s">
        <v>368</v>
      </c>
      <c r="G3" s="70"/>
      <c r="H3" s="71"/>
      <c r="J3" s="547" t="s">
        <v>369</v>
      </c>
      <c r="K3" s="548"/>
      <c r="L3" s="417">
        <v>100</v>
      </c>
      <c r="M3" s="418" t="s">
        <v>28</v>
      </c>
    </row>
    <row r="4" spans="1:13" ht="15" thickBot="1">
      <c r="A4" s="410" t="s">
        <v>370</v>
      </c>
      <c r="B4" s="411">
        <v>3</v>
      </c>
      <c r="C4" s="412" t="s">
        <v>368</v>
      </c>
    </row>
    <row r="7" spans="1:13">
      <c r="B7" s="8" t="s">
        <v>371</v>
      </c>
      <c r="C7" s="8" t="s">
        <v>371</v>
      </c>
      <c r="D7" s="8" t="s">
        <v>372</v>
      </c>
      <c r="E7" s="8" t="s">
        <v>373</v>
      </c>
      <c r="F7" s="8" t="s">
        <v>374</v>
      </c>
    </row>
    <row r="8" spans="1:13">
      <c r="B8" s="8" t="s">
        <v>199</v>
      </c>
      <c r="C8" s="8" t="s">
        <v>375</v>
      </c>
      <c r="D8" s="8" t="s">
        <v>292</v>
      </c>
      <c r="E8" s="8" t="s">
        <v>292</v>
      </c>
      <c r="F8" s="8"/>
    </row>
    <row r="9" spans="1:13">
      <c r="A9">
        <v>1</v>
      </c>
      <c r="B9" s="11">
        <f>'More accurate Energy (Solar)'!B16</f>
        <v>0.54166666666666652</v>
      </c>
      <c r="C9" s="404">
        <f>B9 * 1440</f>
        <v>779.99999999999977</v>
      </c>
      <c r="D9" s="404">
        <f>C9*$B$3*$B$1/$B$2/1000</f>
        <v>155.99999999999994</v>
      </c>
      <c r="E9" s="404">
        <f>D9</f>
        <v>155.99999999999994</v>
      </c>
    </row>
    <row r="10" spans="1:13">
      <c r="A10">
        <f t="shared" ref="A10:A73" si="0">A9+1</f>
        <v>2</v>
      </c>
      <c r="B10" s="11">
        <f>'More accurate Energy (Solar)'!B17</f>
        <v>6.9444444444444448E-2</v>
      </c>
      <c r="C10" s="404">
        <f t="shared" ref="C10:C73" si="1">B10 * 1000</f>
        <v>69.444444444444443</v>
      </c>
      <c r="D10" s="404">
        <f t="shared" ref="D10:D73" si="2">C10*$B$3*$B$1/$B$2/1000</f>
        <v>13.888888888888888</v>
      </c>
      <c r="E10" s="404">
        <f>IF(E9+D10 &gt; $B$4 * 1000,D10,E9 + D10)</f>
        <v>169.88888888888883</v>
      </c>
      <c r="F10" t="str">
        <f>IF(E10 = D10, 1, "")</f>
        <v/>
      </c>
    </row>
    <row r="11" spans="1:13">
      <c r="A11">
        <f t="shared" si="0"/>
        <v>3</v>
      </c>
      <c r="B11" s="11">
        <f>'More accurate Energy (Solar)'!B18</f>
        <v>0.93055555555555558</v>
      </c>
      <c r="C11" s="404">
        <f t="shared" si="1"/>
        <v>930.55555555555554</v>
      </c>
      <c r="D11" s="404">
        <f t="shared" si="2"/>
        <v>186.11111111111109</v>
      </c>
      <c r="E11" s="404">
        <f t="shared" ref="E11:E13" si="3">IF(E10+D11 &gt; $B$4 * 1000,D11,E10 + D11)</f>
        <v>355.99999999999989</v>
      </c>
      <c r="F11" t="str">
        <f t="shared" ref="F11:F74" si="4">IF(E11 = D11, 1, "")</f>
        <v/>
      </c>
    </row>
    <row r="12" spans="1:13">
      <c r="A12">
        <f t="shared" si="0"/>
        <v>4</v>
      </c>
      <c r="B12" s="11">
        <f>'More accurate Energy (Solar)'!B19</f>
        <v>1.0416666666666667</v>
      </c>
      <c r="C12" s="404">
        <f t="shared" si="1"/>
        <v>1041.6666666666667</v>
      </c>
      <c r="D12" s="404">
        <f t="shared" si="2"/>
        <v>208.33333333333334</v>
      </c>
      <c r="E12" s="404">
        <f t="shared" si="3"/>
        <v>564.33333333333326</v>
      </c>
      <c r="F12" t="str">
        <f t="shared" si="4"/>
        <v/>
      </c>
    </row>
    <row r="13" spans="1:13">
      <c r="A13">
        <f t="shared" si="0"/>
        <v>5</v>
      </c>
      <c r="B13" s="11">
        <f>'More accurate Energy (Solar)'!B20</f>
        <v>1.0416666666666667</v>
      </c>
      <c r="C13" s="404">
        <f t="shared" si="1"/>
        <v>1041.6666666666667</v>
      </c>
      <c r="D13" s="404">
        <f t="shared" si="2"/>
        <v>208.33333333333334</v>
      </c>
      <c r="E13" s="404">
        <f t="shared" si="3"/>
        <v>772.66666666666663</v>
      </c>
      <c r="F13" t="str">
        <f t="shared" si="4"/>
        <v/>
      </c>
    </row>
    <row r="14" spans="1:13">
      <c r="A14">
        <f t="shared" si="0"/>
        <v>6</v>
      </c>
      <c r="B14" s="11">
        <f>'More accurate Energy (Solar)'!B21</f>
        <v>0.19444444444444442</v>
      </c>
      <c r="C14" s="404">
        <f t="shared" si="1"/>
        <v>194.44444444444443</v>
      </c>
      <c r="D14" s="404">
        <f t="shared" si="2"/>
        <v>38.888888888888886</v>
      </c>
      <c r="E14" s="404">
        <f>IF(E13+D14 &gt; $B$4 * 1000,D14,E13 + D14)</f>
        <v>811.55555555555554</v>
      </c>
      <c r="F14" t="str">
        <f t="shared" si="4"/>
        <v/>
      </c>
    </row>
    <row r="15" spans="1:13">
      <c r="A15">
        <f t="shared" si="0"/>
        <v>7</v>
      </c>
      <c r="B15" s="11">
        <f>'More accurate Energy (Solar)'!B22</f>
        <v>0</v>
      </c>
      <c r="C15" s="404">
        <f t="shared" si="1"/>
        <v>0</v>
      </c>
      <c r="D15" s="404">
        <f t="shared" si="2"/>
        <v>0</v>
      </c>
      <c r="E15" s="404">
        <f t="shared" ref="E15:E20" si="5">IF(E14+D15 &gt; $B$4 * 1000,D15,E14 + D15)</f>
        <v>811.55555555555554</v>
      </c>
      <c r="F15" t="str">
        <f t="shared" si="4"/>
        <v/>
      </c>
    </row>
    <row r="16" spans="1:13">
      <c r="A16">
        <f t="shared" si="0"/>
        <v>8</v>
      </c>
      <c r="B16" s="11">
        <f>'More accurate Energy (Solar)'!B23</f>
        <v>0</v>
      </c>
      <c r="C16" s="404">
        <f t="shared" si="1"/>
        <v>0</v>
      </c>
      <c r="D16" s="404">
        <f t="shared" si="2"/>
        <v>0</v>
      </c>
      <c r="E16" s="404">
        <f t="shared" si="5"/>
        <v>811.55555555555554</v>
      </c>
      <c r="F16" t="str">
        <f t="shared" si="4"/>
        <v/>
      </c>
    </row>
    <row r="17" spans="1:6">
      <c r="A17">
        <f t="shared" si="0"/>
        <v>9</v>
      </c>
      <c r="B17" s="11">
        <f>'More accurate Energy (Solar)'!B24</f>
        <v>5.5555555555555552E-2</v>
      </c>
      <c r="C17" s="404">
        <f t="shared" si="1"/>
        <v>55.55555555555555</v>
      </c>
      <c r="D17" s="404">
        <f t="shared" si="2"/>
        <v>11.111111111111109</v>
      </c>
      <c r="E17" s="404">
        <f t="shared" si="5"/>
        <v>822.66666666666663</v>
      </c>
      <c r="F17" t="str">
        <f t="shared" si="4"/>
        <v/>
      </c>
    </row>
    <row r="18" spans="1:6">
      <c r="A18">
        <f t="shared" si="0"/>
        <v>10</v>
      </c>
      <c r="B18" s="11">
        <f>'More accurate Energy (Solar)'!B25</f>
        <v>0</v>
      </c>
      <c r="C18" s="404">
        <f t="shared" si="1"/>
        <v>0</v>
      </c>
      <c r="D18" s="404">
        <f t="shared" si="2"/>
        <v>0</v>
      </c>
      <c r="E18" s="404">
        <f t="shared" si="5"/>
        <v>822.66666666666663</v>
      </c>
      <c r="F18" t="str">
        <f t="shared" si="4"/>
        <v/>
      </c>
    </row>
    <row r="19" spans="1:6">
      <c r="A19">
        <f t="shared" si="0"/>
        <v>11</v>
      </c>
      <c r="B19" s="11">
        <f>'More accurate Energy (Solar)'!B26</f>
        <v>0</v>
      </c>
      <c r="C19" s="404">
        <f t="shared" si="1"/>
        <v>0</v>
      </c>
      <c r="D19" s="404">
        <f t="shared" si="2"/>
        <v>0</v>
      </c>
      <c r="E19" s="404">
        <f t="shared" si="5"/>
        <v>822.66666666666663</v>
      </c>
      <c r="F19" t="str">
        <f t="shared" si="4"/>
        <v/>
      </c>
    </row>
    <row r="20" spans="1:6">
      <c r="A20">
        <f t="shared" si="0"/>
        <v>12</v>
      </c>
      <c r="B20" s="11">
        <f>'More accurate Energy (Solar)'!B27</f>
        <v>0</v>
      </c>
      <c r="C20" s="404">
        <f t="shared" si="1"/>
        <v>0</v>
      </c>
      <c r="D20" s="404">
        <f t="shared" si="2"/>
        <v>0</v>
      </c>
      <c r="E20" s="404">
        <f t="shared" si="5"/>
        <v>822.66666666666663</v>
      </c>
      <c r="F20" t="str">
        <f t="shared" si="4"/>
        <v/>
      </c>
    </row>
    <row r="21" spans="1:6">
      <c r="A21">
        <f t="shared" si="0"/>
        <v>13</v>
      </c>
      <c r="B21" s="11">
        <f>'More accurate Energy (Solar)'!B28</f>
        <v>0</v>
      </c>
      <c r="C21" s="404">
        <f t="shared" si="1"/>
        <v>0</v>
      </c>
      <c r="D21" s="404">
        <f t="shared" si="2"/>
        <v>0</v>
      </c>
      <c r="E21" s="404">
        <f>IF(E20+D21 &gt; $B$4 * 1000,D21,E20 + D21)</f>
        <v>822.66666666666663</v>
      </c>
      <c r="F21" t="str">
        <f t="shared" si="4"/>
        <v/>
      </c>
    </row>
    <row r="22" spans="1:6">
      <c r="A22">
        <f t="shared" si="0"/>
        <v>14</v>
      </c>
      <c r="B22" s="11">
        <f>'More accurate Energy (Solar)'!B29</f>
        <v>2.7777777777777776E-2</v>
      </c>
      <c r="C22" s="404">
        <f t="shared" si="1"/>
        <v>27.777777777777775</v>
      </c>
      <c r="D22" s="404">
        <f t="shared" si="2"/>
        <v>5.5555555555555545</v>
      </c>
      <c r="E22" s="404">
        <f>IF(E21+D22 &gt; $B$4 * 1000,D22,E21 + D22)</f>
        <v>828.22222222222217</v>
      </c>
      <c r="F22" t="str">
        <f t="shared" si="4"/>
        <v/>
      </c>
    </row>
    <row r="23" spans="1:6">
      <c r="A23">
        <f t="shared" si="0"/>
        <v>15</v>
      </c>
      <c r="B23" s="11">
        <f>'More accurate Energy (Solar)'!B30</f>
        <v>1.0416666666666667</v>
      </c>
      <c r="C23" s="404">
        <f t="shared" si="1"/>
        <v>1041.6666666666667</v>
      </c>
      <c r="D23" s="404">
        <f t="shared" si="2"/>
        <v>208.33333333333334</v>
      </c>
      <c r="E23" s="404">
        <f t="shared" ref="E23" si="6">IF(E22+D23 &gt; $B$4 * 1000,D23,E22 + D23)</f>
        <v>1036.5555555555554</v>
      </c>
      <c r="F23" t="str">
        <f t="shared" si="4"/>
        <v/>
      </c>
    </row>
    <row r="24" spans="1:6">
      <c r="A24">
        <f t="shared" si="0"/>
        <v>16</v>
      </c>
      <c r="B24" s="11">
        <f>'More accurate Energy (Solar)'!B31</f>
        <v>0.41666666666666669</v>
      </c>
      <c r="C24" s="404">
        <f t="shared" si="1"/>
        <v>416.66666666666669</v>
      </c>
      <c r="D24" s="404">
        <f t="shared" si="2"/>
        <v>83.333333333333343</v>
      </c>
      <c r="E24" s="404">
        <f>IF(E23+D24 &gt; $B$4 * 1000,D24,E23 + D24)</f>
        <v>1119.8888888888887</v>
      </c>
      <c r="F24" t="str">
        <f t="shared" si="4"/>
        <v/>
      </c>
    </row>
    <row r="25" spans="1:6">
      <c r="A25">
        <f t="shared" si="0"/>
        <v>17</v>
      </c>
      <c r="B25" s="11">
        <f>'More accurate Energy (Solar)'!B32</f>
        <v>1.0416666666666667</v>
      </c>
      <c r="C25" s="404">
        <f t="shared" si="1"/>
        <v>1041.6666666666667</v>
      </c>
      <c r="D25" s="404">
        <f t="shared" si="2"/>
        <v>208.33333333333334</v>
      </c>
      <c r="E25" s="404">
        <f t="shared" ref="E25:E26" si="7">IF(E24+D25 &gt; $B$4 * 1000,D25,E24 + D25)</f>
        <v>1328.2222222222219</v>
      </c>
      <c r="F25" t="str">
        <f t="shared" si="4"/>
        <v/>
      </c>
    </row>
    <row r="26" spans="1:6">
      <c r="A26">
        <f t="shared" si="0"/>
        <v>18</v>
      </c>
      <c r="B26" s="11">
        <f>'More accurate Energy (Solar)'!B33</f>
        <v>1.0416666666666667</v>
      </c>
      <c r="C26" s="404">
        <f t="shared" si="1"/>
        <v>1041.6666666666667</v>
      </c>
      <c r="D26" s="404">
        <f t="shared" si="2"/>
        <v>208.33333333333334</v>
      </c>
      <c r="E26" s="404">
        <f t="shared" si="7"/>
        <v>1536.5555555555552</v>
      </c>
      <c r="F26" t="str">
        <f t="shared" si="4"/>
        <v/>
      </c>
    </row>
    <row r="27" spans="1:6">
      <c r="A27">
        <f t="shared" si="0"/>
        <v>19</v>
      </c>
      <c r="B27" s="11">
        <f>'More accurate Energy (Solar)'!B34</f>
        <v>0.18055555555555555</v>
      </c>
      <c r="C27" s="404">
        <f t="shared" si="1"/>
        <v>180.55555555555554</v>
      </c>
      <c r="D27" s="404">
        <f t="shared" si="2"/>
        <v>36.111111111111107</v>
      </c>
      <c r="E27" s="404">
        <f>IF(E26+D27 &gt; $B$4 * 1000,D27,E26 + D27)</f>
        <v>1572.6666666666663</v>
      </c>
      <c r="F27" t="str">
        <f t="shared" si="4"/>
        <v/>
      </c>
    </row>
    <row r="28" spans="1:6">
      <c r="A28">
        <f t="shared" si="0"/>
        <v>20</v>
      </c>
      <c r="B28" s="11">
        <f>'More accurate Energy (Solar)'!B35</f>
        <v>2.7777777777777776E-2</v>
      </c>
      <c r="C28" s="404">
        <f t="shared" si="1"/>
        <v>27.777777777777775</v>
      </c>
      <c r="D28" s="404">
        <f t="shared" si="2"/>
        <v>5.5555555555555545</v>
      </c>
      <c r="E28" s="404">
        <f t="shared" ref="E28:E30" si="8">IF(E27+D28 &gt; $B$4 * 1000,D28,E27 + D28)</f>
        <v>1578.2222222222219</v>
      </c>
      <c r="F28" t="str">
        <f t="shared" si="4"/>
        <v/>
      </c>
    </row>
    <row r="29" spans="1:6">
      <c r="A29">
        <f t="shared" si="0"/>
        <v>21</v>
      </c>
      <c r="B29" s="11">
        <f>'More accurate Energy (Solar)'!B36</f>
        <v>1.0416666666666667</v>
      </c>
      <c r="C29" s="404">
        <f t="shared" si="1"/>
        <v>1041.6666666666667</v>
      </c>
      <c r="D29" s="404">
        <f t="shared" si="2"/>
        <v>208.33333333333334</v>
      </c>
      <c r="E29" s="404">
        <f t="shared" si="8"/>
        <v>1786.5555555555552</v>
      </c>
      <c r="F29" t="str">
        <f t="shared" si="4"/>
        <v/>
      </c>
    </row>
    <row r="30" spans="1:6">
      <c r="A30">
        <f t="shared" si="0"/>
        <v>22</v>
      </c>
      <c r="B30" s="11">
        <f>'More accurate Energy (Solar)'!B37</f>
        <v>0.97222222222222221</v>
      </c>
      <c r="C30" s="404">
        <f t="shared" si="1"/>
        <v>972.22222222222217</v>
      </c>
      <c r="D30" s="404">
        <f t="shared" si="2"/>
        <v>194.44444444444443</v>
      </c>
      <c r="E30" s="404">
        <f t="shared" si="8"/>
        <v>1980.9999999999995</v>
      </c>
      <c r="F30" t="str">
        <f t="shared" si="4"/>
        <v/>
      </c>
    </row>
    <row r="31" spans="1:6">
      <c r="A31">
        <f t="shared" si="0"/>
        <v>23</v>
      </c>
      <c r="B31" s="11">
        <f>'More accurate Energy (Solar)'!B38</f>
        <v>1.0416666666666667</v>
      </c>
      <c r="C31" s="404">
        <f t="shared" si="1"/>
        <v>1041.6666666666667</v>
      </c>
      <c r="D31" s="404">
        <f t="shared" si="2"/>
        <v>208.33333333333334</v>
      </c>
      <c r="E31" s="404">
        <f>IF(E30+D31 &gt; $B$4 * 1000,D31,E30 + D31)</f>
        <v>2189.333333333333</v>
      </c>
      <c r="F31" t="str">
        <f t="shared" si="4"/>
        <v/>
      </c>
    </row>
    <row r="32" spans="1:6">
      <c r="A32">
        <f t="shared" si="0"/>
        <v>24</v>
      </c>
      <c r="B32" s="11">
        <f>'More accurate Energy (Solar)'!B39</f>
        <v>1.0416666666666667</v>
      </c>
      <c r="C32" s="404">
        <f t="shared" si="1"/>
        <v>1041.6666666666667</v>
      </c>
      <c r="D32" s="404">
        <f t="shared" si="2"/>
        <v>208.33333333333334</v>
      </c>
      <c r="E32" s="404">
        <f>IF(E31+D32 &gt; $B$4 * 1000,D32,E31 + D32)</f>
        <v>2397.6666666666665</v>
      </c>
      <c r="F32" t="str">
        <f t="shared" si="4"/>
        <v/>
      </c>
    </row>
    <row r="33" spans="1:6">
      <c r="A33">
        <f t="shared" si="0"/>
        <v>25</v>
      </c>
      <c r="B33" s="11">
        <f>'More accurate Energy (Solar)'!B40</f>
        <v>0.125</v>
      </c>
      <c r="C33" s="404">
        <f t="shared" si="1"/>
        <v>125</v>
      </c>
      <c r="D33" s="404">
        <f t="shared" si="2"/>
        <v>25</v>
      </c>
      <c r="E33" s="404">
        <f t="shared" ref="E33:E96" si="9">IF(E32+D33 &gt; $B$4 * 1000,D33,E32 + D33)</f>
        <v>2422.6666666666665</v>
      </c>
      <c r="F33" t="str">
        <f t="shared" si="4"/>
        <v/>
      </c>
    </row>
    <row r="34" spans="1:6">
      <c r="A34">
        <f t="shared" si="0"/>
        <v>26</v>
      </c>
      <c r="B34" s="11">
        <f>'More accurate Energy (Solar)'!B41</f>
        <v>0.19444444444444442</v>
      </c>
      <c r="C34" s="404">
        <f t="shared" si="1"/>
        <v>194.44444444444443</v>
      </c>
      <c r="D34" s="404">
        <f t="shared" si="2"/>
        <v>38.888888888888886</v>
      </c>
      <c r="E34" s="404">
        <f t="shared" si="9"/>
        <v>2461.5555555555552</v>
      </c>
      <c r="F34" t="str">
        <f t="shared" si="4"/>
        <v/>
      </c>
    </row>
    <row r="35" spans="1:6">
      <c r="A35">
        <f t="shared" si="0"/>
        <v>27</v>
      </c>
      <c r="B35" s="11">
        <f>'More accurate Energy (Solar)'!B42</f>
        <v>0.19444444444444442</v>
      </c>
      <c r="C35" s="404">
        <f t="shared" si="1"/>
        <v>194.44444444444443</v>
      </c>
      <c r="D35" s="404">
        <f t="shared" si="2"/>
        <v>38.888888888888886</v>
      </c>
      <c r="E35" s="404">
        <f t="shared" si="9"/>
        <v>2500.4444444444439</v>
      </c>
      <c r="F35" t="str">
        <f t="shared" si="4"/>
        <v/>
      </c>
    </row>
    <row r="36" spans="1:6">
      <c r="A36">
        <f t="shared" si="0"/>
        <v>28</v>
      </c>
      <c r="B36" s="11">
        <f>'More accurate Energy (Solar)'!B43</f>
        <v>0</v>
      </c>
      <c r="C36" s="404">
        <f t="shared" si="1"/>
        <v>0</v>
      </c>
      <c r="D36" s="404">
        <f t="shared" si="2"/>
        <v>0</v>
      </c>
      <c r="E36" s="404">
        <f t="shared" si="9"/>
        <v>2500.4444444444439</v>
      </c>
      <c r="F36" t="str">
        <f t="shared" si="4"/>
        <v/>
      </c>
    </row>
    <row r="37" spans="1:6">
      <c r="A37">
        <f t="shared" si="0"/>
        <v>29</v>
      </c>
      <c r="B37" s="11">
        <f>'More accurate Energy (Solar)'!B44</f>
        <v>0</v>
      </c>
      <c r="C37" s="404">
        <f t="shared" si="1"/>
        <v>0</v>
      </c>
      <c r="D37" s="404">
        <f t="shared" si="2"/>
        <v>0</v>
      </c>
      <c r="E37" s="404">
        <f t="shared" si="9"/>
        <v>2500.4444444444439</v>
      </c>
      <c r="F37" t="str">
        <f t="shared" si="4"/>
        <v/>
      </c>
    </row>
    <row r="38" spans="1:6">
      <c r="A38">
        <f t="shared" si="0"/>
        <v>30</v>
      </c>
      <c r="B38" s="11">
        <f>'More accurate Energy (Solar)'!B45</f>
        <v>4.1666666666666664E-2</v>
      </c>
      <c r="C38" s="404">
        <f t="shared" si="1"/>
        <v>41.666666666666664</v>
      </c>
      <c r="D38" s="404">
        <f t="shared" si="2"/>
        <v>8.3333333333333321</v>
      </c>
      <c r="E38" s="404">
        <f t="shared" si="9"/>
        <v>2508.7777777777774</v>
      </c>
      <c r="F38" t="str">
        <f t="shared" si="4"/>
        <v/>
      </c>
    </row>
    <row r="39" spans="1:6">
      <c r="A39">
        <f t="shared" si="0"/>
        <v>31</v>
      </c>
      <c r="B39" s="11">
        <f>'More accurate Energy (Solar)'!B46</f>
        <v>0.40277777777777773</v>
      </c>
      <c r="C39" s="404">
        <f t="shared" si="1"/>
        <v>402.77777777777771</v>
      </c>
      <c r="D39" s="404">
        <f t="shared" si="2"/>
        <v>80.555555555555543</v>
      </c>
      <c r="E39" s="404">
        <f t="shared" si="9"/>
        <v>2589.333333333333</v>
      </c>
      <c r="F39" t="str">
        <f t="shared" si="4"/>
        <v/>
      </c>
    </row>
    <row r="40" spans="1:6">
      <c r="A40">
        <f t="shared" si="0"/>
        <v>32</v>
      </c>
      <c r="B40" s="11">
        <f>'More accurate Energy (Solar)'!B47</f>
        <v>0.55555555555555558</v>
      </c>
      <c r="C40" s="404">
        <f t="shared" si="1"/>
        <v>555.55555555555554</v>
      </c>
      <c r="D40" s="404">
        <f t="shared" si="2"/>
        <v>111.1111111111111</v>
      </c>
      <c r="E40" s="404">
        <f t="shared" si="9"/>
        <v>2700.4444444444443</v>
      </c>
      <c r="F40" t="str">
        <f t="shared" si="4"/>
        <v/>
      </c>
    </row>
    <row r="41" spans="1:6">
      <c r="A41">
        <f t="shared" si="0"/>
        <v>33</v>
      </c>
      <c r="B41" s="11">
        <f>'More accurate Energy (Solar)'!B48</f>
        <v>1.0416666666666667</v>
      </c>
      <c r="C41" s="404">
        <f t="shared" si="1"/>
        <v>1041.6666666666667</v>
      </c>
      <c r="D41" s="404">
        <f t="shared" si="2"/>
        <v>208.33333333333334</v>
      </c>
      <c r="E41" s="404">
        <f t="shared" si="9"/>
        <v>2908.7777777777778</v>
      </c>
      <c r="F41" t="str">
        <f t="shared" si="4"/>
        <v/>
      </c>
    </row>
    <row r="42" spans="1:6">
      <c r="A42">
        <f t="shared" si="0"/>
        <v>34</v>
      </c>
      <c r="B42" s="11">
        <f>'More accurate Energy (Solar)'!B49</f>
        <v>4.1666666666666664E-2</v>
      </c>
      <c r="C42" s="404">
        <f t="shared" si="1"/>
        <v>41.666666666666664</v>
      </c>
      <c r="D42" s="404">
        <f t="shared" si="2"/>
        <v>8.3333333333333321</v>
      </c>
      <c r="E42" s="404">
        <f t="shared" si="9"/>
        <v>2917.1111111111113</v>
      </c>
      <c r="F42" t="str">
        <f t="shared" si="4"/>
        <v/>
      </c>
    </row>
    <row r="43" spans="1:6">
      <c r="A43">
        <f t="shared" si="0"/>
        <v>35</v>
      </c>
      <c r="B43" s="11">
        <f>'More accurate Energy (Solar)'!B50</f>
        <v>1.0416666666666667</v>
      </c>
      <c r="C43" s="404">
        <f t="shared" si="1"/>
        <v>1041.6666666666667</v>
      </c>
      <c r="D43" s="404">
        <f t="shared" si="2"/>
        <v>208.33333333333334</v>
      </c>
      <c r="E43" s="404">
        <f t="shared" si="9"/>
        <v>208.33333333333334</v>
      </c>
      <c r="F43">
        <f t="shared" si="4"/>
        <v>1</v>
      </c>
    </row>
    <row r="44" spans="1:6">
      <c r="A44">
        <f t="shared" si="0"/>
        <v>36</v>
      </c>
      <c r="B44" s="11">
        <f>'More accurate Energy (Solar)'!B51</f>
        <v>1.0416666666666667</v>
      </c>
      <c r="C44" s="404">
        <f t="shared" si="1"/>
        <v>1041.6666666666667</v>
      </c>
      <c r="D44" s="404">
        <f t="shared" si="2"/>
        <v>208.33333333333334</v>
      </c>
      <c r="E44" s="404">
        <f t="shared" si="9"/>
        <v>416.66666666666669</v>
      </c>
      <c r="F44" t="str">
        <f t="shared" si="4"/>
        <v/>
      </c>
    </row>
    <row r="45" spans="1:6">
      <c r="A45">
        <f t="shared" si="0"/>
        <v>37</v>
      </c>
      <c r="B45" s="11">
        <f>'More accurate Energy (Solar)'!B52</f>
        <v>1.0416666666666667</v>
      </c>
      <c r="C45" s="404">
        <f t="shared" si="1"/>
        <v>1041.6666666666667</v>
      </c>
      <c r="D45" s="404">
        <f t="shared" si="2"/>
        <v>208.33333333333334</v>
      </c>
      <c r="E45" s="404">
        <f t="shared" si="9"/>
        <v>625</v>
      </c>
      <c r="F45" t="str">
        <f t="shared" si="4"/>
        <v/>
      </c>
    </row>
    <row r="46" spans="1:6">
      <c r="A46">
        <f t="shared" si="0"/>
        <v>38</v>
      </c>
      <c r="B46" s="11">
        <f>'More accurate Energy (Solar)'!B53</f>
        <v>1.0416666666666667</v>
      </c>
      <c r="C46" s="404">
        <f t="shared" si="1"/>
        <v>1041.6666666666667</v>
      </c>
      <c r="D46" s="404">
        <f t="shared" si="2"/>
        <v>208.33333333333334</v>
      </c>
      <c r="E46" s="404">
        <f t="shared" si="9"/>
        <v>833.33333333333337</v>
      </c>
      <c r="F46" t="str">
        <f t="shared" si="4"/>
        <v/>
      </c>
    </row>
    <row r="47" spans="1:6">
      <c r="A47">
        <f t="shared" si="0"/>
        <v>39</v>
      </c>
      <c r="B47" s="11">
        <f>'More accurate Energy (Solar)'!B54</f>
        <v>0.45833333333333331</v>
      </c>
      <c r="C47" s="404">
        <f t="shared" si="1"/>
        <v>458.33333333333331</v>
      </c>
      <c r="D47" s="404">
        <f t="shared" si="2"/>
        <v>91.666666666666657</v>
      </c>
      <c r="E47" s="404">
        <f t="shared" si="9"/>
        <v>925</v>
      </c>
      <c r="F47" t="str">
        <f t="shared" si="4"/>
        <v/>
      </c>
    </row>
    <row r="48" spans="1:6">
      <c r="A48">
        <f t="shared" si="0"/>
        <v>40</v>
      </c>
      <c r="B48" s="11">
        <f>'More accurate Energy (Solar)'!B55</f>
        <v>0.22222222222222221</v>
      </c>
      <c r="C48" s="404">
        <f t="shared" si="1"/>
        <v>222.2222222222222</v>
      </c>
      <c r="D48" s="404">
        <f t="shared" si="2"/>
        <v>44.444444444444436</v>
      </c>
      <c r="E48" s="404">
        <f t="shared" si="9"/>
        <v>969.44444444444446</v>
      </c>
      <c r="F48" t="str">
        <f t="shared" si="4"/>
        <v/>
      </c>
    </row>
    <row r="49" spans="1:6">
      <c r="A49">
        <f t="shared" si="0"/>
        <v>41</v>
      </c>
      <c r="B49" s="11">
        <f>'More accurate Energy (Solar)'!B56</f>
        <v>1.3888888888888888E-2</v>
      </c>
      <c r="C49" s="404">
        <f t="shared" si="1"/>
        <v>13.888888888888888</v>
      </c>
      <c r="D49" s="404">
        <f t="shared" si="2"/>
        <v>2.7777777777777772</v>
      </c>
      <c r="E49" s="404">
        <f t="shared" si="9"/>
        <v>972.22222222222229</v>
      </c>
      <c r="F49" t="str">
        <f t="shared" si="4"/>
        <v/>
      </c>
    </row>
    <row r="50" spans="1:6">
      <c r="A50">
        <f t="shared" si="0"/>
        <v>42</v>
      </c>
      <c r="B50" s="11">
        <f>'More accurate Energy (Solar)'!B57</f>
        <v>1.0416666666666667</v>
      </c>
      <c r="C50" s="404">
        <f t="shared" si="1"/>
        <v>1041.6666666666667</v>
      </c>
      <c r="D50" s="404">
        <f t="shared" si="2"/>
        <v>208.33333333333334</v>
      </c>
      <c r="E50" s="404">
        <f>IF(E49+D50 &gt; $B$4 * 1000,D50,E49 + D50)</f>
        <v>1180.5555555555557</v>
      </c>
      <c r="F50" t="str">
        <f t="shared" si="4"/>
        <v/>
      </c>
    </row>
    <row r="51" spans="1:6">
      <c r="A51">
        <f t="shared" si="0"/>
        <v>43</v>
      </c>
      <c r="B51" s="11">
        <f>'More accurate Energy (Solar)'!B58</f>
        <v>1.0416666666666667</v>
      </c>
      <c r="C51" s="404">
        <f t="shared" si="1"/>
        <v>1041.6666666666667</v>
      </c>
      <c r="D51" s="404">
        <f t="shared" si="2"/>
        <v>208.33333333333334</v>
      </c>
      <c r="E51" s="404">
        <f t="shared" si="9"/>
        <v>1388.8888888888889</v>
      </c>
      <c r="F51" t="str">
        <f t="shared" si="4"/>
        <v/>
      </c>
    </row>
    <row r="52" spans="1:6">
      <c r="A52">
        <f t="shared" si="0"/>
        <v>44</v>
      </c>
      <c r="B52" s="11">
        <f>'More accurate Energy (Solar)'!B59</f>
        <v>1.0416666666666667</v>
      </c>
      <c r="C52" s="404">
        <f t="shared" si="1"/>
        <v>1041.6666666666667</v>
      </c>
      <c r="D52" s="404">
        <f t="shared" si="2"/>
        <v>208.33333333333334</v>
      </c>
      <c r="E52" s="404">
        <f t="shared" si="9"/>
        <v>1597.2222222222222</v>
      </c>
      <c r="F52" t="str">
        <f t="shared" si="4"/>
        <v/>
      </c>
    </row>
    <row r="53" spans="1:6">
      <c r="A53">
        <f t="shared" si="0"/>
        <v>45</v>
      </c>
      <c r="B53" s="11">
        <f>'More accurate Energy (Solar)'!B60</f>
        <v>1.3888888888888888E-2</v>
      </c>
      <c r="C53" s="404">
        <f t="shared" si="1"/>
        <v>13.888888888888888</v>
      </c>
      <c r="D53" s="404">
        <f t="shared" si="2"/>
        <v>2.7777777777777772</v>
      </c>
      <c r="E53" s="404">
        <f t="shared" si="9"/>
        <v>1600</v>
      </c>
      <c r="F53" t="str">
        <f t="shared" si="4"/>
        <v/>
      </c>
    </row>
    <row r="54" spans="1:6">
      <c r="A54">
        <f t="shared" si="0"/>
        <v>46</v>
      </c>
      <c r="B54" s="11">
        <f>'More accurate Energy (Solar)'!B61</f>
        <v>0</v>
      </c>
      <c r="C54" s="404">
        <f t="shared" si="1"/>
        <v>0</v>
      </c>
      <c r="D54" s="404">
        <f t="shared" si="2"/>
        <v>0</v>
      </c>
      <c r="E54" s="404">
        <f t="shared" si="9"/>
        <v>1600</v>
      </c>
      <c r="F54" t="str">
        <f t="shared" si="4"/>
        <v/>
      </c>
    </row>
    <row r="55" spans="1:6">
      <c r="A55">
        <f t="shared" si="0"/>
        <v>47</v>
      </c>
      <c r="B55" s="11">
        <f>'More accurate Energy (Solar)'!B62</f>
        <v>0</v>
      </c>
      <c r="C55" s="404">
        <f t="shared" si="1"/>
        <v>0</v>
      </c>
      <c r="D55" s="404">
        <f t="shared" si="2"/>
        <v>0</v>
      </c>
      <c r="E55" s="404">
        <f t="shared" si="9"/>
        <v>1600</v>
      </c>
      <c r="F55" t="str">
        <f t="shared" si="4"/>
        <v/>
      </c>
    </row>
    <row r="56" spans="1:6">
      <c r="A56">
        <f t="shared" si="0"/>
        <v>48</v>
      </c>
      <c r="B56" s="11">
        <f>'More accurate Energy (Solar)'!B63</f>
        <v>0</v>
      </c>
      <c r="C56" s="404">
        <f t="shared" si="1"/>
        <v>0</v>
      </c>
      <c r="D56" s="404">
        <f t="shared" si="2"/>
        <v>0</v>
      </c>
      <c r="E56" s="404">
        <f t="shared" si="9"/>
        <v>1600</v>
      </c>
      <c r="F56" t="str">
        <f t="shared" si="4"/>
        <v/>
      </c>
    </row>
    <row r="57" spans="1:6">
      <c r="A57">
        <f t="shared" si="0"/>
        <v>49</v>
      </c>
      <c r="B57" s="11">
        <f>'More accurate Energy (Solar)'!B64</f>
        <v>0.27777777777777779</v>
      </c>
      <c r="C57" s="404">
        <f t="shared" si="1"/>
        <v>277.77777777777777</v>
      </c>
      <c r="D57" s="404">
        <f t="shared" si="2"/>
        <v>55.55555555555555</v>
      </c>
      <c r="E57" s="404">
        <f t="shared" si="9"/>
        <v>1655.5555555555557</v>
      </c>
      <c r="F57" t="str">
        <f t="shared" si="4"/>
        <v/>
      </c>
    </row>
    <row r="58" spans="1:6">
      <c r="A58">
        <f t="shared" si="0"/>
        <v>50</v>
      </c>
      <c r="B58" s="11">
        <f>'More accurate Energy (Solar)'!B65</f>
        <v>0.76388888888888884</v>
      </c>
      <c r="C58" s="404">
        <f t="shared" si="1"/>
        <v>763.8888888888888</v>
      </c>
      <c r="D58" s="404">
        <f t="shared" si="2"/>
        <v>152.77777777777774</v>
      </c>
      <c r="E58" s="404">
        <f t="shared" si="9"/>
        <v>1808.3333333333335</v>
      </c>
      <c r="F58" t="str">
        <f t="shared" si="4"/>
        <v/>
      </c>
    </row>
    <row r="59" spans="1:6">
      <c r="A59">
        <f t="shared" si="0"/>
        <v>51</v>
      </c>
      <c r="B59" s="11">
        <f>'More accurate Energy (Solar)'!B66</f>
        <v>2.7777777777777776E-2</v>
      </c>
      <c r="C59" s="404">
        <f t="shared" si="1"/>
        <v>27.777777777777775</v>
      </c>
      <c r="D59" s="404">
        <f t="shared" si="2"/>
        <v>5.5555555555555545</v>
      </c>
      <c r="E59" s="404">
        <f t="shared" si="9"/>
        <v>1813.8888888888891</v>
      </c>
      <c r="F59" t="str">
        <f t="shared" si="4"/>
        <v/>
      </c>
    </row>
    <row r="60" spans="1:6">
      <c r="A60">
        <f t="shared" si="0"/>
        <v>52</v>
      </c>
      <c r="B60" s="11">
        <f>'More accurate Energy (Solar)'!B67</f>
        <v>0</v>
      </c>
      <c r="C60" s="404">
        <f t="shared" si="1"/>
        <v>0</v>
      </c>
      <c r="D60" s="404">
        <f t="shared" si="2"/>
        <v>0</v>
      </c>
      <c r="E60" s="404">
        <f t="shared" si="9"/>
        <v>1813.8888888888891</v>
      </c>
      <c r="F60" t="str">
        <f t="shared" si="4"/>
        <v/>
      </c>
    </row>
    <row r="61" spans="1:6">
      <c r="A61">
        <f t="shared" si="0"/>
        <v>53</v>
      </c>
      <c r="B61" s="11">
        <f>'More accurate Energy (Solar)'!B68</f>
        <v>0</v>
      </c>
      <c r="C61" s="404">
        <f t="shared" si="1"/>
        <v>0</v>
      </c>
      <c r="D61" s="404">
        <f t="shared" si="2"/>
        <v>0</v>
      </c>
      <c r="E61" s="404">
        <f t="shared" si="9"/>
        <v>1813.8888888888891</v>
      </c>
      <c r="F61" t="str">
        <f t="shared" si="4"/>
        <v/>
      </c>
    </row>
    <row r="62" spans="1:6">
      <c r="A62">
        <f t="shared" si="0"/>
        <v>54</v>
      </c>
      <c r="B62" s="11">
        <f>'More accurate Energy (Solar)'!B69</f>
        <v>0</v>
      </c>
      <c r="C62" s="404">
        <f t="shared" si="1"/>
        <v>0</v>
      </c>
      <c r="D62" s="404">
        <f t="shared" si="2"/>
        <v>0</v>
      </c>
      <c r="E62" s="404">
        <f t="shared" si="9"/>
        <v>1813.8888888888891</v>
      </c>
      <c r="F62" t="str">
        <f t="shared" si="4"/>
        <v/>
      </c>
    </row>
    <row r="63" spans="1:6">
      <c r="A63">
        <f t="shared" si="0"/>
        <v>55</v>
      </c>
      <c r="B63" s="11">
        <f>'More accurate Energy (Solar)'!B70</f>
        <v>1.3888888888888888E-2</v>
      </c>
      <c r="C63" s="404">
        <f t="shared" si="1"/>
        <v>13.888888888888888</v>
      </c>
      <c r="D63" s="404">
        <f t="shared" si="2"/>
        <v>2.7777777777777772</v>
      </c>
      <c r="E63" s="404">
        <f t="shared" si="9"/>
        <v>1816.666666666667</v>
      </c>
      <c r="F63" t="str">
        <f t="shared" si="4"/>
        <v/>
      </c>
    </row>
    <row r="64" spans="1:6">
      <c r="A64">
        <f t="shared" si="0"/>
        <v>56</v>
      </c>
      <c r="B64" s="11">
        <f>'More accurate Energy (Solar)'!B71</f>
        <v>0.31944444444444442</v>
      </c>
      <c r="C64" s="404">
        <f t="shared" si="1"/>
        <v>319.4444444444444</v>
      </c>
      <c r="D64" s="404">
        <f t="shared" si="2"/>
        <v>63.888888888888893</v>
      </c>
      <c r="E64" s="404">
        <f t="shared" si="9"/>
        <v>1880.5555555555559</v>
      </c>
      <c r="F64" t="str">
        <f t="shared" si="4"/>
        <v/>
      </c>
    </row>
    <row r="65" spans="1:6">
      <c r="A65">
        <f t="shared" si="0"/>
        <v>57</v>
      </c>
      <c r="B65" s="11">
        <f>'More accurate Energy (Solar)'!B72</f>
        <v>0.61111111111111116</v>
      </c>
      <c r="C65" s="404">
        <f t="shared" si="1"/>
        <v>611.1111111111112</v>
      </c>
      <c r="D65" s="404">
        <f t="shared" si="2"/>
        <v>122.22222222222221</v>
      </c>
      <c r="E65" s="404">
        <f t="shared" si="9"/>
        <v>2002.7777777777781</v>
      </c>
      <c r="F65" t="str">
        <f t="shared" si="4"/>
        <v/>
      </c>
    </row>
    <row r="66" spans="1:6">
      <c r="A66">
        <f t="shared" si="0"/>
        <v>58</v>
      </c>
      <c r="B66" s="11">
        <f>'More accurate Energy (Solar)'!B73</f>
        <v>2.7777777777777776E-2</v>
      </c>
      <c r="C66" s="404">
        <f t="shared" si="1"/>
        <v>27.777777777777775</v>
      </c>
      <c r="D66" s="404">
        <f t="shared" si="2"/>
        <v>5.5555555555555545</v>
      </c>
      <c r="E66" s="404">
        <f t="shared" si="9"/>
        <v>2008.3333333333337</v>
      </c>
      <c r="F66" t="str">
        <f t="shared" si="4"/>
        <v/>
      </c>
    </row>
    <row r="67" spans="1:6">
      <c r="A67">
        <f t="shared" si="0"/>
        <v>59</v>
      </c>
      <c r="B67" s="11">
        <f>'More accurate Energy (Solar)'!B74</f>
        <v>0</v>
      </c>
      <c r="C67" s="404">
        <f t="shared" si="1"/>
        <v>0</v>
      </c>
      <c r="D67" s="404">
        <f t="shared" si="2"/>
        <v>0</v>
      </c>
      <c r="E67" s="404">
        <f t="shared" si="9"/>
        <v>2008.3333333333337</v>
      </c>
      <c r="F67" t="str">
        <f t="shared" si="4"/>
        <v/>
      </c>
    </row>
    <row r="68" spans="1:6">
      <c r="A68">
        <f t="shared" si="0"/>
        <v>60</v>
      </c>
      <c r="B68" s="11">
        <f>'More accurate Energy (Solar)'!B75</f>
        <v>8.3333333333333329E-2</v>
      </c>
      <c r="C68" s="404">
        <f t="shared" si="1"/>
        <v>83.333333333333329</v>
      </c>
      <c r="D68" s="404">
        <f t="shared" si="2"/>
        <v>16.666666666666664</v>
      </c>
      <c r="E68" s="404">
        <f t="shared" si="9"/>
        <v>2025.0000000000005</v>
      </c>
      <c r="F68" t="str">
        <f t="shared" si="4"/>
        <v/>
      </c>
    </row>
    <row r="69" spans="1:6">
      <c r="A69">
        <f t="shared" si="0"/>
        <v>61</v>
      </c>
      <c r="B69" s="11">
        <f>'More accurate Energy (Solar)'!B76</f>
        <v>0</v>
      </c>
      <c r="C69" s="404">
        <f t="shared" si="1"/>
        <v>0</v>
      </c>
      <c r="D69" s="404">
        <f t="shared" si="2"/>
        <v>0</v>
      </c>
      <c r="E69" s="404">
        <f t="shared" si="9"/>
        <v>2025.0000000000005</v>
      </c>
      <c r="F69" t="str">
        <f t="shared" si="4"/>
        <v/>
      </c>
    </row>
    <row r="70" spans="1:6">
      <c r="A70">
        <f t="shared" si="0"/>
        <v>62</v>
      </c>
      <c r="B70" s="11">
        <f>'More accurate Energy (Solar)'!B77</f>
        <v>0</v>
      </c>
      <c r="C70" s="404">
        <f t="shared" si="1"/>
        <v>0</v>
      </c>
      <c r="D70" s="404">
        <f t="shared" si="2"/>
        <v>0</v>
      </c>
      <c r="E70" s="404">
        <f t="shared" si="9"/>
        <v>2025.0000000000005</v>
      </c>
      <c r="F70" t="str">
        <f t="shared" si="4"/>
        <v/>
      </c>
    </row>
    <row r="71" spans="1:6">
      <c r="A71">
        <f t="shared" si="0"/>
        <v>63</v>
      </c>
      <c r="B71" s="11">
        <f>'More accurate Energy (Solar)'!B78</f>
        <v>2.7777777777777776E-2</v>
      </c>
      <c r="C71" s="404">
        <f t="shared" si="1"/>
        <v>27.777777777777775</v>
      </c>
      <c r="D71" s="404">
        <f t="shared" si="2"/>
        <v>5.5555555555555545</v>
      </c>
      <c r="E71" s="404">
        <f t="shared" si="9"/>
        <v>2030.5555555555561</v>
      </c>
      <c r="F71" t="str">
        <f t="shared" si="4"/>
        <v/>
      </c>
    </row>
    <row r="72" spans="1:6">
      <c r="A72">
        <f t="shared" si="0"/>
        <v>64</v>
      </c>
      <c r="B72" s="11">
        <f>'More accurate Energy (Solar)'!B79</f>
        <v>0.125</v>
      </c>
      <c r="C72" s="404">
        <f t="shared" si="1"/>
        <v>125</v>
      </c>
      <c r="D72" s="404">
        <f t="shared" si="2"/>
        <v>25</v>
      </c>
      <c r="E72" s="404">
        <f t="shared" si="9"/>
        <v>2055.5555555555561</v>
      </c>
      <c r="F72" t="str">
        <f t="shared" si="4"/>
        <v/>
      </c>
    </row>
    <row r="73" spans="1:6">
      <c r="A73">
        <f t="shared" si="0"/>
        <v>65</v>
      </c>
      <c r="B73" s="11">
        <f>'More accurate Energy (Solar)'!B80</f>
        <v>5.5555555555555552E-2</v>
      </c>
      <c r="C73" s="404">
        <f t="shared" si="1"/>
        <v>55.55555555555555</v>
      </c>
      <c r="D73" s="404">
        <f t="shared" si="2"/>
        <v>11.111111111111109</v>
      </c>
      <c r="E73" s="404">
        <f t="shared" si="9"/>
        <v>2066.6666666666674</v>
      </c>
      <c r="F73" t="str">
        <f t="shared" si="4"/>
        <v/>
      </c>
    </row>
    <row r="74" spans="1:6">
      <c r="A74">
        <f t="shared" ref="A74:A137" si="10">A73+1</f>
        <v>66</v>
      </c>
      <c r="B74" s="11">
        <f>'More accurate Energy (Solar)'!B81</f>
        <v>0</v>
      </c>
      <c r="C74" s="404">
        <f t="shared" ref="C74:C137" si="11">B74 * 1000</f>
        <v>0</v>
      </c>
      <c r="D74" s="404">
        <f t="shared" ref="D74:D137" si="12">C74*$B$3*$B$1/$B$2/1000</f>
        <v>0</v>
      </c>
      <c r="E74" s="404">
        <f t="shared" si="9"/>
        <v>2066.6666666666674</v>
      </c>
      <c r="F74" t="str">
        <f t="shared" si="4"/>
        <v/>
      </c>
    </row>
    <row r="75" spans="1:6">
      <c r="A75">
        <f t="shared" si="10"/>
        <v>67</v>
      </c>
      <c r="B75" s="11">
        <f>'More accurate Energy (Solar)'!B82</f>
        <v>2.7777777777777776E-2</v>
      </c>
      <c r="C75" s="404">
        <f t="shared" si="11"/>
        <v>27.777777777777775</v>
      </c>
      <c r="D75" s="404">
        <f t="shared" si="12"/>
        <v>5.5555555555555545</v>
      </c>
      <c r="E75" s="404">
        <f t="shared" si="9"/>
        <v>2072.2222222222231</v>
      </c>
      <c r="F75" t="str">
        <f t="shared" ref="F75:F138" si="13">IF(E75 = D75, 1, "")</f>
        <v/>
      </c>
    </row>
    <row r="76" spans="1:6">
      <c r="A76">
        <f t="shared" si="10"/>
        <v>68</v>
      </c>
      <c r="B76" s="11">
        <f>'More accurate Energy (Solar)'!B83</f>
        <v>2.7777777777777776E-2</v>
      </c>
      <c r="C76" s="404">
        <f t="shared" si="11"/>
        <v>27.777777777777775</v>
      </c>
      <c r="D76" s="404">
        <f t="shared" si="12"/>
        <v>5.5555555555555545</v>
      </c>
      <c r="E76" s="404">
        <f t="shared" si="9"/>
        <v>2077.7777777777787</v>
      </c>
      <c r="F76" t="str">
        <f t="shared" si="13"/>
        <v/>
      </c>
    </row>
    <row r="77" spans="1:6">
      <c r="A77">
        <f t="shared" si="10"/>
        <v>69</v>
      </c>
      <c r="B77" s="11">
        <f>'More accurate Energy (Solar)'!B84</f>
        <v>0.19444444444444442</v>
      </c>
      <c r="C77" s="404">
        <f t="shared" si="11"/>
        <v>194.44444444444443</v>
      </c>
      <c r="D77" s="404">
        <f t="shared" si="12"/>
        <v>38.888888888888886</v>
      </c>
      <c r="E77" s="404">
        <f t="shared" si="9"/>
        <v>2116.6666666666674</v>
      </c>
      <c r="F77" t="str">
        <f t="shared" si="13"/>
        <v/>
      </c>
    </row>
    <row r="78" spans="1:6">
      <c r="A78">
        <f t="shared" si="10"/>
        <v>70</v>
      </c>
      <c r="B78" s="11">
        <f>'More accurate Energy (Solar)'!B85</f>
        <v>0.94444444444444442</v>
      </c>
      <c r="C78" s="404">
        <f t="shared" si="11"/>
        <v>944.44444444444446</v>
      </c>
      <c r="D78" s="404">
        <f t="shared" si="12"/>
        <v>188.88888888888891</v>
      </c>
      <c r="E78" s="404">
        <f t="shared" si="9"/>
        <v>2305.5555555555566</v>
      </c>
      <c r="F78" t="str">
        <f t="shared" si="13"/>
        <v/>
      </c>
    </row>
    <row r="79" spans="1:6">
      <c r="A79">
        <f t="shared" si="10"/>
        <v>71</v>
      </c>
      <c r="B79" s="11">
        <f>'More accurate Energy (Solar)'!B86</f>
        <v>0.59722222222222221</v>
      </c>
      <c r="C79" s="404">
        <f t="shared" si="11"/>
        <v>597.22222222222217</v>
      </c>
      <c r="D79" s="404">
        <f t="shared" si="12"/>
        <v>119.44444444444446</v>
      </c>
      <c r="E79" s="404">
        <f t="shared" si="9"/>
        <v>2425.0000000000009</v>
      </c>
      <c r="F79" t="str">
        <f t="shared" si="13"/>
        <v/>
      </c>
    </row>
    <row r="80" spans="1:6">
      <c r="A80">
        <f t="shared" si="10"/>
        <v>72</v>
      </c>
      <c r="B80" s="11">
        <f>'More accurate Energy (Solar)'!B87</f>
        <v>1.0416666666666667</v>
      </c>
      <c r="C80" s="404">
        <f t="shared" si="11"/>
        <v>1041.6666666666667</v>
      </c>
      <c r="D80" s="404">
        <f t="shared" si="12"/>
        <v>208.33333333333334</v>
      </c>
      <c r="E80" s="404">
        <f t="shared" si="9"/>
        <v>2633.3333333333344</v>
      </c>
      <c r="F80" t="str">
        <f t="shared" si="13"/>
        <v/>
      </c>
    </row>
    <row r="81" spans="1:6">
      <c r="A81">
        <f t="shared" si="10"/>
        <v>73</v>
      </c>
      <c r="B81" s="11">
        <f>'More accurate Energy (Solar)'!B88</f>
        <v>4.1666666666666664E-2</v>
      </c>
      <c r="C81" s="404">
        <f t="shared" si="11"/>
        <v>41.666666666666664</v>
      </c>
      <c r="D81" s="404">
        <f t="shared" si="12"/>
        <v>8.3333333333333321</v>
      </c>
      <c r="E81" s="404">
        <f t="shared" si="9"/>
        <v>2641.6666666666679</v>
      </c>
      <c r="F81" t="str">
        <f t="shared" si="13"/>
        <v/>
      </c>
    </row>
    <row r="82" spans="1:6">
      <c r="A82">
        <f t="shared" si="10"/>
        <v>74</v>
      </c>
      <c r="B82" s="11">
        <f>'More accurate Energy (Solar)'!B89</f>
        <v>0</v>
      </c>
      <c r="C82" s="404">
        <f t="shared" si="11"/>
        <v>0</v>
      </c>
      <c r="D82" s="404">
        <f t="shared" si="12"/>
        <v>0</v>
      </c>
      <c r="E82" s="404">
        <f t="shared" si="9"/>
        <v>2641.6666666666679</v>
      </c>
      <c r="F82" t="str">
        <f t="shared" si="13"/>
        <v/>
      </c>
    </row>
    <row r="83" spans="1:6">
      <c r="A83">
        <f t="shared" si="10"/>
        <v>75</v>
      </c>
      <c r="B83" s="11">
        <f>'More accurate Energy (Solar)'!B90</f>
        <v>0</v>
      </c>
      <c r="C83" s="404">
        <f t="shared" si="11"/>
        <v>0</v>
      </c>
      <c r="D83" s="404">
        <f t="shared" si="12"/>
        <v>0</v>
      </c>
      <c r="E83" s="404">
        <f t="shared" si="9"/>
        <v>2641.6666666666679</v>
      </c>
      <c r="F83" t="str">
        <f t="shared" si="13"/>
        <v/>
      </c>
    </row>
    <row r="84" spans="1:6">
      <c r="A84">
        <f t="shared" si="10"/>
        <v>76</v>
      </c>
      <c r="B84" s="11">
        <f>'More accurate Energy (Solar)'!B91</f>
        <v>0</v>
      </c>
      <c r="C84" s="404">
        <f t="shared" si="11"/>
        <v>0</v>
      </c>
      <c r="D84" s="404">
        <f t="shared" si="12"/>
        <v>0</v>
      </c>
      <c r="E84" s="404">
        <f t="shared" si="9"/>
        <v>2641.6666666666679</v>
      </c>
      <c r="F84" t="str">
        <f t="shared" si="13"/>
        <v/>
      </c>
    </row>
    <row r="85" spans="1:6">
      <c r="A85">
        <f t="shared" si="10"/>
        <v>77</v>
      </c>
      <c r="B85" s="11">
        <f>'More accurate Energy (Solar)'!B92</f>
        <v>1.0416666666666667</v>
      </c>
      <c r="C85" s="404">
        <f t="shared" si="11"/>
        <v>1041.6666666666667</v>
      </c>
      <c r="D85" s="404">
        <f t="shared" si="12"/>
        <v>208.33333333333334</v>
      </c>
      <c r="E85" s="404">
        <f t="shared" si="9"/>
        <v>2850.0000000000014</v>
      </c>
      <c r="F85" t="str">
        <f t="shared" si="13"/>
        <v/>
      </c>
    </row>
    <row r="86" spans="1:6">
      <c r="A86">
        <f t="shared" si="10"/>
        <v>78</v>
      </c>
      <c r="B86" s="11">
        <f>'More accurate Energy (Solar)'!B93</f>
        <v>1.0416666666666667</v>
      </c>
      <c r="C86" s="404">
        <f t="shared" si="11"/>
        <v>1041.6666666666667</v>
      </c>
      <c r="D86" s="404">
        <f t="shared" si="12"/>
        <v>208.33333333333334</v>
      </c>
      <c r="E86" s="404">
        <f t="shared" si="9"/>
        <v>208.33333333333334</v>
      </c>
      <c r="F86">
        <f t="shared" si="13"/>
        <v>1</v>
      </c>
    </row>
    <row r="87" spans="1:6">
      <c r="A87">
        <f t="shared" si="10"/>
        <v>79</v>
      </c>
      <c r="B87" s="11">
        <f>'More accurate Energy (Solar)'!B94</f>
        <v>1.0416666666666667</v>
      </c>
      <c r="C87" s="404">
        <f t="shared" si="11"/>
        <v>1041.6666666666667</v>
      </c>
      <c r="D87" s="404">
        <f t="shared" si="12"/>
        <v>208.33333333333334</v>
      </c>
      <c r="E87" s="404">
        <f t="shared" si="9"/>
        <v>416.66666666666669</v>
      </c>
      <c r="F87" t="str">
        <f t="shared" si="13"/>
        <v/>
      </c>
    </row>
    <row r="88" spans="1:6">
      <c r="A88">
        <f t="shared" si="10"/>
        <v>80</v>
      </c>
      <c r="B88" s="11">
        <f>'More accurate Energy (Solar)'!B95</f>
        <v>0</v>
      </c>
      <c r="C88" s="404">
        <f t="shared" si="11"/>
        <v>0</v>
      </c>
      <c r="D88" s="404">
        <f t="shared" si="12"/>
        <v>0</v>
      </c>
      <c r="E88" s="404">
        <f t="shared" si="9"/>
        <v>416.66666666666669</v>
      </c>
      <c r="F88" t="str">
        <f t="shared" si="13"/>
        <v/>
      </c>
    </row>
    <row r="89" spans="1:6">
      <c r="A89">
        <f t="shared" si="10"/>
        <v>81</v>
      </c>
      <c r="B89" s="11">
        <f>'More accurate Energy (Solar)'!B96</f>
        <v>0.4861111111111111</v>
      </c>
      <c r="C89" s="404">
        <f t="shared" si="11"/>
        <v>486.11111111111109</v>
      </c>
      <c r="D89" s="404">
        <f t="shared" si="12"/>
        <v>97.222222222222214</v>
      </c>
      <c r="E89" s="404">
        <f t="shared" si="9"/>
        <v>513.88888888888891</v>
      </c>
      <c r="F89" t="str">
        <f t="shared" si="13"/>
        <v/>
      </c>
    </row>
    <row r="90" spans="1:6">
      <c r="A90">
        <f t="shared" si="10"/>
        <v>82</v>
      </c>
      <c r="B90" s="11">
        <f>'More accurate Energy (Solar)'!B97</f>
        <v>0.66666666666666663</v>
      </c>
      <c r="C90" s="404">
        <f t="shared" si="11"/>
        <v>666.66666666666663</v>
      </c>
      <c r="D90" s="404">
        <f t="shared" si="12"/>
        <v>133.33333333333331</v>
      </c>
      <c r="E90" s="404">
        <f t="shared" si="9"/>
        <v>647.22222222222217</v>
      </c>
      <c r="F90" t="str">
        <f t="shared" si="13"/>
        <v/>
      </c>
    </row>
    <row r="91" spans="1:6">
      <c r="A91">
        <f t="shared" si="10"/>
        <v>83</v>
      </c>
      <c r="B91" s="11">
        <f>'More accurate Energy (Solar)'!B98</f>
        <v>1.0416666666666667</v>
      </c>
      <c r="C91" s="404">
        <f t="shared" si="11"/>
        <v>1041.6666666666667</v>
      </c>
      <c r="D91" s="404">
        <f t="shared" si="12"/>
        <v>208.33333333333334</v>
      </c>
      <c r="E91" s="404">
        <f t="shared" si="9"/>
        <v>855.55555555555554</v>
      </c>
      <c r="F91" t="str">
        <f t="shared" si="13"/>
        <v/>
      </c>
    </row>
    <row r="92" spans="1:6">
      <c r="A92">
        <f t="shared" si="10"/>
        <v>84</v>
      </c>
      <c r="B92" s="11">
        <f>'More accurate Energy (Solar)'!B99</f>
        <v>1.0416666666666667</v>
      </c>
      <c r="C92" s="404">
        <f t="shared" si="11"/>
        <v>1041.6666666666667</v>
      </c>
      <c r="D92" s="404">
        <f t="shared" si="12"/>
        <v>208.33333333333334</v>
      </c>
      <c r="E92" s="404">
        <f t="shared" si="9"/>
        <v>1063.8888888888889</v>
      </c>
      <c r="F92" t="str">
        <f t="shared" si="13"/>
        <v/>
      </c>
    </row>
    <row r="93" spans="1:6">
      <c r="A93">
        <f t="shared" si="10"/>
        <v>85</v>
      </c>
      <c r="B93" s="11">
        <f>'More accurate Energy (Solar)'!B100</f>
        <v>1.0416666666666667</v>
      </c>
      <c r="C93" s="404">
        <f t="shared" si="11"/>
        <v>1041.6666666666667</v>
      </c>
      <c r="D93" s="404">
        <f t="shared" si="12"/>
        <v>208.33333333333334</v>
      </c>
      <c r="E93" s="404">
        <f t="shared" si="9"/>
        <v>1272.2222222222222</v>
      </c>
      <c r="F93" t="str">
        <f t="shared" si="13"/>
        <v/>
      </c>
    </row>
    <row r="94" spans="1:6">
      <c r="A94">
        <f t="shared" si="10"/>
        <v>86</v>
      </c>
      <c r="B94" s="11">
        <f>'More accurate Energy (Solar)'!B101</f>
        <v>1.0416666666666667</v>
      </c>
      <c r="C94" s="404">
        <f t="shared" si="11"/>
        <v>1041.6666666666667</v>
      </c>
      <c r="D94" s="404">
        <f t="shared" si="12"/>
        <v>208.33333333333334</v>
      </c>
      <c r="E94" s="404">
        <f t="shared" si="9"/>
        <v>1480.5555555555554</v>
      </c>
      <c r="F94" t="str">
        <f t="shared" si="13"/>
        <v/>
      </c>
    </row>
    <row r="95" spans="1:6">
      <c r="A95">
        <f t="shared" si="10"/>
        <v>87</v>
      </c>
      <c r="B95" s="11">
        <f>'More accurate Energy (Solar)'!B102</f>
        <v>1.0416666666666667</v>
      </c>
      <c r="C95" s="404">
        <f t="shared" si="11"/>
        <v>1041.6666666666667</v>
      </c>
      <c r="D95" s="404">
        <f t="shared" si="12"/>
        <v>208.33333333333334</v>
      </c>
      <c r="E95" s="404">
        <f t="shared" si="9"/>
        <v>1688.8888888888887</v>
      </c>
      <c r="F95" t="str">
        <f t="shared" si="13"/>
        <v/>
      </c>
    </row>
    <row r="96" spans="1:6">
      <c r="A96">
        <f t="shared" si="10"/>
        <v>88</v>
      </c>
      <c r="B96" s="11">
        <f>'More accurate Energy (Solar)'!B103</f>
        <v>0.69444444444444442</v>
      </c>
      <c r="C96" s="404">
        <f t="shared" si="11"/>
        <v>694.44444444444446</v>
      </c>
      <c r="D96" s="404">
        <f t="shared" si="12"/>
        <v>138.88888888888891</v>
      </c>
      <c r="E96" s="404">
        <f t="shared" si="9"/>
        <v>1827.7777777777776</v>
      </c>
      <c r="F96" t="str">
        <f t="shared" si="13"/>
        <v/>
      </c>
    </row>
    <row r="97" spans="1:6">
      <c r="A97">
        <f t="shared" si="10"/>
        <v>89</v>
      </c>
      <c r="B97" s="11">
        <f>'More accurate Energy (Solar)'!B104</f>
        <v>1.0416666666666667</v>
      </c>
      <c r="C97" s="404">
        <f t="shared" si="11"/>
        <v>1041.6666666666667</v>
      </c>
      <c r="D97" s="404">
        <f t="shared" si="12"/>
        <v>208.33333333333334</v>
      </c>
      <c r="E97" s="404">
        <f t="shared" ref="E97:E160" si="14">IF(E96+D97 &gt; $B$4 * 1000,D97,E96 + D97)</f>
        <v>2036.1111111111109</v>
      </c>
      <c r="F97" t="str">
        <f t="shared" si="13"/>
        <v/>
      </c>
    </row>
    <row r="98" spans="1:6">
      <c r="A98">
        <f t="shared" si="10"/>
        <v>90</v>
      </c>
      <c r="B98" s="11">
        <f>'More accurate Energy (Solar)'!B105</f>
        <v>0.80555555555555547</v>
      </c>
      <c r="C98" s="404">
        <f t="shared" si="11"/>
        <v>805.55555555555543</v>
      </c>
      <c r="D98" s="404">
        <f t="shared" si="12"/>
        <v>161.11111111111109</v>
      </c>
      <c r="E98" s="404">
        <f t="shared" si="14"/>
        <v>2197.2222222222217</v>
      </c>
      <c r="F98" t="str">
        <f t="shared" si="13"/>
        <v/>
      </c>
    </row>
    <row r="99" spans="1:6">
      <c r="A99">
        <f t="shared" si="10"/>
        <v>91</v>
      </c>
      <c r="B99" s="11">
        <f>'More accurate Energy (Solar)'!B106</f>
        <v>0</v>
      </c>
      <c r="C99" s="404">
        <f t="shared" si="11"/>
        <v>0</v>
      </c>
      <c r="D99" s="404">
        <f t="shared" si="12"/>
        <v>0</v>
      </c>
      <c r="E99" s="404">
        <f t="shared" si="14"/>
        <v>2197.2222222222217</v>
      </c>
      <c r="F99" t="str">
        <f t="shared" si="13"/>
        <v/>
      </c>
    </row>
    <row r="100" spans="1:6">
      <c r="A100">
        <f t="shared" si="10"/>
        <v>92</v>
      </c>
      <c r="B100" s="11">
        <f>'More accurate Energy (Solar)'!B107</f>
        <v>1.0416666666666667</v>
      </c>
      <c r="C100" s="404">
        <f t="shared" si="11"/>
        <v>1041.6666666666667</v>
      </c>
      <c r="D100" s="404">
        <f t="shared" si="12"/>
        <v>208.33333333333334</v>
      </c>
      <c r="E100" s="404">
        <f t="shared" si="14"/>
        <v>2405.5555555555552</v>
      </c>
      <c r="F100" t="str">
        <f t="shared" si="13"/>
        <v/>
      </c>
    </row>
    <row r="101" spans="1:6">
      <c r="A101">
        <f t="shared" si="10"/>
        <v>93</v>
      </c>
      <c r="B101" s="11">
        <f>'More accurate Energy (Solar)'!B108</f>
        <v>0.62499999999999989</v>
      </c>
      <c r="C101" s="404">
        <f t="shared" si="11"/>
        <v>624.99999999999989</v>
      </c>
      <c r="D101" s="404">
        <f t="shared" si="12"/>
        <v>124.99999999999997</v>
      </c>
      <c r="E101" s="404">
        <f t="shared" si="14"/>
        <v>2530.5555555555552</v>
      </c>
      <c r="F101" t="str">
        <f t="shared" si="13"/>
        <v/>
      </c>
    </row>
    <row r="102" spans="1:6">
      <c r="A102">
        <f t="shared" si="10"/>
        <v>94</v>
      </c>
      <c r="B102" s="11">
        <f>'More accurate Energy (Solar)'!B109</f>
        <v>0.58333333333333348</v>
      </c>
      <c r="C102" s="404">
        <f t="shared" si="11"/>
        <v>583.33333333333348</v>
      </c>
      <c r="D102" s="404">
        <f t="shared" si="12"/>
        <v>116.6666666666667</v>
      </c>
      <c r="E102" s="404">
        <f t="shared" si="14"/>
        <v>2647.2222222222217</v>
      </c>
      <c r="F102" t="str">
        <f t="shared" si="13"/>
        <v/>
      </c>
    </row>
    <row r="103" spans="1:6">
      <c r="A103">
        <f t="shared" si="10"/>
        <v>95</v>
      </c>
      <c r="B103" s="11">
        <f>'More accurate Energy (Solar)'!B110</f>
        <v>4.1666666666666664E-2</v>
      </c>
      <c r="C103" s="404">
        <f t="shared" si="11"/>
        <v>41.666666666666664</v>
      </c>
      <c r="D103" s="404">
        <f t="shared" si="12"/>
        <v>8.3333333333333321</v>
      </c>
      <c r="E103" s="404">
        <f t="shared" si="14"/>
        <v>2655.5555555555552</v>
      </c>
      <c r="F103" t="str">
        <f t="shared" si="13"/>
        <v/>
      </c>
    </row>
    <row r="104" spans="1:6">
      <c r="A104">
        <f t="shared" si="10"/>
        <v>96</v>
      </c>
      <c r="B104" s="11">
        <f>'More accurate Energy (Solar)'!B111</f>
        <v>0</v>
      </c>
      <c r="C104" s="404">
        <f t="shared" si="11"/>
        <v>0</v>
      </c>
      <c r="D104" s="404">
        <f t="shared" si="12"/>
        <v>0</v>
      </c>
      <c r="E104" s="404">
        <f t="shared" si="14"/>
        <v>2655.5555555555552</v>
      </c>
      <c r="F104" t="str">
        <f t="shared" si="13"/>
        <v/>
      </c>
    </row>
    <row r="105" spans="1:6">
      <c r="A105">
        <f t="shared" si="10"/>
        <v>97</v>
      </c>
      <c r="B105" s="11">
        <f>'More accurate Energy (Solar)'!B112</f>
        <v>0</v>
      </c>
      <c r="C105" s="404">
        <f t="shared" si="11"/>
        <v>0</v>
      </c>
      <c r="D105" s="404">
        <f t="shared" si="12"/>
        <v>0</v>
      </c>
      <c r="E105" s="404">
        <f t="shared" si="14"/>
        <v>2655.5555555555552</v>
      </c>
      <c r="F105" t="str">
        <f t="shared" si="13"/>
        <v/>
      </c>
    </row>
    <row r="106" spans="1:6">
      <c r="A106">
        <f t="shared" si="10"/>
        <v>98</v>
      </c>
      <c r="B106" s="11">
        <f>'More accurate Energy (Solar)'!B113</f>
        <v>0</v>
      </c>
      <c r="C106" s="404">
        <f t="shared" si="11"/>
        <v>0</v>
      </c>
      <c r="D106" s="404">
        <f t="shared" si="12"/>
        <v>0</v>
      </c>
      <c r="E106" s="404">
        <f t="shared" si="14"/>
        <v>2655.5555555555552</v>
      </c>
      <c r="F106" t="str">
        <f t="shared" si="13"/>
        <v/>
      </c>
    </row>
    <row r="107" spans="1:6">
      <c r="A107">
        <f t="shared" si="10"/>
        <v>99</v>
      </c>
      <c r="B107" s="11">
        <f>'More accurate Energy (Solar)'!B114</f>
        <v>0.22222222222222221</v>
      </c>
      <c r="C107" s="404">
        <f t="shared" si="11"/>
        <v>222.2222222222222</v>
      </c>
      <c r="D107" s="404">
        <f t="shared" si="12"/>
        <v>44.444444444444436</v>
      </c>
      <c r="E107" s="404">
        <f t="shared" si="14"/>
        <v>2699.9999999999995</v>
      </c>
      <c r="F107" t="str">
        <f t="shared" si="13"/>
        <v/>
      </c>
    </row>
    <row r="108" spans="1:6">
      <c r="A108">
        <f t="shared" si="10"/>
        <v>100</v>
      </c>
      <c r="B108" s="11">
        <f>'More accurate Energy (Solar)'!B115</f>
        <v>1.0416666666666667</v>
      </c>
      <c r="C108" s="404">
        <f t="shared" si="11"/>
        <v>1041.6666666666667</v>
      </c>
      <c r="D108" s="404">
        <f t="shared" si="12"/>
        <v>208.33333333333334</v>
      </c>
      <c r="E108" s="404">
        <f t="shared" si="14"/>
        <v>2908.333333333333</v>
      </c>
      <c r="F108" t="str">
        <f t="shared" si="13"/>
        <v/>
      </c>
    </row>
    <row r="109" spans="1:6">
      <c r="A109">
        <f t="shared" si="10"/>
        <v>101</v>
      </c>
      <c r="B109" s="11">
        <f>'More accurate Energy (Solar)'!B116</f>
        <v>0.63888888888888884</v>
      </c>
      <c r="C109" s="404">
        <f t="shared" si="11"/>
        <v>638.8888888888888</v>
      </c>
      <c r="D109" s="404">
        <f t="shared" si="12"/>
        <v>127.77777777777779</v>
      </c>
      <c r="E109" s="404">
        <f t="shared" si="14"/>
        <v>127.77777777777779</v>
      </c>
      <c r="F109">
        <f t="shared" si="13"/>
        <v>1</v>
      </c>
    </row>
    <row r="110" spans="1:6">
      <c r="A110">
        <f t="shared" si="10"/>
        <v>102</v>
      </c>
      <c r="B110" s="11">
        <f>'More accurate Energy (Solar)'!B117</f>
        <v>1.0416666666666667</v>
      </c>
      <c r="C110" s="404">
        <f t="shared" si="11"/>
        <v>1041.6666666666667</v>
      </c>
      <c r="D110" s="404">
        <f t="shared" si="12"/>
        <v>208.33333333333334</v>
      </c>
      <c r="E110" s="404">
        <f t="shared" si="14"/>
        <v>336.11111111111114</v>
      </c>
      <c r="F110" t="str">
        <f t="shared" si="13"/>
        <v/>
      </c>
    </row>
    <row r="111" spans="1:6">
      <c r="A111">
        <f t="shared" si="10"/>
        <v>103</v>
      </c>
      <c r="B111" s="11">
        <f>'More accurate Energy (Solar)'!B118</f>
        <v>1.0416666666666667</v>
      </c>
      <c r="C111" s="404">
        <f t="shared" si="11"/>
        <v>1041.6666666666667</v>
      </c>
      <c r="D111" s="404">
        <f t="shared" si="12"/>
        <v>208.33333333333334</v>
      </c>
      <c r="E111" s="404">
        <f t="shared" si="14"/>
        <v>544.44444444444446</v>
      </c>
      <c r="F111" t="str">
        <f t="shared" si="13"/>
        <v/>
      </c>
    </row>
    <row r="112" spans="1:6">
      <c r="A112">
        <f t="shared" si="10"/>
        <v>104</v>
      </c>
      <c r="B112" s="11">
        <f>'More accurate Energy (Solar)'!B119</f>
        <v>0.10416666666666667</v>
      </c>
      <c r="C112" s="404">
        <f t="shared" si="11"/>
        <v>104.16666666666667</v>
      </c>
      <c r="D112" s="404">
        <f t="shared" si="12"/>
        <v>20.833333333333336</v>
      </c>
      <c r="E112" s="404">
        <f t="shared" si="14"/>
        <v>565.27777777777783</v>
      </c>
      <c r="F112" t="str">
        <f t="shared" si="13"/>
        <v/>
      </c>
    </row>
    <row r="113" spans="1:6">
      <c r="A113">
        <f t="shared" si="10"/>
        <v>105</v>
      </c>
      <c r="B113" s="11">
        <f>'More accurate Energy (Solar)'!B120</f>
        <v>1.0416666666666667</v>
      </c>
      <c r="C113" s="404">
        <f t="shared" si="11"/>
        <v>1041.6666666666667</v>
      </c>
      <c r="D113" s="404">
        <f t="shared" si="12"/>
        <v>208.33333333333334</v>
      </c>
      <c r="E113" s="404">
        <f t="shared" si="14"/>
        <v>773.6111111111112</v>
      </c>
      <c r="F113" t="str">
        <f t="shared" si="13"/>
        <v/>
      </c>
    </row>
    <row r="114" spans="1:6">
      <c r="A114">
        <f t="shared" si="10"/>
        <v>106</v>
      </c>
      <c r="B114" s="11">
        <f>'More accurate Energy (Solar)'!B121</f>
        <v>0.20833333333333334</v>
      </c>
      <c r="C114" s="404">
        <f t="shared" si="11"/>
        <v>208.33333333333334</v>
      </c>
      <c r="D114" s="404">
        <f t="shared" si="12"/>
        <v>41.666666666666671</v>
      </c>
      <c r="E114" s="404">
        <f t="shared" si="14"/>
        <v>815.27777777777783</v>
      </c>
      <c r="F114" t="str">
        <f t="shared" si="13"/>
        <v/>
      </c>
    </row>
    <row r="115" spans="1:6">
      <c r="A115">
        <f t="shared" si="10"/>
        <v>107</v>
      </c>
      <c r="B115" s="11">
        <f>'More accurate Energy (Solar)'!B122</f>
        <v>0</v>
      </c>
      <c r="C115" s="404">
        <f t="shared" si="11"/>
        <v>0</v>
      </c>
      <c r="D115" s="404">
        <f t="shared" si="12"/>
        <v>0</v>
      </c>
      <c r="E115" s="404">
        <f t="shared" si="14"/>
        <v>815.27777777777783</v>
      </c>
      <c r="F115" t="str">
        <f t="shared" si="13"/>
        <v/>
      </c>
    </row>
    <row r="116" spans="1:6">
      <c r="A116">
        <f t="shared" si="10"/>
        <v>108</v>
      </c>
      <c r="B116" s="11">
        <f>'More accurate Energy (Solar)'!B123</f>
        <v>0</v>
      </c>
      <c r="C116" s="404">
        <f t="shared" si="11"/>
        <v>0</v>
      </c>
      <c r="D116" s="404">
        <f t="shared" si="12"/>
        <v>0</v>
      </c>
      <c r="E116" s="404">
        <f t="shared" si="14"/>
        <v>815.27777777777783</v>
      </c>
      <c r="F116" t="str">
        <f t="shared" si="13"/>
        <v/>
      </c>
    </row>
    <row r="117" spans="1:6">
      <c r="A117">
        <f t="shared" si="10"/>
        <v>109</v>
      </c>
      <c r="B117" s="11">
        <f>'More accurate Energy (Solar)'!B124</f>
        <v>0</v>
      </c>
      <c r="C117" s="404">
        <f t="shared" si="11"/>
        <v>0</v>
      </c>
      <c r="D117" s="404">
        <f t="shared" si="12"/>
        <v>0</v>
      </c>
      <c r="E117" s="404">
        <f t="shared" si="14"/>
        <v>815.27777777777783</v>
      </c>
      <c r="F117" t="str">
        <f t="shared" si="13"/>
        <v/>
      </c>
    </row>
    <row r="118" spans="1:6">
      <c r="A118">
        <f t="shared" si="10"/>
        <v>110</v>
      </c>
      <c r="B118" s="11">
        <f>'More accurate Energy (Solar)'!B125</f>
        <v>7.6388888888888895E-2</v>
      </c>
      <c r="C118" s="404">
        <f t="shared" si="11"/>
        <v>76.3888888888889</v>
      </c>
      <c r="D118" s="404">
        <f t="shared" si="12"/>
        <v>15.277777777777777</v>
      </c>
      <c r="E118" s="404">
        <f t="shared" si="14"/>
        <v>830.55555555555566</v>
      </c>
      <c r="F118" t="str">
        <f t="shared" si="13"/>
        <v/>
      </c>
    </row>
    <row r="119" spans="1:6">
      <c r="A119">
        <f t="shared" si="10"/>
        <v>111</v>
      </c>
      <c r="B119" s="11">
        <f>'More accurate Energy (Solar)'!B126</f>
        <v>2.7777777777777776E-2</v>
      </c>
      <c r="C119" s="404">
        <f t="shared" si="11"/>
        <v>27.777777777777775</v>
      </c>
      <c r="D119" s="404">
        <f t="shared" si="12"/>
        <v>5.5555555555555545</v>
      </c>
      <c r="E119" s="404">
        <f t="shared" si="14"/>
        <v>836.1111111111112</v>
      </c>
      <c r="F119" t="str">
        <f t="shared" si="13"/>
        <v/>
      </c>
    </row>
    <row r="120" spans="1:6">
      <c r="A120">
        <f t="shared" si="10"/>
        <v>112</v>
      </c>
      <c r="B120" s="11">
        <f>'More accurate Energy (Solar)'!B127</f>
        <v>0.56944444444444431</v>
      </c>
      <c r="C120" s="404">
        <f t="shared" si="11"/>
        <v>569.44444444444434</v>
      </c>
      <c r="D120" s="404">
        <f t="shared" si="12"/>
        <v>113.88888888888887</v>
      </c>
      <c r="E120" s="404">
        <f t="shared" si="14"/>
        <v>950.00000000000011</v>
      </c>
      <c r="F120" t="str">
        <f t="shared" si="13"/>
        <v/>
      </c>
    </row>
    <row r="121" spans="1:6">
      <c r="A121">
        <f t="shared" si="10"/>
        <v>113</v>
      </c>
      <c r="B121" s="11">
        <f>'More accurate Energy (Solar)'!B128</f>
        <v>0.58333333333333348</v>
      </c>
      <c r="C121" s="404">
        <f t="shared" si="11"/>
        <v>583.33333333333348</v>
      </c>
      <c r="D121" s="404">
        <f t="shared" si="12"/>
        <v>116.6666666666667</v>
      </c>
      <c r="E121" s="404">
        <f t="shared" si="14"/>
        <v>1066.6666666666667</v>
      </c>
      <c r="F121" t="str">
        <f t="shared" si="13"/>
        <v/>
      </c>
    </row>
    <row r="122" spans="1:6">
      <c r="A122">
        <f t="shared" si="10"/>
        <v>114</v>
      </c>
      <c r="B122" s="11">
        <f>'More accurate Energy (Solar)'!B129</f>
        <v>0.125</v>
      </c>
      <c r="C122" s="404">
        <f t="shared" si="11"/>
        <v>125</v>
      </c>
      <c r="D122" s="404">
        <f t="shared" si="12"/>
        <v>25</v>
      </c>
      <c r="E122" s="404">
        <f t="shared" si="14"/>
        <v>1091.6666666666667</v>
      </c>
      <c r="F122" t="str">
        <f t="shared" si="13"/>
        <v/>
      </c>
    </row>
    <row r="123" spans="1:6">
      <c r="A123">
        <f t="shared" si="10"/>
        <v>115</v>
      </c>
      <c r="B123" s="11">
        <f>'More accurate Energy (Solar)'!B130</f>
        <v>0</v>
      </c>
      <c r="C123" s="404">
        <f t="shared" si="11"/>
        <v>0</v>
      </c>
      <c r="D123" s="404">
        <f t="shared" si="12"/>
        <v>0</v>
      </c>
      <c r="E123" s="404">
        <f t="shared" si="14"/>
        <v>1091.6666666666667</v>
      </c>
      <c r="F123" t="str">
        <f t="shared" si="13"/>
        <v/>
      </c>
    </row>
    <row r="124" spans="1:6">
      <c r="A124">
        <f t="shared" si="10"/>
        <v>116</v>
      </c>
      <c r="B124" s="11">
        <f>'More accurate Energy (Solar)'!B131</f>
        <v>0.29166666666666674</v>
      </c>
      <c r="C124" s="404">
        <f t="shared" si="11"/>
        <v>291.66666666666674</v>
      </c>
      <c r="D124" s="404">
        <f t="shared" si="12"/>
        <v>58.33333333333335</v>
      </c>
      <c r="E124" s="404">
        <f t="shared" si="14"/>
        <v>1150</v>
      </c>
      <c r="F124" t="str">
        <f t="shared" si="13"/>
        <v/>
      </c>
    </row>
    <row r="125" spans="1:6">
      <c r="A125">
        <f t="shared" si="10"/>
        <v>117</v>
      </c>
      <c r="B125" s="11">
        <f>'More accurate Energy (Solar)'!B132</f>
        <v>1.0416666666666667</v>
      </c>
      <c r="C125" s="404">
        <f t="shared" si="11"/>
        <v>1041.6666666666667</v>
      </c>
      <c r="D125" s="404">
        <f t="shared" si="12"/>
        <v>208.33333333333334</v>
      </c>
      <c r="E125" s="404">
        <f t="shared" si="14"/>
        <v>1358.3333333333333</v>
      </c>
      <c r="F125" t="str">
        <f t="shared" si="13"/>
        <v/>
      </c>
    </row>
    <row r="126" spans="1:6">
      <c r="A126">
        <f t="shared" si="10"/>
        <v>118</v>
      </c>
      <c r="B126" s="11">
        <f>'More accurate Energy (Solar)'!B133</f>
        <v>1.0416666666666667</v>
      </c>
      <c r="C126" s="404">
        <f t="shared" si="11"/>
        <v>1041.6666666666667</v>
      </c>
      <c r="D126" s="404">
        <f t="shared" si="12"/>
        <v>208.33333333333334</v>
      </c>
      <c r="E126" s="404">
        <f t="shared" si="14"/>
        <v>1566.6666666666665</v>
      </c>
      <c r="F126" t="str">
        <f t="shared" si="13"/>
        <v/>
      </c>
    </row>
    <row r="127" spans="1:6">
      <c r="A127">
        <f t="shared" si="10"/>
        <v>119</v>
      </c>
      <c r="B127" s="11">
        <f>'More accurate Energy (Solar)'!B134</f>
        <v>1.0416666666666667</v>
      </c>
      <c r="C127" s="404">
        <f t="shared" si="11"/>
        <v>1041.6666666666667</v>
      </c>
      <c r="D127" s="404">
        <f t="shared" si="12"/>
        <v>208.33333333333334</v>
      </c>
      <c r="E127" s="404">
        <f t="shared" si="14"/>
        <v>1774.9999999999998</v>
      </c>
      <c r="F127" t="str">
        <f t="shared" si="13"/>
        <v/>
      </c>
    </row>
    <row r="128" spans="1:6">
      <c r="A128">
        <f t="shared" si="10"/>
        <v>120</v>
      </c>
      <c r="B128" s="11">
        <f>'More accurate Energy (Solar)'!B135</f>
        <v>0.33333333333333331</v>
      </c>
      <c r="C128" s="404">
        <f t="shared" si="11"/>
        <v>333.33333333333331</v>
      </c>
      <c r="D128" s="404">
        <f t="shared" si="12"/>
        <v>66.666666666666657</v>
      </c>
      <c r="E128" s="404">
        <f t="shared" si="14"/>
        <v>1841.6666666666665</v>
      </c>
      <c r="F128" t="str">
        <f t="shared" si="13"/>
        <v/>
      </c>
    </row>
    <row r="129" spans="1:6">
      <c r="A129">
        <f t="shared" si="10"/>
        <v>121</v>
      </c>
      <c r="B129" s="11">
        <f>'More accurate Energy (Solar)'!B136</f>
        <v>5.5555555555555552E-2</v>
      </c>
      <c r="C129" s="404">
        <f t="shared" si="11"/>
        <v>55.55555555555555</v>
      </c>
      <c r="D129" s="404">
        <f t="shared" si="12"/>
        <v>11.111111111111109</v>
      </c>
      <c r="E129" s="404">
        <f t="shared" si="14"/>
        <v>1852.7777777777776</v>
      </c>
      <c r="F129" t="str">
        <f t="shared" si="13"/>
        <v/>
      </c>
    </row>
    <row r="130" spans="1:6">
      <c r="A130">
        <f t="shared" si="10"/>
        <v>122</v>
      </c>
      <c r="B130" s="11">
        <f>'More accurate Energy (Solar)'!B137</f>
        <v>0</v>
      </c>
      <c r="C130" s="404">
        <f t="shared" si="11"/>
        <v>0</v>
      </c>
      <c r="D130" s="404">
        <f t="shared" si="12"/>
        <v>0</v>
      </c>
      <c r="E130" s="404">
        <f t="shared" si="14"/>
        <v>1852.7777777777776</v>
      </c>
      <c r="F130" t="str">
        <f t="shared" si="13"/>
        <v/>
      </c>
    </row>
    <row r="131" spans="1:6">
      <c r="A131">
        <f t="shared" si="10"/>
        <v>123</v>
      </c>
      <c r="B131" s="11">
        <f>'More accurate Energy (Solar)'!B138</f>
        <v>0</v>
      </c>
      <c r="C131" s="404">
        <f t="shared" si="11"/>
        <v>0</v>
      </c>
      <c r="D131" s="404">
        <f t="shared" si="12"/>
        <v>0</v>
      </c>
      <c r="E131" s="404">
        <f t="shared" si="14"/>
        <v>1852.7777777777776</v>
      </c>
      <c r="F131" t="str">
        <f t="shared" si="13"/>
        <v/>
      </c>
    </row>
    <row r="132" spans="1:6">
      <c r="A132">
        <f t="shared" si="10"/>
        <v>124</v>
      </c>
      <c r="B132" s="11">
        <f>'More accurate Energy (Solar)'!B139</f>
        <v>1.0416666666666667</v>
      </c>
      <c r="C132" s="404">
        <f t="shared" si="11"/>
        <v>1041.6666666666667</v>
      </c>
      <c r="D132" s="404">
        <f t="shared" si="12"/>
        <v>208.33333333333334</v>
      </c>
      <c r="E132" s="404">
        <f t="shared" si="14"/>
        <v>2061.1111111111109</v>
      </c>
      <c r="F132" t="str">
        <f t="shared" si="13"/>
        <v/>
      </c>
    </row>
    <row r="133" spans="1:6">
      <c r="A133">
        <f t="shared" si="10"/>
        <v>125</v>
      </c>
      <c r="B133" s="11">
        <f>'More accurate Energy (Solar)'!B140</f>
        <v>2.7777777777777776E-2</v>
      </c>
      <c r="C133" s="404">
        <f t="shared" si="11"/>
        <v>27.777777777777775</v>
      </c>
      <c r="D133" s="404">
        <f t="shared" si="12"/>
        <v>5.5555555555555545</v>
      </c>
      <c r="E133" s="404">
        <f t="shared" si="14"/>
        <v>2066.6666666666665</v>
      </c>
      <c r="F133" t="str">
        <f t="shared" si="13"/>
        <v/>
      </c>
    </row>
    <row r="134" spans="1:6">
      <c r="A134">
        <f t="shared" si="10"/>
        <v>126</v>
      </c>
      <c r="B134" s="11">
        <f>'More accurate Energy (Solar)'!B141</f>
        <v>0</v>
      </c>
      <c r="C134" s="404">
        <f t="shared" si="11"/>
        <v>0</v>
      </c>
      <c r="D134" s="404">
        <f t="shared" si="12"/>
        <v>0</v>
      </c>
      <c r="E134" s="404">
        <f t="shared" si="14"/>
        <v>2066.6666666666665</v>
      </c>
      <c r="F134" t="str">
        <f t="shared" si="13"/>
        <v/>
      </c>
    </row>
    <row r="135" spans="1:6">
      <c r="A135">
        <f t="shared" si="10"/>
        <v>127</v>
      </c>
      <c r="B135" s="11">
        <f>'More accurate Energy (Solar)'!B142</f>
        <v>0</v>
      </c>
      <c r="C135" s="404">
        <f t="shared" si="11"/>
        <v>0</v>
      </c>
      <c r="D135" s="404">
        <f t="shared" si="12"/>
        <v>0</v>
      </c>
      <c r="E135" s="404">
        <f t="shared" si="14"/>
        <v>2066.6666666666665</v>
      </c>
      <c r="F135" t="str">
        <f t="shared" si="13"/>
        <v/>
      </c>
    </row>
    <row r="136" spans="1:6">
      <c r="A136">
        <f t="shared" si="10"/>
        <v>128</v>
      </c>
      <c r="B136" s="11">
        <f>'More accurate Energy (Solar)'!B143</f>
        <v>0</v>
      </c>
      <c r="C136" s="404">
        <f t="shared" si="11"/>
        <v>0</v>
      </c>
      <c r="D136" s="404">
        <f t="shared" si="12"/>
        <v>0</v>
      </c>
      <c r="E136" s="404">
        <f t="shared" si="14"/>
        <v>2066.6666666666665</v>
      </c>
      <c r="F136" t="str">
        <f t="shared" si="13"/>
        <v/>
      </c>
    </row>
    <row r="137" spans="1:6">
      <c r="A137">
        <f t="shared" si="10"/>
        <v>129</v>
      </c>
      <c r="B137" s="11">
        <f>'More accurate Energy (Solar)'!B144</f>
        <v>0</v>
      </c>
      <c r="C137" s="404">
        <f t="shared" si="11"/>
        <v>0</v>
      </c>
      <c r="D137" s="404">
        <f t="shared" si="12"/>
        <v>0</v>
      </c>
      <c r="E137" s="404">
        <f t="shared" si="14"/>
        <v>2066.6666666666665</v>
      </c>
      <c r="F137" t="str">
        <f t="shared" si="13"/>
        <v/>
      </c>
    </row>
    <row r="138" spans="1:6">
      <c r="A138">
        <f t="shared" ref="A138:A201" si="15">A137+1</f>
        <v>130</v>
      </c>
      <c r="B138" s="11">
        <f>'More accurate Energy (Solar)'!B145</f>
        <v>2.7777777777777776E-2</v>
      </c>
      <c r="C138" s="404">
        <f t="shared" ref="C138:C201" si="16">B138 * 1000</f>
        <v>27.777777777777775</v>
      </c>
      <c r="D138" s="404">
        <f t="shared" ref="D138:D201" si="17">C138*$B$3*$B$1/$B$2/1000</f>
        <v>5.5555555555555545</v>
      </c>
      <c r="E138" s="404">
        <f t="shared" si="14"/>
        <v>2072.2222222222222</v>
      </c>
      <c r="F138" t="str">
        <f t="shared" si="13"/>
        <v/>
      </c>
    </row>
    <row r="139" spans="1:6">
      <c r="A139">
        <f t="shared" si="15"/>
        <v>131</v>
      </c>
      <c r="B139" s="11">
        <f>'More accurate Energy (Solar)'!B146</f>
        <v>0</v>
      </c>
      <c r="C139" s="404">
        <f t="shared" si="16"/>
        <v>0</v>
      </c>
      <c r="D139" s="404">
        <f t="shared" si="17"/>
        <v>0</v>
      </c>
      <c r="E139" s="404">
        <f t="shared" si="14"/>
        <v>2072.2222222222222</v>
      </c>
      <c r="F139" t="str">
        <f t="shared" ref="F139:F202" si="18">IF(E139 = D139, 1, "")</f>
        <v/>
      </c>
    </row>
    <row r="140" spans="1:6">
      <c r="A140">
        <f t="shared" si="15"/>
        <v>132</v>
      </c>
      <c r="B140" s="11">
        <f>'More accurate Energy (Solar)'!B147</f>
        <v>0</v>
      </c>
      <c r="C140" s="404">
        <f t="shared" si="16"/>
        <v>0</v>
      </c>
      <c r="D140" s="404">
        <f t="shared" si="17"/>
        <v>0</v>
      </c>
      <c r="E140" s="404">
        <f t="shared" si="14"/>
        <v>2072.2222222222222</v>
      </c>
      <c r="F140" t="str">
        <f t="shared" si="18"/>
        <v/>
      </c>
    </row>
    <row r="141" spans="1:6">
      <c r="A141">
        <f t="shared" si="15"/>
        <v>133</v>
      </c>
      <c r="B141" s="11">
        <f>'More accurate Energy (Solar)'!B148</f>
        <v>0</v>
      </c>
      <c r="C141" s="404">
        <f t="shared" si="16"/>
        <v>0</v>
      </c>
      <c r="D141" s="404">
        <f t="shared" si="17"/>
        <v>0</v>
      </c>
      <c r="E141" s="404">
        <f t="shared" si="14"/>
        <v>2072.2222222222222</v>
      </c>
      <c r="F141" t="str">
        <f t="shared" si="18"/>
        <v/>
      </c>
    </row>
    <row r="142" spans="1:6">
      <c r="A142">
        <f t="shared" si="15"/>
        <v>134</v>
      </c>
      <c r="B142" s="11">
        <f>'More accurate Energy (Solar)'!B149</f>
        <v>0</v>
      </c>
      <c r="C142" s="404">
        <f t="shared" si="16"/>
        <v>0</v>
      </c>
      <c r="D142" s="404">
        <f t="shared" si="17"/>
        <v>0</v>
      </c>
      <c r="E142" s="404">
        <f t="shared" si="14"/>
        <v>2072.2222222222222</v>
      </c>
      <c r="F142" t="str">
        <f t="shared" si="18"/>
        <v/>
      </c>
    </row>
    <row r="143" spans="1:6">
      <c r="A143">
        <f t="shared" si="15"/>
        <v>135</v>
      </c>
      <c r="B143" s="11">
        <f>'More accurate Energy (Solar)'!B150</f>
        <v>0</v>
      </c>
      <c r="C143" s="404">
        <f t="shared" si="16"/>
        <v>0</v>
      </c>
      <c r="D143" s="404">
        <f t="shared" si="17"/>
        <v>0</v>
      </c>
      <c r="E143" s="404">
        <f t="shared" si="14"/>
        <v>2072.2222222222222</v>
      </c>
      <c r="F143" t="str">
        <f t="shared" si="18"/>
        <v/>
      </c>
    </row>
    <row r="144" spans="1:6">
      <c r="A144">
        <f t="shared" si="15"/>
        <v>136</v>
      </c>
      <c r="B144" s="11">
        <f>'More accurate Energy (Solar)'!B151</f>
        <v>1.3888888888888888E-2</v>
      </c>
      <c r="C144" s="404">
        <f t="shared" si="16"/>
        <v>13.888888888888888</v>
      </c>
      <c r="D144" s="404">
        <f t="shared" si="17"/>
        <v>2.7777777777777772</v>
      </c>
      <c r="E144" s="404">
        <f t="shared" si="14"/>
        <v>2075</v>
      </c>
      <c r="F144" t="str">
        <f t="shared" si="18"/>
        <v/>
      </c>
    </row>
    <row r="145" spans="1:6">
      <c r="A145">
        <f t="shared" si="15"/>
        <v>137</v>
      </c>
      <c r="B145" s="11">
        <f>'More accurate Energy (Solar)'!B152</f>
        <v>0</v>
      </c>
      <c r="C145" s="404">
        <f t="shared" si="16"/>
        <v>0</v>
      </c>
      <c r="D145" s="404">
        <f t="shared" si="17"/>
        <v>0</v>
      </c>
      <c r="E145" s="404">
        <f t="shared" si="14"/>
        <v>2075</v>
      </c>
      <c r="F145" t="str">
        <f t="shared" si="18"/>
        <v/>
      </c>
    </row>
    <row r="146" spans="1:6">
      <c r="A146">
        <f t="shared" si="15"/>
        <v>138</v>
      </c>
      <c r="B146" s="11">
        <f>'More accurate Energy (Solar)'!B153</f>
        <v>0</v>
      </c>
      <c r="C146" s="404">
        <f t="shared" si="16"/>
        <v>0</v>
      </c>
      <c r="D146" s="404">
        <f t="shared" si="17"/>
        <v>0</v>
      </c>
      <c r="E146" s="404">
        <f t="shared" si="14"/>
        <v>2075</v>
      </c>
      <c r="F146" t="str">
        <f t="shared" si="18"/>
        <v/>
      </c>
    </row>
    <row r="147" spans="1:6">
      <c r="A147">
        <f t="shared" si="15"/>
        <v>139</v>
      </c>
      <c r="B147" s="11">
        <f>'More accurate Energy (Solar)'!B154</f>
        <v>0</v>
      </c>
      <c r="C147" s="404">
        <f t="shared" si="16"/>
        <v>0</v>
      </c>
      <c r="D147" s="404">
        <f t="shared" si="17"/>
        <v>0</v>
      </c>
      <c r="E147" s="404">
        <f t="shared" si="14"/>
        <v>2075</v>
      </c>
      <c r="F147" t="str">
        <f t="shared" si="18"/>
        <v/>
      </c>
    </row>
    <row r="148" spans="1:6">
      <c r="A148">
        <f t="shared" si="15"/>
        <v>140</v>
      </c>
      <c r="B148" s="11">
        <f>'More accurate Energy (Solar)'!B155</f>
        <v>0</v>
      </c>
      <c r="C148" s="404">
        <f t="shared" si="16"/>
        <v>0</v>
      </c>
      <c r="D148" s="404">
        <f t="shared" si="17"/>
        <v>0</v>
      </c>
      <c r="E148" s="404">
        <f t="shared" si="14"/>
        <v>2075</v>
      </c>
      <c r="F148" t="str">
        <f t="shared" si="18"/>
        <v/>
      </c>
    </row>
    <row r="149" spans="1:6">
      <c r="A149">
        <f t="shared" si="15"/>
        <v>141</v>
      </c>
      <c r="B149" s="11">
        <f>'More accurate Energy (Solar)'!B156</f>
        <v>0</v>
      </c>
      <c r="C149" s="404">
        <f t="shared" si="16"/>
        <v>0</v>
      </c>
      <c r="D149" s="404">
        <f t="shared" si="17"/>
        <v>0</v>
      </c>
      <c r="E149" s="404">
        <f t="shared" si="14"/>
        <v>2075</v>
      </c>
      <c r="F149" t="str">
        <f t="shared" si="18"/>
        <v/>
      </c>
    </row>
    <row r="150" spans="1:6">
      <c r="A150">
        <f t="shared" si="15"/>
        <v>142</v>
      </c>
      <c r="B150" s="11">
        <f>'More accurate Energy (Solar)'!B157</f>
        <v>1.3888888888888888E-2</v>
      </c>
      <c r="C150" s="404">
        <f t="shared" si="16"/>
        <v>13.888888888888888</v>
      </c>
      <c r="D150" s="404">
        <f t="shared" si="17"/>
        <v>2.7777777777777772</v>
      </c>
      <c r="E150" s="404">
        <f t="shared" si="14"/>
        <v>2077.7777777777778</v>
      </c>
      <c r="F150" t="str">
        <f t="shared" si="18"/>
        <v/>
      </c>
    </row>
    <row r="151" spans="1:6">
      <c r="A151">
        <f t="shared" si="15"/>
        <v>143</v>
      </c>
      <c r="B151" s="11">
        <f>'More accurate Energy (Solar)'!B158</f>
        <v>1.3888888888888888E-2</v>
      </c>
      <c r="C151" s="404">
        <f t="shared" si="16"/>
        <v>13.888888888888888</v>
      </c>
      <c r="D151" s="404">
        <f t="shared" si="17"/>
        <v>2.7777777777777772</v>
      </c>
      <c r="E151" s="404">
        <f t="shared" si="14"/>
        <v>2080.5555555555557</v>
      </c>
      <c r="F151" t="str">
        <f t="shared" si="18"/>
        <v/>
      </c>
    </row>
    <row r="152" spans="1:6">
      <c r="A152">
        <f t="shared" si="15"/>
        <v>144</v>
      </c>
      <c r="B152" s="11">
        <f>'More accurate Energy (Solar)'!B159</f>
        <v>0</v>
      </c>
      <c r="C152" s="404">
        <f t="shared" si="16"/>
        <v>0</v>
      </c>
      <c r="D152" s="404">
        <f t="shared" si="17"/>
        <v>0</v>
      </c>
      <c r="E152" s="404">
        <f t="shared" si="14"/>
        <v>2080.5555555555557</v>
      </c>
      <c r="F152" t="str">
        <f t="shared" si="18"/>
        <v/>
      </c>
    </row>
    <row r="153" spans="1:6">
      <c r="A153">
        <f t="shared" si="15"/>
        <v>145</v>
      </c>
      <c r="B153" s="11">
        <f>'More accurate Energy (Solar)'!B160</f>
        <v>0</v>
      </c>
      <c r="C153" s="404">
        <f t="shared" si="16"/>
        <v>0</v>
      </c>
      <c r="D153" s="404">
        <f t="shared" si="17"/>
        <v>0</v>
      </c>
      <c r="E153" s="404">
        <f t="shared" si="14"/>
        <v>2080.5555555555557</v>
      </c>
      <c r="F153" t="str">
        <f t="shared" si="18"/>
        <v/>
      </c>
    </row>
    <row r="154" spans="1:6">
      <c r="A154">
        <f t="shared" si="15"/>
        <v>146</v>
      </c>
      <c r="B154" s="11">
        <f>'More accurate Energy (Solar)'!B161</f>
        <v>0</v>
      </c>
      <c r="C154" s="404">
        <f t="shared" si="16"/>
        <v>0</v>
      </c>
      <c r="D154" s="404">
        <f t="shared" si="17"/>
        <v>0</v>
      </c>
      <c r="E154" s="404">
        <f t="shared" si="14"/>
        <v>2080.5555555555557</v>
      </c>
      <c r="F154" t="str">
        <f t="shared" si="18"/>
        <v/>
      </c>
    </row>
    <row r="155" spans="1:6">
      <c r="A155">
        <f t="shared" si="15"/>
        <v>147</v>
      </c>
      <c r="B155" s="11">
        <f>'More accurate Energy (Solar)'!B162</f>
        <v>0</v>
      </c>
      <c r="C155" s="404">
        <f t="shared" si="16"/>
        <v>0</v>
      </c>
      <c r="D155" s="404">
        <f t="shared" si="17"/>
        <v>0</v>
      </c>
      <c r="E155" s="404">
        <f t="shared" si="14"/>
        <v>2080.5555555555557</v>
      </c>
      <c r="F155" t="str">
        <f t="shared" si="18"/>
        <v/>
      </c>
    </row>
    <row r="156" spans="1:6">
      <c r="A156">
        <f t="shared" si="15"/>
        <v>148</v>
      </c>
      <c r="B156" s="11">
        <f>'More accurate Energy (Solar)'!B163</f>
        <v>0</v>
      </c>
      <c r="C156" s="404">
        <f t="shared" si="16"/>
        <v>0</v>
      </c>
      <c r="D156" s="404">
        <f t="shared" si="17"/>
        <v>0</v>
      </c>
      <c r="E156" s="404">
        <f t="shared" si="14"/>
        <v>2080.5555555555557</v>
      </c>
      <c r="F156" t="str">
        <f t="shared" si="18"/>
        <v/>
      </c>
    </row>
    <row r="157" spans="1:6">
      <c r="A157">
        <f t="shared" si="15"/>
        <v>149</v>
      </c>
      <c r="B157" s="11">
        <f>'More accurate Energy (Solar)'!B164</f>
        <v>0</v>
      </c>
      <c r="C157" s="404">
        <f t="shared" si="16"/>
        <v>0</v>
      </c>
      <c r="D157" s="404">
        <f t="shared" si="17"/>
        <v>0</v>
      </c>
      <c r="E157" s="404">
        <f t="shared" si="14"/>
        <v>2080.5555555555557</v>
      </c>
      <c r="F157" t="str">
        <f t="shared" si="18"/>
        <v/>
      </c>
    </row>
    <row r="158" spans="1:6">
      <c r="A158">
        <f t="shared" si="15"/>
        <v>150</v>
      </c>
      <c r="B158" s="11">
        <f>'More accurate Energy (Solar)'!B165</f>
        <v>0</v>
      </c>
      <c r="C158" s="404">
        <f t="shared" si="16"/>
        <v>0</v>
      </c>
      <c r="D158" s="404">
        <f t="shared" si="17"/>
        <v>0</v>
      </c>
      <c r="E158" s="404">
        <f t="shared" si="14"/>
        <v>2080.5555555555557</v>
      </c>
      <c r="F158" t="str">
        <f t="shared" si="18"/>
        <v/>
      </c>
    </row>
    <row r="159" spans="1:6">
      <c r="A159">
        <f t="shared" si="15"/>
        <v>151</v>
      </c>
      <c r="B159" s="11">
        <f>'More accurate Energy (Solar)'!B166</f>
        <v>0</v>
      </c>
      <c r="C159" s="404">
        <f t="shared" si="16"/>
        <v>0</v>
      </c>
      <c r="D159" s="404">
        <f t="shared" si="17"/>
        <v>0</v>
      </c>
      <c r="E159" s="404">
        <f t="shared" si="14"/>
        <v>2080.5555555555557</v>
      </c>
      <c r="F159" t="str">
        <f t="shared" si="18"/>
        <v/>
      </c>
    </row>
    <row r="160" spans="1:6">
      <c r="A160">
        <f t="shared" si="15"/>
        <v>152</v>
      </c>
      <c r="B160" s="11">
        <f>'More accurate Energy (Solar)'!B167</f>
        <v>0.51388888888888884</v>
      </c>
      <c r="C160" s="404">
        <f t="shared" si="16"/>
        <v>513.8888888888888</v>
      </c>
      <c r="D160" s="404">
        <f t="shared" si="17"/>
        <v>102.77777777777777</v>
      </c>
      <c r="E160" s="404">
        <f t="shared" si="14"/>
        <v>2183.3333333333335</v>
      </c>
      <c r="F160" t="str">
        <f t="shared" si="18"/>
        <v/>
      </c>
    </row>
    <row r="161" spans="1:6">
      <c r="A161">
        <f t="shared" si="15"/>
        <v>153</v>
      </c>
      <c r="B161" s="11">
        <f>'More accurate Energy (Solar)'!B168</f>
        <v>0.19444444444444442</v>
      </c>
      <c r="C161" s="404">
        <f t="shared" si="16"/>
        <v>194.44444444444443</v>
      </c>
      <c r="D161" s="404">
        <f t="shared" si="17"/>
        <v>38.888888888888886</v>
      </c>
      <c r="E161" s="404">
        <f t="shared" ref="E161:E224" si="19">IF(E160+D161 &gt; $B$4 * 1000,D161,E160 + D161)</f>
        <v>2222.2222222222222</v>
      </c>
      <c r="F161" t="str">
        <f t="shared" si="18"/>
        <v/>
      </c>
    </row>
    <row r="162" spans="1:6">
      <c r="A162">
        <f t="shared" si="15"/>
        <v>154</v>
      </c>
      <c r="B162" s="11">
        <f>'More accurate Energy (Solar)'!B169</f>
        <v>0</v>
      </c>
      <c r="C162" s="404">
        <f t="shared" si="16"/>
        <v>0</v>
      </c>
      <c r="D162" s="404">
        <f t="shared" si="17"/>
        <v>0</v>
      </c>
      <c r="E162" s="404">
        <f t="shared" si="19"/>
        <v>2222.2222222222222</v>
      </c>
      <c r="F162" t="str">
        <f t="shared" si="18"/>
        <v/>
      </c>
    </row>
    <row r="163" spans="1:6">
      <c r="A163">
        <f t="shared" si="15"/>
        <v>155</v>
      </c>
      <c r="B163" s="11">
        <f>'More accurate Energy (Solar)'!B170</f>
        <v>0</v>
      </c>
      <c r="C163" s="404">
        <f t="shared" si="16"/>
        <v>0</v>
      </c>
      <c r="D163" s="404">
        <f t="shared" si="17"/>
        <v>0</v>
      </c>
      <c r="E163" s="404">
        <f t="shared" si="19"/>
        <v>2222.2222222222222</v>
      </c>
      <c r="F163" t="str">
        <f t="shared" si="18"/>
        <v/>
      </c>
    </row>
    <row r="164" spans="1:6">
      <c r="A164">
        <f t="shared" si="15"/>
        <v>156</v>
      </c>
      <c r="B164" s="11">
        <f>'More accurate Energy (Solar)'!B171</f>
        <v>0</v>
      </c>
      <c r="C164" s="404">
        <f t="shared" si="16"/>
        <v>0</v>
      </c>
      <c r="D164" s="404">
        <f t="shared" si="17"/>
        <v>0</v>
      </c>
      <c r="E164" s="404">
        <f t="shared" si="19"/>
        <v>2222.2222222222222</v>
      </c>
      <c r="F164" t="str">
        <f t="shared" si="18"/>
        <v/>
      </c>
    </row>
    <row r="165" spans="1:6">
      <c r="A165">
        <f t="shared" si="15"/>
        <v>157</v>
      </c>
      <c r="B165" s="11">
        <f>'More accurate Energy (Solar)'!B172</f>
        <v>0</v>
      </c>
      <c r="C165" s="404">
        <f t="shared" si="16"/>
        <v>0</v>
      </c>
      <c r="D165" s="404">
        <f t="shared" si="17"/>
        <v>0</v>
      </c>
      <c r="E165" s="404">
        <f t="shared" si="19"/>
        <v>2222.2222222222222</v>
      </c>
      <c r="F165" t="str">
        <f t="shared" si="18"/>
        <v/>
      </c>
    </row>
    <row r="166" spans="1:6">
      <c r="A166">
        <f t="shared" si="15"/>
        <v>158</v>
      </c>
      <c r="B166" s="11">
        <f>'More accurate Energy (Solar)'!B173</f>
        <v>0</v>
      </c>
      <c r="C166" s="404">
        <f t="shared" si="16"/>
        <v>0</v>
      </c>
      <c r="D166" s="404">
        <f t="shared" si="17"/>
        <v>0</v>
      </c>
      <c r="E166" s="404">
        <f t="shared" si="19"/>
        <v>2222.2222222222222</v>
      </c>
      <c r="F166" t="str">
        <f t="shared" si="18"/>
        <v/>
      </c>
    </row>
    <row r="167" spans="1:6">
      <c r="A167">
        <f t="shared" si="15"/>
        <v>159</v>
      </c>
      <c r="B167" s="11">
        <f>'More accurate Energy (Solar)'!B174</f>
        <v>0</v>
      </c>
      <c r="C167" s="404">
        <f t="shared" si="16"/>
        <v>0</v>
      </c>
      <c r="D167" s="404">
        <f t="shared" si="17"/>
        <v>0</v>
      </c>
      <c r="E167" s="404">
        <f t="shared" si="19"/>
        <v>2222.2222222222222</v>
      </c>
      <c r="F167" t="str">
        <f t="shared" si="18"/>
        <v/>
      </c>
    </row>
    <row r="168" spans="1:6">
      <c r="A168">
        <f t="shared" si="15"/>
        <v>160</v>
      </c>
      <c r="B168" s="11">
        <f>'More accurate Energy (Solar)'!B175</f>
        <v>0</v>
      </c>
      <c r="C168" s="404">
        <f t="shared" si="16"/>
        <v>0</v>
      </c>
      <c r="D168" s="404">
        <f t="shared" si="17"/>
        <v>0</v>
      </c>
      <c r="E168" s="404">
        <f t="shared" si="19"/>
        <v>2222.2222222222222</v>
      </c>
      <c r="F168" t="str">
        <f t="shared" si="18"/>
        <v/>
      </c>
    </row>
    <row r="169" spans="1:6">
      <c r="A169">
        <f t="shared" si="15"/>
        <v>161</v>
      </c>
      <c r="B169" s="11">
        <f>'More accurate Energy (Solar)'!B176</f>
        <v>0</v>
      </c>
      <c r="C169" s="404">
        <f t="shared" si="16"/>
        <v>0</v>
      </c>
      <c r="D169" s="404">
        <f t="shared" si="17"/>
        <v>0</v>
      </c>
      <c r="E169" s="404">
        <f t="shared" si="19"/>
        <v>2222.2222222222222</v>
      </c>
      <c r="F169" t="str">
        <f t="shared" si="18"/>
        <v/>
      </c>
    </row>
    <row r="170" spans="1:6">
      <c r="A170">
        <f t="shared" si="15"/>
        <v>162</v>
      </c>
      <c r="B170" s="11">
        <f>'More accurate Energy (Solar)'!B177</f>
        <v>0</v>
      </c>
      <c r="C170" s="404">
        <f t="shared" si="16"/>
        <v>0</v>
      </c>
      <c r="D170" s="404">
        <f t="shared" si="17"/>
        <v>0</v>
      </c>
      <c r="E170" s="404">
        <f t="shared" si="19"/>
        <v>2222.2222222222222</v>
      </c>
      <c r="F170" t="str">
        <f t="shared" si="18"/>
        <v/>
      </c>
    </row>
    <row r="171" spans="1:6">
      <c r="A171">
        <f t="shared" si="15"/>
        <v>163</v>
      </c>
      <c r="B171" s="11">
        <f>'More accurate Energy (Solar)'!B178</f>
        <v>0</v>
      </c>
      <c r="C171" s="404">
        <f t="shared" si="16"/>
        <v>0</v>
      </c>
      <c r="D171" s="404">
        <f t="shared" si="17"/>
        <v>0</v>
      </c>
      <c r="E171" s="404">
        <f t="shared" si="19"/>
        <v>2222.2222222222222</v>
      </c>
      <c r="F171" t="str">
        <f t="shared" si="18"/>
        <v/>
      </c>
    </row>
    <row r="172" spans="1:6">
      <c r="A172">
        <f t="shared" si="15"/>
        <v>164</v>
      </c>
      <c r="B172" s="11">
        <f>'More accurate Energy (Solar)'!B179</f>
        <v>0</v>
      </c>
      <c r="C172" s="404">
        <f t="shared" si="16"/>
        <v>0</v>
      </c>
      <c r="D172" s="404">
        <f t="shared" si="17"/>
        <v>0</v>
      </c>
      <c r="E172" s="404">
        <f t="shared" si="19"/>
        <v>2222.2222222222222</v>
      </c>
      <c r="F172" t="str">
        <f t="shared" si="18"/>
        <v/>
      </c>
    </row>
    <row r="173" spans="1:6">
      <c r="A173">
        <f t="shared" si="15"/>
        <v>165</v>
      </c>
      <c r="B173" s="11">
        <f>'More accurate Energy (Solar)'!B180</f>
        <v>0</v>
      </c>
      <c r="C173" s="404">
        <f t="shared" si="16"/>
        <v>0</v>
      </c>
      <c r="D173" s="404">
        <f t="shared" si="17"/>
        <v>0</v>
      </c>
      <c r="E173" s="404">
        <f t="shared" si="19"/>
        <v>2222.2222222222222</v>
      </c>
      <c r="F173" t="str">
        <f t="shared" si="18"/>
        <v/>
      </c>
    </row>
    <row r="174" spans="1:6">
      <c r="A174">
        <f t="shared" si="15"/>
        <v>166</v>
      </c>
      <c r="B174" s="11">
        <f>'More accurate Energy (Solar)'!B181</f>
        <v>0</v>
      </c>
      <c r="C174" s="404">
        <f t="shared" si="16"/>
        <v>0</v>
      </c>
      <c r="D174" s="404">
        <f t="shared" si="17"/>
        <v>0</v>
      </c>
      <c r="E174" s="404">
        <f t="shared" si="19"/>
        <v>2222.2222222222222</v>
      </c>
      <c r="F174" t="str">
        <f t="shared" si="18"/>
        <v/>
      </c>
    </row>
    <row r="175" spans="1:6">
      <c r="A175">
        <f t="shared" si="15"/>
        <v>167</v>
      </c>
      <c r="B175" s="11">
        <f>'More accurate Energy (Solar)'!B182</f>
        <v>0</v>
      </c>
      <c r="C175" s="404">
        <f t="shared" si="16"/>
        <v>0</v>
      </c>
      <c r="D175" s="404">
        <f t="shared" si="17"/>
        <v>0</v>
      </c>
      <c r="E175" s="404">
        <f t="shared" si="19"/>
        <v>2222.2222222222222</v>
      </c>
      <c r="F175" t="str">
        <f t="shared" si="18"/>
        <v/>
      </c>
    </row>
    <row r="176" spans="1:6">
      <c r="A176">
        <f t="shared" si="15"/>
        <v>168</v>
      </c>
      <c r="B176" s="11">
        <f>'More accurate Energy (Solar)'!B183</f>
        <v>0</v>
      </c>
      <c r="C176" s="404">
        <f t="shared" si="16"/>
        <v>0</v>
      </c>
      <c r="D176" s="404">
        <f t="shared" si="17"/>
        <v>0</v>
      </c>
      <c r="E176" s="404">
        <f t="shared" si="19"/>
        <v>2222.2222222222222</v>
      </c>
      <c r="F176" t="str">
        <f t="shared" si="18"/>
        <v/>
      </c>
    </row>
    <row r="177" spans="1:6">
      <c r="A177">
        <f t="shared" si="15"/>
        <v>169</v>
      </c>
      <c r="B177" s="11">
        <f>'More accurate Energy (Solar)'!B184</f>
        <v>0.4861111111111111</v>
      </c>
      <c r="C177" s="404">
        <f t="shared" si="16"/>
        <v>486.11111111111109</v>
      </c>
      <c r="D177" s="404">
        <f t="shared" si="17"/>
        <v>97.222222222222214</v>
      </c>
      <c r="E177" s="404">
        <f t="shared" si="19"/>
        <v>2319.4444444444443</v>
      </c>
      <c r="F177" t="str">
        <f t="shared" si="18"/>
        <v/>
      </c>
    </row>
    <row r="178" spans="1:6">
      <c r="A178">
        <f t="shared" si="15"/>
        <v>170</v>
      </c>
      <c r="B178" s="11">
        <f>'More accurate Energy (Solar)'!B185</f>
        <v>0</v>
      </c>
      <c r="C178" s="404">
        <f t="shared" si="16"/>
        <v>0</v>
      </c>
      <c r="D178" s="404">
        <f t="shared" si="17"/>
        <v>0</v>
      </c>
      <c r="E178" s="404">
        <f t="shared" si="19"/>
        <v>2319.4444444444443</v>
      </c>
      <c r="F178" t="str">
        <f t="shared" si="18"/>
        <v/>
      </c>
    </row>
    <row r="179" spans="1:6">
      <c r="A179">
        <f t="shared" si="15"/>
        <v>171</v>
      </c>
      <c r="B179" s="11">
        <f>'More accurate Energy (Solar)'!B186</f>
        <v>0</v>
      </c>
      <c r="C179" s="404">
        <f t="shared" si="16"/>
        <v>0</v>
      </c>
      <c r="D179" s="404">
        <f t="shared" si="17"/>
        <v>0</v>
      </c>
      <c r="E179" s="404">
        <f t="shared" si="19"/>
        <v>2319.4444444444443</v>
      </c>
      <c r="F179" t="str">
        <f t="shared" si="18"/>
        <v/>
      </c>
    </row>
    <row r="180" spans="1:6">
      <c r="A180">
        <f t="shared" si="15"/>
        <v>172</v>
      </c>
      <c r="B180" s="11">
        <f>'More accurate Energy (Solar)'!B187</f>
        <v>0</v>
      </c>
      <c r="C180" s="404">
        <f t="shared" si="16"/>
        <v>0</v>
      </c>
      <c r="D180" s="404">
        <f t="shared" si="17"/>
        <v>0</v>
      </c>
      <c r="E180" s="404">
        <f t="shared" si="19"/>
        <v>2319.4444444444443</v>
      </c>
      <c r="F180" t="str">
        <f t="shared" si="18"/>
        <v/>
      </c>
    </row>
    <row r="181" spans="1:6">
      <c r="A181">
        <f t="shared" si="15"/>
        <v>173</v>
      </c>
      <c r="B181" s="11">
        <f>'More accurate Energy (Solar)'!B188</f>
        <v>0</v>
      </c>
      <c r="C181" s="404">
        <f t="shared" si="16"/>
        <v>0</v>
      </c>
      <c r="D181" s="404">
        <f t="shared" si="17"/>
        <v>0</v>
      </c>
      <c r="E181" s="404">
        <f t="shared" si="19"/>
        <v>2319.4444444444443</v>
      </c>
      <c r="F181" t="str">
        <f t="shared" si="18"/>
        <v/>
      </c>
    </row>
    <row r="182" spans="1:6">
      <c r="A182">
        <f t="shared" si="15"/>
        <v>174</v>
      </c>
      <c r="B182" s="11">
        <f>'More accurate Energy (Solar)'!B189</f>
        <v>9.722222222222221E-2</v>
      </c>
      <c r="C182" s="404">
        <f t="shared" si="16"/>
        <v>97.222222222222214</v>
      </c>
      <c r="D182" s="404">
        <f t="shared" si="17"/>
        <v>19.444444444444443</v>
      </c>
      <c r="E182" s="404">
        <f t="shared" si="19"/>
        <v>2338.8888888888887</v>
      </c>
      <c r="F182" t="str">
        <f t="shared" si="18"/>
        <v/>
      </c>
    </row>
    <row r="183" spans="1:6">
      <c r="A183">
        <f t="shared" si="15"/>
        <v>175</v>
      </c>
      <c r="B183" s="11">
        <f>'More accurate Energy (Solar)'!B190</f>
        <v>0.93055555555555558</v>
      </c>
      <c r="C183" s="404">
        <f t="shared" si="16"/>
        <v>930.55555555555554</v>
      </c>
      <c r="D183" s="404">
        <f t="shared" si="17"/>
        <v>186.11111111111109</v>
      </c>
      <c r="E183" s="404">
        <f t="shared" si="19"/>
        <v>2525</v>
      </c>
      <c r="F183" t="str">
        <f t="shared" si="18"/>
        <v/>
      </c>
    </row>
    <row r="184" spans="1:6">
      <c r="A184">
        <f t="shared" si="15"/>
        <v>176</v>
      </c>
      <c r="B184" s="11">
        <f>'More accurate Energy (Solar)'!B191</f>
        <v>0.27777777777777779</v>
      </c>
      <c r="C184" s="404">
        <f t="shared" si="16"/>
        <v>277.77777777777777</v>
      </c>
      <c r="D184" s="404">
        <f t="shared" si="17"/>
        <v>55.55555555555555</v>
      </c>
      <c r="E184" s="404">
        <f t="shared" si="19"/>
        <v>2580.5555555555557</v>
      </c>
      <c r="F184" t="str">
        <f t="shared" si="18"/>
        <v/>
      </c>
    </row>
    <row r="185" spans="1:6">
      <c r="A185">
        <f t="shared" si="15"/>
        <v>177</v>
      </c>
      <c r="B185" s="11">
        <f>'More accurate Energy (Solar)'!B192</f>
        <v>0</v>
      </c>
      <c r="C185" s="404">
        <f t="shared" si="16"/>
        <v>0</v>
      </c>
      <c r="D185" s="404">
        <f t="shared" si="17"/>
        <v>0</v>
      </c>
      <c r="E185" s="404">
        <f t="shared" si="19"/>
        <v>2580.5555555555557</v>
      </c>
      <c r="F185" t="str">
        <f t="shared" si="18"/>
        <v/>
      </c>
    </row>
    <row r="186" spans="1:6">
      <c r="A186">
        <f t="shared" si="15"/>
        <v>178</v>
      </c>
      <c r="B186" s="11">
        <f>'More accurate Energy (Solar)'!B193</f>
        <v>0</v>
      </c>
      <c r="C186" s="404">
        <f t="shared" si="16"/>
        <v>0</v>
      </c>
      <c r="D186" s="404">
        <f t="shared" si="17"/>
        <v>0</v>
      </c>
      <c r="E186" s="404">
        <f t="shared" si="19"/>
        <v>2580.5555555555557</v>
      </c>
      <c r="F186" t="str">
        <f t="shared" si="18"/>
        <v/>
      </c>
    </row>
    <row r="187" spans="1:6">
      <c r="A187">
        <f t="shared" si="15"/>
        <v>179</v>
      </c>
      <c r="B187" s="11">
        <f>'More accurate Energy (Solar)'!B194</f>
        <v>0</v>
      </c>
      <c r="C187" s="404">
        <f t="shared" si="16"/>
        <v>0</v>
      </c>
      <c r="D187" s="404">
        <f t="shared" si="17"/>
        <v>0</v>
      </c>
      <c r="E187" s="404">
        <f t="shared" si="19"/>
        <v>2580.5555555555557</v>
      </c>
      <c r="F187" t="str">
        <f t="shared" si="18"/>
        <v/>
      </c>
    </row>
    <row r="188" spans="1:6">
      <c r="A188">
        <f t="shared" si="15"/>
        <v>180</v>
      </c>
      <c r="B188" s="11">
        <f>'More accurate Energy (Solar)'!B195</f>
        <v>0</v>
      </c>
      <c r="C188" s="404">
        <f t="shared" si="16"/>
        <v>0</v>
      </c>
      <c r="D188" s="404">
        <f t="shared" si="17"/>
        <v>0</v>
      </c>
      <c r="E188" s="404">
        <f t="shared" si="19"/>
        <v>2580.5555555555557</v>
      </c>
      <c r="F188" t="str">
        <f t="shared" si="18"/>
        <v/>
      </c>
    </row>
    <row r="189" spans="1:6">
      <c r="A189">
        <f t="shared" si="15"/>
        <v>181</v>
      </c>
      <c r="B189" s="11">
        <f>'More accurate Energy (Solar)'!B196</f>
        <v>0</v>
      </c>
      <c r="C189" s="404">
        <f t="shared" si="16"/>
        <v>0</v>
      </c>
      <c r="D189" s="404">
        <f t="shared" si="17"/>
        <v>0</v>
      </c>
      <c r="E189" s="404">
        <f t="shared" si="19"/>
        <v>2580.5555555555557</v>
      </c>
      <c r="F189" t="str">
        <f t="shared" si="18"/>
        <v/>
      </c>
    </row>
    <row r="190" spans="1:6">
      <c r="A190">
        <f t="shared" si="15"/>
        <v>182</v>
      </c>
      <c r="B190" s="11">
        <f>'More accurate Energy (Solar)'!B197</f>
        <v>0</v>
      </c>
      <c r="C190" s="404">
        <f t="shared" si="16"/>
        <v>0</v>
      </c>
      <c r="D190" s="404">
        <f t="shared" si="17"/>
        <v>0</v>
      </c>
      <c r="E190" s="404">
        <f t="shared" si="19"/>
        <v>2580.5555555555557</v>
      </c>
      <c r="F190" t="str">
        <f t="shared" si="18"/>
        <v/>
      </c>
    </row>
    <row r="191" spans="1:6">
      <c r="A191">
        <f t="shared" si="15"/>
        <v>183</v>
      </c>
      <c r="B191" s="11">
        <f>'More accurate Energy (Solar)'!B198</f>
        <v>0</v>
      </c>
      <c r="C191" s="404">
        <f t="shared" si="16"/>
        <v>0</v>
      </c>
      <c r="D191" s="404">
        <f t="shared" si="17"/>
        <v>0</v>
      </c>
      <c r="E191" s="404">
        <f t="shared" si="19"/>
        <v>2580.5555555555557</v>
      </c>
      <c r="F191" t="str">
        <f t="shared" si="18"/>
        <v/>
      </c>
    </row>
    <row r="192" spans="1:6">
      <c r="A192">
        <f t="shared" si="15"/>
        <v>184</v>
      </c>
      <c r="B192" s="11">
        <f>'More accurate Energy (Solar)'!B199</f>
        <v>0</v>
      </c>
      <c r="C192" s="404">
        <f t="shared" si="16"/>
        <v>0</v>
      </c>
      <c r="D192" s="404">
        <f t="shared" si="17"/>
        <v>0</v>
      </c>
      <c r="E192" s="404">
        <f t="shared" si="19"/>
        <v>2580.5555555555557</v>
      </c>
      <c r="F192" t="str">
        <f t="shared" si="18"/>
        <v/>
      </c>
    </row>
    <row r="193" spans="1:6">
      <c r="A193">
        <f t="shared" si="15"/>
        <v>185</v>
      </c>
      <c r="B193" s="11">
        <f>'More accurate Energy (Solar)'!B200</f>
        <v>0</v>
      </c>
      <c r="C193" s="404">
        <f t="shared" si="16"/>
        <v>0</v>
      </c>
      <c r="D193" s="404">
        <f t="shared" si="17"/>
        <v>0</v>
      </c>
      <c r="E193" s="404">
        <f t="shared" si="19"/>
        <v>2580.5555555555557</v>
      </c>
      <c r="F193" t="str">
        <f t="shared" si="18"/>
        <v/>
      </c>
    </row>
    <row r="194" spans="1:6">
      <c r="A194">
        <f t="shared" si="15"/>
        <v>186</v>
      </c>
      <c r="B194" s="11">
        <f>'More accurate Energy (Solar)'!B201</f>
        <v>0</v>
      </c>
      <c r="C194" s="404">
        <f t="shared" si="16"/>
        <v>0</v>
      </c>
      <c r="D194" s="404">
        <f t="shared" si="17"/>
        <v>0</v>
      </c>
      <c r="E194" s="404">
        <f t="shared" si="19"/>
        <v>2580.5555555555557</v>
      </c>
      <c r="F194" t="str">
        <f t="shared" si="18"/>
        <v/>
      </c>
    </row>
    <row r="195" spans="1:6">
      <c r="A195">
        <f t="shared" si="15"/>
        <v>187</v>
      </c>
      <c r="B195" s="11">
        <f>'More accurate Energy (Solar)'!B202</f>
        <v>0</v>
      </c>
      <c r="C195" s="404">
        <f t="shared" si="16"/>
        <v>0</v>
      </c>
      <c r="D195" s="404">
        <f t="shared" si="17"/>
        <v>0</v>
      </c>
      <c r="E195" s="404">
        <f t="shared" si="19"/>
        <v>2580.5555555555557</v>
      </c>
      <c r="F195" t="str">
        <f t="shared" si="18"/>
        <v/>
      </c>
    </row>
    <row r="196" spans="1:6">
      <c r="A196">
        <f t="shared" si="15"/>
        <v>188</v>
      </c>
      <c r="B196" s="11">
        <f>'More accurate Energy (Solar)'!B203</f>
        <v>1.3888888888888888E-2</v>
      </c>
      <c r="C196" s="404">
        <f t="shared" si="16"/>
        <v>13.888888888888888</v>
      </c>
      <c r="D196" s="404">
        <f t="shared" si="17"/>
        <v>2.7777777777777772</v>
      </c>
      <c r="E196" s="404">
        <f t="shared" si="19"/>
        <v>2583.3333333333335</v>
      </c>
      <c r="F196" t="str">
        <f t="shared" si="18"/>
        <v/>
      </c>
    </row>
    <row r="197" spans="1:6">
      <c r="A197">
        <f t="shared" si="15"/>
        <v>189</v>
      </c>
      <c r="B197" s="11">
        <f>'More accurate Energy (Solar)'!B204</f>
        <v>0</v>
      </c>
      <c r="C197" s="404">
        <f t="shared" si="16"/>
        <v>0</v>
      </c>
      <c r="D197" s="404">
        <f t="shared" si="17"/>
        <v>0</v>
      </c>
      <c r="E197" s="404">
        <f t="shared" si="19"/>
        <v>2583.3333333333335</v>
      </c>
      <c r="F197" t="str">
        <f t="shared" si="18"/>
        <v/>
      </c>
    </row>
    <row r="198" spans="1:6">
      <c r="A198">
        <f t="shared" si="15"/>
        <v>190</v>
      </c>
      <c r="B198" s="11">
        <f>'More accurate Energy (Solar)'!B205</f>
        <v>6.9444444444444448E-2</v>
      </c>
      <c r="C198" s="404">
        <f t="shared" si="16"/>
        <v>69.444444444444443</v>
      </c>
      <c r="D198" s="404">
        <f t="shared" si="17"/>
        <v>13.888888888888888</v>
      </c>
      <c r="E198" s="404">
        <f t="shared" si="19"/>
        <v>2597.2222222222222</v>
      </c>
      <c r="F198" t="str">
        <f t="shared" si="18"/>
        <v/>
      </c>
    </row>
    <row r="199" spans="1:6">
      <c r="A199">
        <f t="shared" si="15"/>
        <v>191</v>
      </c>
      <c r="B199" s="11">
        <f>'More accurate Energy (Solar)'!B206</f>
        <v>8.3333333333333329E-2</v>
      </c>
      <c r="C199" s="404">
        <f t="shared" si="16"/>
        <v>83.333333333333329</v>
      </c>
      <c r="D199" s="404">
        <f t="shared" si="17"/>
        <v>16.666666666666664</v>
      </c>
      <c r="E199" s="404">
        <f t="shared" si="19"/>
        <v>2613.8888888888887</v>
      </c>
      <c r="F199" t="str">
        <f t="shared" si="18"/>
        <v/>
      </c>
    </row>
    <row r="200" spans="1:6">
      <c r="A200">
        <f t="shared" si="15"/>
        <v>192</v>
      </c>
      <c r="B200" s="11">
        <f>'More accurate Energy (Solar)'!B207</f>
        <v>0.16666666666666666</v>
      </c>
      <c r="C200" s="404">
        <f t="shared" si="16"/>
        <v>166.66666666666666</v>
      </c>
      <c r="D200" s="404">
        <f t="shared" si="17"/>
        <v>33.333333333333329</v>
      </c>
      <c r="E200" s="404">
        <f t="shared" si="19"/>
        <v>2647.2222222222222</v>
      </c>
      <c r="F200" t="str">
        <f t="shared" si="18"/>
        <v/>
      </c>
    </row>
    <row r="201" spans="1:6">
      <c r="A201">
        <f t="shared" si="15"/>
        <v>193</v>
      </c>
      <c r="B201" s="11">
        <f>'More accurate Energy (Solar)'!B208</f>
        <v>0.27777777777777779</v>
      </c>
      <c r="C201" s="404">
        <f t="shared" si="16"/>
        <v>277.77777777777777</v>
      </c>
      <c r="D201" s="404">
        <f t="shared" si="17"/>
        <v>55.55555555555555</v>
      </c>
      <c r="E201" s="404">
        <f t="shared" si="19"/>
        <v>2702.7777777777778</v>
      </c>
      <c r="F201" t="str">
        <f t="shared" si="18"/>
        <v/>
      </c>
    </row>
    <row r="202" spans="1:6">
      <c r="A202">
        <f t="shared" ref="A202:A265" si="20">A201+1</f>
        <v>194</v>
      </c>
      <c r="B202" s="11">
        <f>'More accurate Energy (Solar)'!B209</f>
        <v>0</v>
      </c>
      <c r="C202" s="404">
        <f t="shared" ref="C202:C265" si="21">B202 * 1000</f>
        <v>0</v>
      </c>
      <c r="D202" s="404">
        <f t="shared" ref="D202:D265" si="22">C202*$B$3*$B$1/$B$2/1000</f>
        <v>0</v>
      </c>
      <c r="E202" s="404">
        <f t="shared" si="19"/>
        <v>2702.7777777777778</v>
      </c>
      <c r="F202" t="str">
        <f t="shared" si="18"/>
        <v/>
      </c>
    </row>
    <row r="203" spans="1:6">
      <c r="A203">
        <f t="shared" si="20"/>
        <v>195</v>
      </c>
      <c r="B203" s="11">
        <f>'More accurate Energy (Solar)'!B210</f>
        <v>0</v>
      </c>
      <c r="C203" s="404">
        <f t="shared" si="21"/>
        <v>0</v>
      </c>
      <c r="D203" s="404">
        <f t="shared" si="22"/>
        <v>0</v>
      </c>
      <c r="E203" s="404">
        <f t="shared" si="19"/>
        <v>2702.7777777777778</v>
      </c>
      <c r="F203" t="str">
        <f t="shared" ref="F203:F266" si="23">IF(E203 = D203, 1, "")</f>
        <v/>
      </c>
    </row>
    <row r="204" spans="1:6">
      <c r="A204">
        <f t="shared" si="20"/>
        <v>196</v>
      </c>
      <c r="B204" s="11">
        <f>'More accurate Energy (Solar)'!B211</f>
        <v>0</v>
      </c>
      <c r="C204" s="404">
        <f t="shared" si="21"/>
        <v>0</v>
      </c>
      <c r="D204" s="404">
        <f t="shared" si="22"/>
        <v>0</v>
      </c>
      <c r="E204" s="404">
        <f t="shared" si="19"/>
        <v>2702.7777777777778</v>
      </c>
      <c r="F204" t="str">
        <f t="shared" si="23"/>
        <v/>
      </c>
    </row>
    <row r="205" spans="1:6">
      <c r="A205">
        <f t="shared" si="20"/>
        <v>197</v>
      </c>
      <c r="B205" s="11">
        <f>'More accurate Energy (Solar)'!B212</f>
        <v>0</v>
      </c>
      <c r="C205" s="404">
        <f t="shared" si="21"/>
        <v>0</v>
      </c>
      <c r="D205" s="404">
        <f t="shared" si="22"/>
        <v>0</v>
      </c>
      <c r="E205" s="404">
        <f t="shared" si="19"/>
        <v>2702.7777777777778</v>
      </c>
      <c r="F205" t="str">
        <f t="shared" si="23"/>
        <v/>
      </c>
    </row>
    <row r="206" spans="1:6">
      <c r="A206">
        <f t="shared" si="20"/>
        <v>198</v>
      </c>
      <c r="B206" s="11">
        <f>'More accurate Energy (Solar)'!B213</f>
        <v>0</v>
      </c>
      <c r="C206" s="404">
        <f t="shared" si="21"/>
        <v>0</v>
      </c>
      <c r="D206" s="404">
        <f t="shared" si="22"/>
        <v>0</v>
      </c>
      <c r="E206" s="404">
        <f t="shared" si="19"/>
        <v>2702.7777777777778</v>
      </c>
      <c r="F206" t="str">
        <f t="shared" si="23"/>
        <v/>
      </c>
    </row>
    <row r="207" spans="1:6">
      <c r="A207">
        <f t="shared" si="20"/>
        <v>199</v>
      </c>
      <c r="B207" s="11">
        <f>'More accurate Energy (Solar)'!B214</f>
        <v>0</v>
      </c>
      <c r="C207" s="404">
        <f t="shared" si="21"/>
        <v>0</v>
      </c>
      <c r="D207" s="404">
        <f t="shared" si="22"/>
        <v>0</v>
      </c>
      <c r="E207" s="404">
        <f t="shared" si="19"/>
        <v>2702.7777777777778</v>
      </c>
      <c r="F207" t="str">
        <f t="shared" si="23"/>
        <v/>
      </c>
    </row>
    <row r="208" spans="1:6">
      <c r="A208">
        <f t="shared" si="20"/>
        <v>200</v>
      </c>
      <c r="B208" s="11">
        <f>'More accurate Energy (Solar)'!B215</f>
        <v>0</v>
      </c>
      <c r="C208" s="404">
        <f t="shared" si="21"/>
        <v>0</v>
      </c>
      <c r="D208" s="404">
        <f t="shared" si="22"/>
        <v>0</v>
      </c>
      <c r="E208" s="404">
        <f t="shared" si="19"/>
        <v>2702.7777777777778</v>
      </c>
      <c r="F208" t="str">
        <f t="shared" si="23"/>
        <v/>
      </c>
    </row>
    <row r="209" spans="1:6">
      <c r="A209">
        <f t="shared" si="20"/>
        <v>201</v>
      </c>
      <c r="B209" s="11">
        <f>'More accurate Energy (Solar)'!B216</f>
        <v>4.1666666666666664E-2</v>
      </c>
      <c r="C209" s="404">
        <f t="shared" si="21"/>
        <v>41.666666666666664</v>
      </c>
      <c r="D209" s="404">
        <f t="shared" si="22"/>
        <v>8.3333333333333321</v>
      </c>
      <c r="E209" s="404">
        <f t="shared" si="19"/>
        <v>2711.1111111111113</v>
      </c>
      <c r="F209" t="str">
        <f t="shared" si="23"/>
        <v/>
      </c>
    </row>
    <row r="210" spans="1:6">
      <c r="A210">
        <f t="shared" si="20"/>
        <v>202</v>
      </c>
      <c r="B210" s="11">
        <f>'More accurate Energy (Solar)'!B217</f>
        <v>0</v>
      </c>
      <c r="C210" s="404">
        <f t="shared" si="21"/>
        <v>0</v>
      </c>
      <c r="D210" s="404">
        <f t="shared" si="22"/>
        <v>0</v>
      </c>
      <c r="E210" s="404">
        <f t="shared" si="19"/>
        <v>2711.1111111111113</v>
      </c>
      <c r="F210" t="str">
        <f t="shared" si="23"/>
        <v/>
      </c>
    </row>
    <row r="211" spans="1:6">
      <c r="A211">
        <f t="shared" si="20"/>
        <v>203</v>
      </c>
      <c r="B211" s="11">
        <f>'More accurate Energy (Solar)'!B218</f>
        <v>0</v>
      </c>
      <c r="C211" s="404">
        <f t="shared" si="21"/>
        <v>0</v>
      </c>
      <c r="D211" s="404">
        <f t="shared" si="22"/>
        <v>0</v>
      </c>
      <c r="E211" s="404">
        <f t="shared" si="19"/>
        <v>2711.1111111111113</v>
      </c>
      <c r="F211" t="str">
        <f t="shared" si="23"/>
        <v/>
      </c>
    </row>
    <row r="212" spans="1:6">
      <c r="A212">
        <f t="shared" si="20"/>
        <v>204</v>
      </c>
      <c r="B212" s="11">
        <f>'More accurate Energy (Solar)'!B219</f>
        <v>0.58333333333333348</v>
      </c>
      <c r="C212" s="404">
        <f t="shared" si="21"/>
        <v>583.33333333333348</v>
      </c>
      <c r="D212" s="404">
        <f t="shared" si="22"/>
        <v>116.6666666666667</v>
      </c>
      <c r="E212" s="404">
        <f t="shared" si="19"/>
        <v>2827.7777777777778</v>
      </c>
      <c r="F212" t="str">
        <f t="shared" si="23"/>
        <v/>
      </c>
    </row>
    <row r="213" spans="1:6">
      <c r="A213">
        <f t="shared" si="20"/>
        <v>205</v>
      </c>
      <c r="B213" s="11">
        <f>'More accurate Energy (Solar)'!B220</f>
        <v>0.27777777777777779</v>
      </c>
      <c r="C213" s="404">
        <f t="shared" si="21"/>
        <v>277.77777777777777</v>
      </c>
      <c r="D213" s="404">
        <f t="shared" si="22"/>
        <v>55.55555555555555</v>
      </c>
      <c r="E213" s="404">
        <f t="shared" si="19"/>
        <v>2883.3333333333335</v>
      </c>
      <c r="F213" t="str">
        <f t="shared" si="23"/>
        <v/>
      </c>
    </row>
    <row r="214" spans="1:6">
      <c r="A214">
        <f t="shared" si="20"/>
        <v>206</v>
      </c>
      <c r="B214" s="11">
        <f>'More accurate Energy (Solar)'!B221</f>
        <v>0.29166666666666674</v>
      </c>
      <c r="C214" s="404">
        <f t="shared" si="21"/>
        <v>291.66666666666674</v>
      </c>
      <c r="D214" s="404">
        <f t="shared" si="22"/>
        <v>58.33333333333335</v>
      </c>
      <c r="E214" s="404">
        <f t="shared" si="19"/>
        <v>2941.666666666667</v>
      </c>
      <c r="F214" t="str">
        <f t="shared" si="23"/>
        <v/>
      </c>
    </row>
    <row r="215" spans="1:6">
      <c r="A215">
        <f t="shared" si="20"/>
        <v>207</v>
      </c>
      <c r="B215" s="11">
        <f>'More accurate Energy (Solar)'!B222</f>
        <v>0</v>
      </c>
      <c r="C215" s="404">
        <f t="shared" si="21"/>
        <v>0</v>
      </c>
      <c r="D215" s="404">
        <f t="shared" si="22"/>
        <v>0</v>
      </c>
      <c r="E215" s="404">
        <f t="shared" si="19"/>
        <v>2941.666666666667</v>
      </c>
      <c r="F215" t="str">
        <f t="shared" si="23"/>
        <v/>
      </c>
    </row>
    <row r="216" spans="1:6">
      <c r="A216">
        <f t="shared" si="20"/>
        <v>208</v>
      </c>
      <c r="B216" s="11">
        <f>'More accurate Energy (Solar)'!B223</f>
        <v>0</v>
      </c>
      <c r="C216" s="404">
        <f t="shared" si="21"/>
        <v>0</v>
      </c>
      <c r="D216" s="404">
        <f t="shared" si="22"/>
        <v>0</v>
      </c>
      <c r="E216" s="404">
        <f t="shared" si="19"/>
        <v>2941.666666666667</v>
      </c>
      <c r="F216" t="str">
        <f t="shared" si="23"/>
        <v/>
      </c>
    </row>
    <row r="217" spans="1:6">
      <c r="A217">
        <f t="shared" si="20"/>
        <v>209</v>
      </c>
      <c r="B217" s="11">
        <f>'More accurate Energy (Solar)'!B224</f>
        <v>0</v>
      </c>
      <c r="C217" s="404">
        <f t="shared" si="21"/>
        <v>0</v>
      </c>
      <c r="D217" s="404">
        <f t="shared" si="22"/>
        <v>0</v>
      </c>
      <c r="E217" s="404">
        <f t="shared" si="19"/>
        <v>2941.666666666667</v>
      </c>
      <c r="F217" t="str">
        <f t="shared" si="23"/>
        <v/>
      </c>
    </row>
    <row r="218" spans="1:6">
      <c r="A218">
        <f t="shared" si="20"/>
        <v>210</v>
      </c>
      <c r="B218" s="11">
        <f>'More accurate Energy (Solar)'!B225</f>
        <v>0</v>
      </c>
      <c r="C218" s="404">
        <f t="shared" si="21"/>
        <v>0</v>
      </c>
      <c r="D218" s="404">
        <f t="shared" si="22"/>
        <v>0</v>
      </c>
      <c r="E218" s="404">
        <f t="shared" si="19"/>
        <v>2941.666666666667</v>
      </c>
      <c r="F218" t="str">
        <f t="shared" si="23"/>
        <v/>
      </c>
    </row>
    <row r="219" spans="1:6">
      <c r="A219">
        <f t="shared" si="20"/>
        <v>211</v>
      </c>
      <c r="B219" s="11">
        <f>'More accurate Energy (Solar)'!B226</f>
        <v>0</v>
      </c>
      <c r="C219" s="404">
        <f t="shared" si="21"/>
        <v>0</v>
      </c>
      <c r="D219" s="404">
        <f t="shared" si="22"/>
        <v>0</v>
      </c>
      <c r="E219" s="404">
        <f t="shared" si="19"/>
        <v>2941.666666666667</v>
      </c>
      <c r="F219" t="str">
        <f t="shared" si="23"/>
        <v/>
      </c>
    </row>
    <row r="220" spans="1:6">
      <c r="A220">
        <f t="shared" si="20"/>
        <v>212</v>
      </c>
      <c r="B220" s="11">
        <f>'More accurate Energy (Solar)'!B227</f>
        <v>0</v>
      </c>
      <c r="C220" s="404">
        <f t="shared" si="21"/>
        <v>0</v>
      </c>
      <c r="D220" s="404">
        <f t="shared" si="22"/>
        <v>0</v>
      </c>
      <c r="E220" s="404">
        <f t="shared" si="19"/>
        <v>2941.666666666667</v>
      </c>
      <c r="F220" t="str">
        <f t="shared" si="23"/>
        <v/>
      </c>
    </row>
    <row r="221" spans="1:6">
      <c r="A221">
        <f t="shared" si="20"/>
        <v>213</v>
      </c>
      <c r="B221" s="11">
        <f>'More accurate Energy (Solar)'!B228</f>
        <v>0</v>
      </c>
      <c r="C221" s="404">
        <f t="shared" si="21"/>
        <v>0</v>
      </c>
      <c r="D221" s="404">
        <f t="shared" si="22"/>
        <v>0</v>
      </c>
      <c r="E221" s="404">
        <f t="shared" si="19"/>
        <v>2941.666666666667</v>
      </c>
      <c r="F221" t="str">
        <f t="shared" si="23"/>
        <v/>
      </c>
    </row>
    <row r="222" spans="1:6">
      <c r="A222">
        <f t="shared" si="20"/>
        <v>214</v>
      </c>
      <c r="B222" s="11">
        <f>'More accurate Energy (Solar)'!B229</f>
        <v>0</v>
      </c>
      <c r="C222" s="404">
        <f t="shared" si="21"/>
        <v>0</v>
      </c>
      <c r="D222" s="404">
        <f t="shared" si="22"/>
        <v>0</v>
      </c>
      <c r="E222" s="404">
        <f t="shared" si="19"/>
        <v>2941.666666666667</v>
      </c>
      <c r="F222" t="str">
        <f t="shared" si="23"/>
        <v/>
      </c>
    </row>
    <row r="223" spans="1:6">
      <c r="A223">
        <f t="shared" si="20"/>
        <v>215</v>
      </c>
      <c r="B223" s="11">
        <f>'More accurate Energy (Solar)'!B230</f>
        <v>0</v>
      </c>
      <c r="C223" s="404">
        <f t="shared" si="21"/>
        <v>0</v>
      </c>
      <c r="D223" s="404">
        <f t="shared" si="22"/>
        <v>0</v>
      </c>
      <c r="E223" s="404">
        <f t="shared" si="19"/>
        <v>2941.666666666667</v>
      </c>
      <c r="F223" t="str">
        <f t="shared" si="23"/>
        <v/>
      </c>
    </row>
    <row r="224" spans="1:6">
      <c r="A224">
        <f t="shared" si="20"/>
        <v>216</v>
      </c>
      <c r="B224" s="11">
        <f>'More accurate Energy (Solar)'!B231</f>
        <v>0</v>
      </c>
      <c r="C224" s="404">
        <f t="shared" si="21"/>
        <v>0</v>
      </c>
      <c r="D224" s="404">
        <f t="shared" si="22"/>
        <v>0</v>
      </c>
      <c r="E224" s="404">
        <f t="shared" si="19"/>
        <v>2941.666666666667</v>
      </c>
      <c r="F224" t="str">
        <f t="shared" si="23"/>
        <v/>
      </c>
    </row>
    <row r="225" spans="1:6">
      <c r="A225">
        <f t="shared" si="20"/>
        <v>217</v>
      </c>
      <c r="B225" s="11">
        <f>'More accurate Energy (Solar)'!B232</f>
        <v>0</v>
      </c>
      <c r="C225" s="404">
        <f t="shared" si="21"/>
        <v>0</v>
      </c>
      <c r="D225" s="404">
        <f t="shared" si="22"/>
        <v>0</v>
      </c>
      <c r="E225" s="404">
        <f t="shared" ref="E225:E288" si="24">IF(E224+D225 &gt; $B$4 * 1000,D225,E224 + D225)</f>
        <v>2941.666666666667</v>
      </c>
      <c r="F225" t="str">
        <f t="shared" si="23"/>
        <v/>
      </c>
    </row>
    <row r="226" spans="1:6">
      <c r="A226">
        <f t="shared" si="20"/>
        <v>218</v>
      </c>
      <c r="B226" s="11">
        <f>'More accurate Energy (Solar)'!B233</f>
        <v>0.22222222222222221</v>
      </c>
      <c r="C226" s="404">
        <f t="shared" si="21"/>
        <v>222.2222222222222</v>
      </c>
      <c r="D226" s="404">
        <f t="shared" si="22"/>
        <v>44.444444444444436</v>
      </c>
      <c r="E226" s="404">
        <f t="shared" si="24"/>
        <v>2986.1111111111113</v>
      </c>
      <c r="F226" t="str">
        <f t="shared" si="23"/>
        <v/>
      </c>
    </row>
    <row r="227" spans="1:6">
      <c r="A227">
        <f t="shared" si="20"/>
        <v>219</v>
      </c>
      <c r="B227" s="11">
        <f>'More accurate Energy (Solar)'!B234</f>
        <v>1.0138888888888888</v>
      </c>
      <c r="C227" s="404">
        <f t="shared" si="21"/>
        <v>1013.8888888888888</v>
      </c>
      <c r="D227" s="404">
        <f t="shared" si="22"/>
        <v>202.77777777777774</v>
      </c>
      <c r="E227" s="404">
        <f t="shared" si="24"/>
        <v>202.77777777777774</v>
      </c>
      <c r="F227">
        <f t="shared" si="23"/>
        <v>1</v>
      </c>
    </row>
    <row r="228" spans="1:6">
      <c r="A228">
        <f t="shared" si="20"/>
        <v>220</v>
      </c>
      <c r="B228" s="11">
        <f>'More accurate Energy (Solar)'!B235</f>
        <v>1.0416666666666667</v>
      </c>
      <c r="C228" s="404">
        <f t="shared" si="21"/>
        <v>1041.6666666666667</v>
      </c>
      <c r="D228" s="404">
        <f t="shared" si="22"/>
        <v>208.33333333333334</v>
      </c>
      <c r="E228" s="404">
        <f t="shared" si="24"/>
        <v>411.11111111111109</v>
      </c>
      <c r="F228" t="str">
        <f t="shared" si="23"/>
        <v/>
      </c>
    </row>
    <row r="229" spans="1:6">
      <c r="A229">
        <f t="shared" si="20"/>
        <v>221</v>
      </c>
      <c r="B229" s="11">
        <f>'More accurate Energy (Solar)'!B236</f>
        <v>0.125</v>
      </c>
      <c r="C229" s="404">
        <f t="shared" si="21"/>
        <v>125</v>
      </c>
      <c r="D229" s="404">
        <f t="shared" si="22"/>
        <v>25</v>
      </c>
      <c r="E229" s="404">
        <f t="shared" si="24"/>
        <v>436.11111111111109</v>
      </c>
      <c r="F229" t="str">
        <f t="shared" si="23"/>
        <v/>
      </c>
    </row>
    <row r="230" spans="1:6">
      <c r="A230">
        <f t="shared" si="20"/>
        <v>222</v>
      </c>
      <c r="B230" s="11">
        <f>'More accurate Energy (Solar)'!B237</f>
        <v>0</v>
      </c>
      <c r="C230" s="404">
        <f t="shared" si="21"/>
        <v>0</v>
      </c>
      <c r="D230" s="404">
        <f t="shared" si="22"/>
        <v>0</v>
      </c>
      <c r="E230" s="404">
        <f t="shared" si="24"/>
        <v>436.11111111111109</v>
      </c>
      <c r="F230" t="str">
        <f t="shared" si="23"/>
        <v/>
      </c>
    </row>
    <row r="231" spans="1:6">
      <c r="A231">
        <f t="shared" si="20"/>
        <v>223</v>
      </c>
      <c r="B231" s="11">
        <f>'More accurate Energy (Solar)'!B238</f>
        <v>0</v>
      </c>
      <c r="C231" s="404">
        <f t="shared" si="21"/>
        <v>0</v>
      </c>
      <c r="D231" s="404">
        <f t="shared" si="22"/>
        <v>0</v>
      </c>
      <c r="E231" s="404">
        <f t="shared" si="24"/>
        <v>436.11111111111109</v>
      </c>
      <c r="F231" t="str">
        <f t="shared" si="23"/>
        <v/>
      </c>
    </row>
    <row r="232" spans="1:6">
      <c r="A232">
        <f t="shared" si="20"/>
        <v>224</v>
      </c>
      <c r="B232" s="11">
        <f>'More accurate Energy (Solar)'!B239</f>
        <v>0</v>
      </c>
      <c r="C232" s="404">
        <f t="shared" si="21"/>
        <v>0</v>
      </c>
      <c r="D232" s="404">
        <f t="shared" si="22"/>
        <v>0</v>
      </c>
      <c r="E232" s="404">
        <f t="shared" si="24"/>
        <v>436.11111111111109</v>
      </c>
      <c r="F232" t="str">
        <f t="shared" si="23"/>
        <v/>
      </c>
    </row>
    <row r="233" spans="1:6">
      <c r="A233">
        <f t="shared" si="20"/>
        <v>225</v>
      </c>
      <c r="B233" s="11">
        <f>'More accurate Energy (Solar)'!B240</f>
        <v>0</v>
      </c>
      <c r="C233" s="404">
        <f t="shared" si="21"/>
        <v>0</v>
      </c>
      <c r="D233" s="404">
        <f t="shared" si="22"/>
        <v>0</v>
      </c>
      <c r="E233" s="404">
        <f t="shared" si="24"/>
        <v>436.11111111111109</v>
      </c>
      <c r="F233" t="str">
        <f t="shared" si="23"/>
        <v/>
      </c>
    </row>
    <row r="234" spans="1:6">
      <c r="A234">
        <f t="shared" si="20"/>
        <v>226</v>
      </c>
      <c r="B234" s="11">
        <f>'More accurate Energy (Solar)'!B241</f>
        <v>0</v>
      </c>
      <c r="C234" s="404">
        <f t="shared" si="21"/>
        <v>0</v>
      </c>
      <c r="D234" s="404">
        <f t="shared" si="22"/>
        <v>0</v>
      </c>
      <c r="E234" s="404">
        <f t="shared" si="24"/>
        <v>436.11111111111109</v>
      </c>
      <c r="F234" t="str">
        <f t="shared" si="23"/>
        <v/>
      </c>
    </row>
    <row r="235" spans="1:6">
      <c r="A235">
        <f t="shared" si="20"/>
        <v>227</v>
      </c>
      <c r="B235" s="11">
        <f>'More accurate Energy (Solar)'!B242</f>
        <v>0</v>
      </c>
      <c r="C235" s="404">
        <f t="shared" si="21"/>
        <v>0</v>
      </c>
      <c r="D235" s="404">
        <f t="shared" si="22"/>
        <v>0</v>
      </c>
      <c r="E235" s="404">
        <f t="shared" si="24"/>
        <v>436.11111111111109</v>
      </c>
      <c r="F235" t="str">
        <f t="shared" si="23"/>
        <v/>
      </c>
    </row>
    <row r="236" spans="1:6">
      <c r="A236">
        <f t="shared" si="20"/>
        <v>228</v>
      </c>
      <c r="B236" s="11">
        <f>'More accurate Energy (Solar)'!B243</f>
        <v>0</v>
      </c>
      <c r="C236" s="404">
        <f t="shared" si="21"/>
        <v>0</v>
      </c>
      <c r="D236" s="404">
        <f t="shared" si="22"/>
        <v>0</v>
      </c>
      <c r="E236" s="404">
        <f t="shared" si="24"/>
        <v>436.11111111111109</v>
      </c>
      <c r="F236" t="str">
        <f t="shared" si="23"/>
        <v/>
      </c>
    </row>
    <row r="237" spans="1:6">
      <c r="A237">
        <f t="shared" si="20"/>
        <v>229</v>
      </c>
      <c r="B237" s="11">
        <f>'More accurate Energy (Solar)'!B244</f>
        <v>0</v>
      </c>
      <c r="C237" s="404">
        <f t="shared" si="21"/>
        <v>0</v>
      </c>
      <c r="D237" s="404">
        <f t="shared" si="22"/>
        <v>0</v>
      </c>
      <c r="E237" s="404">
        <f t="shared" si="24"/>
        <v>436.11111111111109</v>
      </c>
      <c r="F237" t="str">
        <f t="shared" si="23"/>
        <v/>
      </c>
    </row>
    <row r="238" spans="1:6">
      <c r="A238">
        <f t="shared" si="20"/>
        <v>230</v>
      </c>
      <c r="B238" s="11">
        <f>'More accurate Energy (Solar)'!B245</f>
        <v>0</v>
      </c>
      <c r="C238" s="404">
        <f t="shared" si="21"/>
        <v>0</v>
      </c>
      <c r="D238" s="404">
        <f t="shared" si="22"/>
        <v>0</v>
      </c>
      <c r="E238" s="404">
        <f t="shared" si="24"/>
        <v>436.11111111111109</v>
      </c>
      <c r="F238" t="str">
        <f t="shared" si="23"/>
        <v/>
      </c>
    </row>
    <row r="239" spans="1:6">
      <c r="A239">
        <f t="shared" si="20"/>
        <v>231</v>
      </c>
      <c r="B239" s="11">
        <f>'More accurate Energy (Solar)'!B246</f>
        <v>0</v>
      </c>
      <c r="C239" s="404">
        <f t="shared" si="21"/>
        <v>0</v>
      </c>
      <c r="D239" s="404">
        <f t="shared" si="22"/>
        <v>0</v>
      </c>
      <c r="E239" s="404">
        <f t="shared" si="24"/>
        <v>436.11111111111109</v>
      </c>
      <c r="F239" t="str">
        <f t="shared" si="23"/>
        <v/>
      </c>
    </row>
    <row r="240" spans="1:6">
      <c r="A240">
        <f t="shared" si="20"/>
        <v>232</v>
      </c>
      <c r="B240" s="11">
        <f>'More accurate Energy (Solar)'!B247</f>
        <v>0</v>
      </c>
      <c r="C240" s="404">
        <f t="shared" si="21"/>
        <v>0</v>
      </c>
      <c r="D240" s="404">
        <f t="shared" si="22"/>
        <v>0</v>
      </c>
      <c r="E240" s="404">
        <f t="shared" si="24"/>
        <v>436.11111111111109</v>
      </c>
      <c r="F240" t="str">
        <f t="shared" si="23"/>
        <v/>
      </c>
    </row>
    <row r="241" spans="1:6">
      <c r="A241">
        <f t="shared" si="20"/>
        <v>233</v>
      </c>
      <c r="B241" s="11">
        <f>'More accurate Energy (Solar)'!B248</f>
        <v>0</v>
      </c>
      <c r="C241" s="404">
        <f t="shared" si="21"/>
        <v>0</v>
      </c>
      <c r="D241" s="404">
        <f t="shared" si="22"/>
        <v>0</v>
      </c>
      <c r="E241" s="404">
        <f t="shared" si="24"/>
        <v>436.11111111111109</v>
      </c>
      <c r="F241" t="str">
        <f t="shared" si="23"/>
        <v/>
      </c>
    </row>
    <row r="242" spans="1:6">
      <c r="A242">
        <f t="shared" si="20"/>
        <v>234</v>
      </c>
      <c r="B242" s="11">
        <f>'More accurate Energy (Solar)'!B249</f>
        <v>0</v>
      </c>
      <c r="C242" s="404">
        <f t="shared" si="21"/>
        <v>0</v>
      </c>
      <c r="D242" s="404">
        <f t="shared" si="22"/>
        <v>0</v>
      </c>
      <c r="E242" s="404">
        <f t="shared" si="24"/>
        <v>436.11111111111109</v>
      </c>
      <c r="F242" t="str">
        <f t="shared" si="23"/>
        <v/>
      </c>
    </row>
    <row r="243" spans="1:6">
      <c r="A243">
        <f t="shared" si="20"/>
        <v>235</v>
      </c>
      <c r="B243" s="11">
        <f>'More accurate Energy (Solar)'!B250</f>
        <v>0</v>
      </c>
      <c r="C243" s="404">
        <f t="shared" si="21"/>
        <v>0</v>
      </c>
      <c r="D243" s="404">
        <f t="shared" si="22"/>
        <v>0</v>
      </c>
      <c r="E243" s="404">
        <f t="shared" si="24"/>
        <v>436.11111111111109</v>
      </c>
      <c r="F243" t="str">
        <f t="shared" si="23"/>
        <v/>
      </c>
    </row>
    <row r="244" spans="1:6">
      <c r="A244">
        <f t="shared" si="20"/>
        <v>236</v>
      </c>
      <c r="B244" s="11">
        <f>'More accurate Energy (Solar)'!B251</f>
        <v>0</v>
      </c>
      <c r="C244" s="404">
        <f t="shared" si="21"/>
        <v>0</v>
      </c>
      <c r="D244" s="404">
        <f t="shared" si="22"/>
        <v>0</v>
      </c>
      <c r="E244" s="404">
        <f t="shared" si="24"/>
        <v>436.11111111111109</v>
      </c>
      <c r="F244" t="str">
        <f t="shared" si="23"/>
        <v/>
      </c>
    </row>
    <row r="245" spans="1:6">
      <c r="A245">
        <f t="shared" si="20"/>
        <v>237</v>
      </c>
      <c r="B245" s="11">
        <f>'More accurate Energy (Solar)'!B252</f>
        <v>0</v>
      </c>
      <c r="C245" s="404">
        <f t="shared" si="21"/>
        <v>0</v>
      </c>
      <c r="D245" s="404">
        <f t="shared" si="22"/>
        <v>0</v>
      </c>
      <c r="E245" s="404">
        <f t="shared" si="24"/>
        <v>436.11111111111109</v>
      </c>
      <c r="F245" t="str">
        <f t="shared" si="23"/>
        <v/>
      </c>
    </row>
    <row r="246" spans="1:6">
      <c r="A246">
        <f t="shared" si="20"/>
        <v>238</v>
      </c>
      <c r="B246" s="11">
        <f>'More accurate Energy (Solar)'!B253</f>
        <v>0</v>
      </c>
      <c r="C246" s="404">
        <f t="shared" si="21"/>
        <v>0</v>
      </c>
      <c r="D246" s="404">
        <f t="shared" si="22"/>
        <v>0</v>
      </c>
      <c r="E246" s="404">
        <f t="shared" si="24"/>
        <v>436.11111111111109</v>
      </c>
      <c r="F246" t="str">
        <f t="shared" si="23"/>
        <v/>
      </c>
    </row>
    <row r="247" spans="1:6">
      <c r="A247">
        <f t="shared" si="20"/>
        <v>239</v>
      </c>
      <c r="B247" s="11">
        <f>'More accurate Energy (Solar)'!B254</f>
        <v>0.19444444444444442</v>
      </c>
      <c r="C247" s="404">
        <f t="shared" si="21"/>
        <v>194.44444444444443</v>
      </c>
      <c r="D247" s="404">
        <f t="shared" si="22"/>
        <v>38.888888888888886</v>
      </c>
      <c r="E247" s="404">
        <f t="shared" si="24"/>
        <v>475</v>
      </c>
      <c r="F247" t="str">
        <f t="shared" si="23"/>
        <v/>
      </c>
    </row>
    <row r="248" spans="1:6">
      <c r="A248">
        <f t="shared" si="20"/>
        <v>240</v>
      </c>
      <c r="B248" s="11">
        <f>'More accurate Energy (Solar)'!B255</f>
        <v>0.72222222222222221</v>
      </c>
      <c r="C248" s="404">
        <f t="shared" si="21"/>
        <v>722.22222222222217</v>
      </c>
      <c r="D248" s="404">
        <f t="shared" si="22"/>
        <v>144.44444444444443</v>
      </c>
      <c r="E248" s="404">
        <f t="shared" si="24"/>
        <v>619.44444444444446</v>
      </c>
      <c r="F248" t="str">
        <f t="shared" si="23"/>
        <v/>
      </c>
    </row>
    <row r="249" spans="1:6">
      <c r="A249">
        <f t="shared" si="20"/>
        <v>241</v>
      </c>
      <c r="B249" s="11">
        <f>'More accurate Energy (Solar)'!B256</f>
        <v>1.0416666666666667</v>
      </c>
      <c r="C249" s="404">
        <f t="shared" si="21"/>
        <v>1041.6666666666667</v>
      </c>
      <c r="D249" s="404">
        <f t="shared" si="22"/>
        <v>208.33333333333334</v>
      </c>
      <c r="E249" s="404">
        <f t="shared" si="24"/>
        <v>827.77777777777783</v>
      </c>
      <c r="F249" t="str">
        <f t="shared" si="23"/>
        <v/>
      </c>
    </row>
    <row r="250" spans="1:6">
      <c r="A250">
        <f t="shared" si="20"/>
        <v>242</v>
      </c>
      <c r="B250" s="11">
        <f>'More accurate Energy (Solar)'!B257</f>
        <v>1.0416666666666667</v>
      </c>
      <c r="C250" s="404">
        <f t="shared" si="21"/>
        <v>1041.6666666666667</v>
      </c>
      <c r="D250" s="404">
        <f t="shared" si="22"/>
        <v>208.33333333333334</v>
      </c>
      <c r="E250" s="404">
        <f t="shared" si="24"/>
        <v>1036.1111111111111</v>
      </c>
      <c r="F250" t="str">
        <f t="shared" si="23"/>
        <v/>
      </c>
    </row>
    <row r="251" spans="1:6">
      <c r="A251">
        <f t="shared" si="20"/>
        <v>243</v>
      </c>
      <c r="B251" s="11">
        <f>'More accurate Energy (Solar)'!B258</f>
        <v>0.41666666666666669</v>
      </c>
      <c r="C251" s="404">
        <f t="shared" si="21"/>
        <v>416.66666666666669</v>
      </c>
      <c r="D251" s="404">
        <f t="shared" si="22"/>
        <v>83.333333333333343</v>
      </c>
      <c r="E251" s="404">
        <f t="shared" si="24"/>
        <v>1119.4444444444443</v>
      </c>
      <c r="F251" t="str">
        <f t="shared" si="23"/>
        <v/>
      </c>
    </row>
    <row r="252" spans="1:6">
      <c r="A252">
        <f t="shared" si="20"/>
        <v>244</v>
      </c>
      <c r="B252" s="11">
        <f>'More accurate Energy (Solar)'!B259</f>
        <v>1.0416666666666667</v>
      </c>
      <c r="C252" s="404">
        <f t="shared" si="21"/>
        <v>1041.6666666666667</v>
      </c>
      <c r="D252" s="404">
        <f t="shared" si="22"/>
        <v>208.33333333333334</v>
      </c>
      <c r="E252" s="404">
        <f t="shared" si="24"/>
        <v>1327.7777777777776</v>
      </c>
      <c r="F252" t="str">
        <f t="shared" si="23"/>
        <v/>
      </c>
    </row>
    <row r="253" spans="1:6">
      <c r="A253">
        <f t="shared" si="20"/>
        <v>245</v>
      </c>
      <c r="B253" s="11">
        <f>'More accurate Energy (Solar)'!B260</f>
        <v>5.5555555555555552E-2</v>
      </c>
      <c r="C253" s="404">
        <f t="shared" si="21"/>
        <v>55.55555555555555</v>
      </c>
      <c r="D253" s="404">
        <f t="shared" si="22"/>
        <v>11.111111111111109</v>
      </c>
      <c r="E253" s="404">
        <f t="shared" si="24"/>
        <v>1338.8888888888887</v>
      </c>
      <c r="F253" t="str">
        <f t="shared" si="23"/>
        <v/>
      </c>
    </row>
    <row r="254" spans="1:6">
      <c r="A254">
        <f t="shared" si="20"/>
        <v>246</v>
      </c>
      <c r="B254" s="11">
        <f>'More accurate Energy (Solar)'!B261</f>
        <v>0.16666666666666666</v>
      </c>
      <c r="C254" s="404">
        <f t="shared" si="21"/>
        <v>166.66666666666666</v>
      </c>
      <c r="D254" s="404">
        <f t="shared" si="22"/>
        <v>33.333333333333329</v>
      </c>
      <c r="E254" s="404">
        <f t="shared" si="24"/>
        <v>1372.2222222222219</v>
      </c>
      <c r="F254" t="str">
        <f t="shared" si="23"/>
        <v/>
      </c>
    </row>
    <row r="255" spans="1:6">
      <c r="A255">
        <f t="shared" si="20"/>
        <v>247</v>
      </c>
      <c r="B255" s="11">
        <f>'More accurate Energy (Solar)'!B262</f>
        <v>0</v>
      </c>
      <c r="C255" s="404">
        <f t="shared" si="21"/>
        <v>0</v>
      </c>
      <c r="D255" s="404">
        <f t="shared" si="22"/>
        <v>0</v>
      </c>
      <c r="E255" s="404">
        <f t="shared" si="24"/>
        <v>1372.2222222222219</v>
      </c>
      <c r="F255" t="str">
        <f t="shared" si="23"/>
        <v/>
      </c>
    </row>
    <row r="256" spans="1:6">
      <c r="A256">
        <f t="shared" si="20"/>
        <v>248</v>
      </c>
      <c r="B256" s="11">
        <f>'More accurate Energy (Solar)'!B263</f>
        <v>0.1111111111111111</v>
      </c>
      <c r="C256" s="404">
        <f t="shared" si="21"/>
        <v>111.1111111111111</v>
      </c>
      <c r="D256" s="404">
        <f t="shared" si="22"/>
        <v>22.222222222222218</v>
      </c>
      <c r="E256" s="404">
        <f t="shared" si="24"/>
        <v>1394.4444444444441</v>
      </c>
      <c r="F256" t="str">
        <f t="shared" si="23"/>
        <v/>
      </c>
    </row>
    <row r="257" spans="1:6">
      <c r="A257">
        <f t="shared" si="20"/>
        <v>249</v>
      </c>
      <c r="B257" s="11">
        <f>'More accurate Energy (Solar)'!B264</f>
        <v>0</v>
      </c>
      <c r="C257" s="404">
        <f t="shared" si="21"/>
        <v>0</v>
      </c>
      <c r="D257" s="404">
        <f t="shared" si="22"/>
        <v>0</v>
      </c>
      <c r="E257" s="404">
        <f t="shared" si="24"/>
        <v>1394.4444444444441</v>
      </c>
      <c r="F257" t="str">
        <f t="shared" si="23"/>
        <v/>
      </c>
    </row>
    <row r="258" spans="1:6">
      <c r="A258">
        <f t="shared" si="20"/>
        <v>250</v>
      </c>
      <c r="B258" s="11">
        <f>'More accurate Energy (Solar)'!B265</f>
        <v>1.0416666666666667</v>
      </c>
      <c r="C258" s="404">
        <f t="shared" si="21"/>
        <v>1041.6666666666667</v>
      </c>
      <c r="D258" s="404">
        <f t="shared" si="22"/>
        <v>208.33333333333334</v>
      </c>
      <c r="E258" s="404">
        <f t="shared" si="24"/>
        <v>1602.7777777777774</v>
      </c>
      <c r="F258" t="str">
        <f t="shared" si="23"/>
        <v/>
      </c>
    </row>
    <row r="259" spans="1:6">
      <c r="A259">
        <f t="shared" si="20"/>
        <v>251</v>
      </c>
      <c r="B259" s="11">
        <f>'More accurate Energy (Solar)'!B266</f>
        <v>0.90277777777777779</v>
      </c>
      <c r="C259" s="404">
        <f t="shared" si="21"/>
        <v>902.77777777777783</v>
      </c>
      <c r="D259" s="404">
        <f t="shared" si="22"/>
        <v>180.55555555555557</v>
      </c>
      <c r="E259" s="404">
        <f t="shared" si="24"/>
        <v>1783.333333333333</v>
      </c>
      <c r="F259" t="str">
        <f t="shared" si="23"/>
        <v/>
      </c>
    </row>
    <row r="260" spans="1:6">
      <c r="A260">
        <f t="shared" si="20"/>
        <v>252</v>
      </c>
      <c r="B260" s="11">
        <f>'More accurate Energy (Solar)'!B267</f>
        <v>9.722222222222221E-2</v>
      </c>
      <c r="C260" s="404">
        <f t="shared" si="21"/>
        <v>97.222222222222214</v>
      </c>
      <c r="D260" s="404">
        <f t="shared" si="22"/>
        <v>19.444444444444443</v>
      </c>
      <c r="E260" s="404">
        <f t="shared" si="24"/>
        <v>1802.7777777777774</v>
      </c>
      <c r="F260" t="str">
        <f t="shared" si="23"/>
        <v/>
      </c>
    </row>
    <row r="261" spans="1:6">
      <c r="A261">
        <f t="shared" si="20"/>
        <v>253</v>
      </c>
      <c r="B261" s="11">
        <f>'More accurate Energy (Solar)'!B268</f>
        <v>0</v>
      </c>
      <c r="C261" s="404">
        <f t="shared" si="21"/>
        <v>0</v>
      </c>
      <c r="D261" s="404">
        <f t="shared" si="22"/>
        <v>0</v>
      </c>
      <c r="E261" s="404">
        <f t="shared" si="24"/>
        <v>1802.7777777777774</v>
      </c>
      <c r="F261" t="str">
        <f t="shared" si="23"/>
        <v/>
      </c>
    </row>
    <row r="262" spans="1:6">
      <c r="A262">
        <f t="shared" si="20"/>
        <v>254</v>
      </c>
      <c r="B262" s="11">
        <f>'More accurate Energy (Solar)'!B269</f>
        <v>0</v>
      </c>
      <c r="C262" s="404">
        <f t="shared" si="21"/>
        <v>0</v>
      </c>
      <c r="D262" s="404">
        <f t="shared" si="22"/>
        <v>0</v>
      </c>
      <c r="E262" s="404">
        <f t="shared" si="24"/>
        <v>1802.7777777777774</v>
      </c>
      <c r="F262" t="str">
        <f t="shared" si="23"/>
        <v/>
      </c>
    </row>
    <row r="263" spans="1:6">
      <c r="A263">
        <f t="shared" si="20"/>
        <v>255</v>
      </c>
      <c r="B263" s="11">
        <f>'More accurate Energy (Solar)'!B270</f>
        <v>0</v>
      </c>
      <c r="C263" s="404">
        <f t="shared" si="21"/>
        <v>0</v>
      </c>
      <c r="D263" s="404">
        <f t="shared" si="22"/>
        <v>0</v>
      </c>
      <c r="E263" s="404">
        <f t="shared" si="24"/>
        <v>1802.7777777777774</v>
      </c>
      <c r="F263" t="str">
        <f t="shared" si="23"/>
        <v/>
      </c>
    </row>
    <row r="264" spans="1:6">
      <c r="A264">
        <f t="shared" si="20"/>
        <v>256</v>
      </c>
      <c r="B264" s="11">
        <f>'More accurate Energy (Solar)'!B271</f>
        <v>0</v>
      </c>
      <c r="C264" s="404">
        <f t="shared" si="21"/>
        <v>0</v>
      </c>
      <c r="D264" s="404">
        <f t="shared" si="22"/>
        <v>0</v>
      </c>
      <c r="E264" s="404">
        <f t="shared" si="24"/>
        <v>1802.7777777777774</v>
      </c>
      <c r="F264" t="str">
        <f t="shared" si="23"/>
        <v/>
      </c>
    </row>
    <row r="265" spans="1:6">
      <c r="A265">
        <f t="shared" si="20"/>
        <v>257</v>
      </c>
      <c r="B265" s="11">
        <f>'More accurate Energy (Solar)'!B272</f>
        <v>0</v>
      </c>
      <c r="C265" s="404">
        <f t="shared" si="21"/>
        <v>0</v>
      </c>
      <c r="D265" s="404">
        <f t="shared" si="22"/>
        <v>0</v>
      </c>
      <c r="E265" s="404">
        <f t="shared" si="24"/>
        <v>1802.7777777777774</v>
      </c>
      <c r="F265" t="str">
        <f t="shared" si="23"/>
        <v/>
      </c>
    </row>
    <row r="266" spans="1:6">
      <c r="A266">
        <f t="shared" ref="A266:A329" si="25">A265+1</f>
        <v>258</v>
      </c>
      <c r="B266" s="11">
        <f>'More accurate Energy (Solar)'!B273</f>
        <v>0.1388888888888889</v>
      </c>
      <c r="C266" s="404">
        <f t="shared" ref="C266:C329" si="26">B266 * 1000</f>
        <v>138.88888888888889</v>
      </c>
      <c r="D266" s="404">
        <f t="shared" ref="D266:D329" si="27">C266*$B$3*$B$1/$B$2/1000</f>
        <v>27.777777777777775</v>
      </c>
      <c r="E266" s="404">
        <f t="shared" si="24"/>
        <v>1830.5555555555552</v>
      </c>
      <c r="F266" t="str">
        <f t="shared" si="23"/>
        <v/>
      </c>
    </row>
    <row r="267" spans="1:6">
      <c r="A267">
        <f t="shared" si="25"/>
        <v>259</v>
      </c>
      <c r="B267" s="11">
        <f>'More accurate Energy (Solar)'!B274</f>
        <v>0.27777777777777779</v>
      </c>
      <c r="C267" s="404">
        <f t="shared" si="26"/>
        <v>277.77777777777777</v>
      </c>
      <c r="D267" s="404">
        <f t="shared" si="27"/>
        <v>55.55555555555555</v>
      </c>
      <c r="E267" s="404">
        <f t="shared" si="24"/>
        <v>1886.1111111111109</v>
      </c>
      <c r="F267" t="str">
        <f t="shared" ref="F267:F330" si="28">IF(E267 = D267, 1, "")</f>
        <v/>
      </c>
    </row>
    <row r="268" spans="1:6">
      <c r="A268">
        <f t="shared" si="25"/>
        <v>260</v>
      </c>
      <c r="B268" s="11">
        <f>'More accurate Energy (Solar)'!B275</f>
        <v>0.19444444444444442</v>
      </c>
      <c r="C268" s="404">
        <f t="shared" si="26"/>
        <v>194.44444444444443</v>
      </c>
      <c r="D268" s="404">
        <f t="shared" si="27"/>
        <v>38.888888888888886</v>
      </c>
      <c r="E268" s="404">
        <f t="shared" si="24"/>
        <v>1924.9999999999998</v>
      </c>
      <c r="F268" t="str">
        <f t="shared" si="28"/>
        <v/>
      </c>
    </row>
    <row r="269" spans="1:6">
      <c r="A269">
        <f t="shared" si="25"/>
        <v>261</v>
      </c>
      <c r="B269" s="11">
        <f>'More accurate Energy (Solar)'!B276</f>
        <v>1.0416666666666667</v>
      </c>
      <c r="C269" s="404">
        <f t="shared" si="26"/>
        <v>1041.6666666666667</v>
      </c>
      <c r="D269" s="404">
        <f t="shared" si="27"/>
        <v>208.33333333333334</v>
      </c>
      <c r="E269" s="404">
        <f t="shared" si="24"/>
        <v>2133.333333333333</v>
      </c>
      <c r="F269" t="str">
        <f t="shared" si="28"/>
        <v/>
      </c>
    </row>
    <row r="270" spans="1:6">
      <c r="A270">
        <f t="shared" si="25"/>
        <v>262</v>
      </c>
      <c r="B270" s="11">
        <f>'More accurate Energy (Solar)'!B277</f>
        <v>1.0416666666666667</v>
      </c>
      <c r="C270" s="404">
        <f t="shared" si="26"/>
        <v>1041.6666666666667</v>
      </c>
      <c r="D270" s="404">
        <f t="shared" si="27"/>
        <v>208.33333333333334</v>
      </c>
      <c r="E270" s="404">
        <f t="shared" si="24"/>
        <v>2341.6666666666665</v>
      </c>
      <c r="F270" t="str">
        <f t="shared" si="28"/>
        <v/>
      </c>
    </row>
    <row r="271" spans="1:6">
      <c r="A271">
        <f t="shared" si="25"/>
        <v>263</v>
      </c>
      <c r="B271" s="11">
        <f>'More accurate Energy (Solar)'!B278</f>
        <v>9.722222222222221E-2</v>
      </c>
      <c r="C271" s="404">
        <f t="shared" si="26"/>
        <v>97.222222222222214</v>
      </c>
      <c r="D271" s="404">
        <f t="shared" si="27"/>
        <v>19.444444444444443</v>
      </c>
      <c r="E271" s="404">
        <f t="shared" si="24"/>
        <v>2361.1111111111109</v>
      </c>
      <c r="F271" t="str">
        <f t="shared" si="28"/>
        <v/>
      </c>
    </row>
    <row r="272" spans="1:6">
      <c r="A272">
        <f t="shared" si="25"/>
        <v>264</v>
      </c>
      <c r="B272" s="11">
        <f>'More accurate Energy (Solar)'!B279</f>
        <v>0.29166666666666674</v>
      </c>
      <c r="C272" s="404">
        <f t="shared" si="26"/>
        <v>291.66666666666674</v>
      </c>
      <c r="D272" s="404">
        <f t="shared" si="27"/>
        <v>58.33333333333335</v>
      </c>
      <c r="E272" s="404">
        <f t="shared" si="24"/>
        <v>2419.4444444444443</v>
      </c>
      <c r="F272" t="str">
        <f t="shared" si="28"/>
        <v/>
      </c>
    </row>
    <row r="273" spans="1:6">
      <c r="A273">
        <f t="shared" si="25"/>
        <v>265</v>
      </c>
      <c r="B273" s="11">
        <f>'More accurate Energy (Solar)'!B280</f>
        <v>1.0416666666666667</v>
      </c>
      <c r="C273" s="404">
        <f t="shared" si="26"/>
        <v>1041.6666666666667</v>
      </c>
      <c r="D273" s="404">
        <f t="shared" si="27"/>
        <v>208.33333333333334</v>
      </c>
      <c r="E273" s="404">
        <f t="shared" si="24"/>
        <v>2627.7777777777778</v>
      </c>
      <c r="F273" t="str">
        <f t="shared" si="28"/>
        <v/>
      </c>
    </row>
    <row r="274" spans="1:6">
      <c r="A274">
        <f t="shared" si="25"/>
        <v>266</v>
      </c>
      <c r="B274" s="11">
        <f>'More accurate Energy (Solar)'!B281</f>
        <v>1.0416666666666667</v>
      </c>
      <c r="C274" s="404">
        <f t="shared" si="26"/>
        <v>1041.6666666666667</v>
      </c>
      <c r="D274" s="404">
        <f t="shared" si="27"/>
        <v>208.33333333333334</v>
      </c>
      <c r="E274" s="404">
        <f t="shared" si="24"/>
        <v>2836.1111111111113</v>
      </c>
      <c r="F274" t="str">
        <f t="shared" si="28"/>
        <v/>
      </c>
    </row>
    <row r="275" spans="1:6">
      <c r="A275">
        <f t="shared" si="25"/>
        <v>267</v>
      </c>
      <c r="B275" s="11">
        <f>'More accurate Energy (Solar)'!B282</f>
        <v>0.81944444444444453</v>
      </c>
      <c r="C275" s="404">
        <f t="shared" si="26"/>
        <v>819.44444444444457</v>
      </c>
      <c r="D275" s="404">
        <f t="shared" si="27"/>
        <v>163.88888888888891</v>
      </c>
      <c r="E275" s="404">
        <f t="shared" si="24"/>
        <v>3000</v>
      </c>
      <c r="F275" t="str">
        <f t="shared" si="28"/>
        <v/>
      </c>
    </row>
    <row r="276" spans="1:6">
      <c r="A276">
        <f t="shared" si="25"/>
        <v>268</v>
      </c>
      <c r="B276" s="11">
        <f>'More accurate Energy (Solar)'!B283</f>
        <v>0.1111111111111111</v>
      </c>
      <c r="C276" s="404">
        <f t="shared" si="26"/>
        <v>111.1111111111111</v>
      </c>
      <c r="D276" s="404">
        <f t="shared" si="27"/>
        <v>22.222222222222218</v>
      </c>
      <c r="E276" s="404">
        <f t="shared" si="24"/>
        <v>22.222222222222218</v>
      </c>
      <c r="F276">
        <f t="shared" si="28"/>
        <v>1</v>
      </c>
    </row>
    <row r="277" spans="1:6">
      <c r="A277">
        <f t="shared" si="25"/>
        <v>269</v>
      </c>
      <c r="B277" s="11">
        <f>'More accurate Energy (Solar)'!B284</f>
        <v>0</v>
      </c>
      <c r="C277" s="404">
        <f t="shared" si="26"/>
        <v>0</v>
      </c>
      <c r="D277" s="404">
        <f t="shared" si="27"/>
        <v>0</v>
      </c>
      <c r="E277" s="404">
        <f t="shared" si="24"/>
        <v>22.222222222222218</v>
      </c>
      <c r="F277" t="str">
        <f t="shared" si="28"/>
        <v/>
      </c>
    </row>
    <row r="278" spans="1:6">
      <c r="A278">
        <f t="shared" si="25"/>
        <v>270</v>
      </c>
      <c r="B278" s="11">
        <f>'More accurate Energy (Solar)'!B285</f>
        <v>0</v>
      </c>
      <c r="C278" s="404">
        <f t="shared" si="26"/>
        <v>0</v>
      </c>
      <c r="D278" s="404">
        <f t="shared" si="27"/>
        <v>0</v>
      </c>
      <c r="E278" s="404">
        <f t="shared" si="24"/>
        <v>22.222222222222218</v>
      </c>
      <c r="F278" t="str">
        <f t="shared" si="28"/>
        <v/>
      </c>
    </row>
    <row r="279" spans="1:6">
      <c r="A279">
        <f t="shared" si="25"/>
        <v>271</v>
      </c>
      <c r="B279" s="11">
        <f>'More accurate Energy (Solar)'!B286</f>
        <v>0</v>
      </c>
      <c r="C279" s="404">
        <f t="shared" si="26"/>
        <v>0</v>
      </c>
      <c r="D279" s="404">
        <f t="shared" si="27"/>
        <v>0</v>
      </c>
      <c r="E279" s="404">
        <f t="shared" si="24"/>
        <v>22.222222222222218</v>
      </c>
      <c r="F279" t="str">
        <f t="shared" si="28"/>
        <v/>
      </c>
    </row>
    <row r="280" spans="1:6">
      <c r="A280">
        <f t="shared" si="25"/>
        <v>272</v>
      </c>
      <c r="B280" s="11">
        <f>'More accurate Energy (Solar)'!B287</f>
        <v>0</v>
      </c>
      <c r="C280" s="404">
        <f t="shared" si="26"/>
        <v>0</v>
      </c>
      <c r="D280" s="404">
        <f t="shared" si="27"/>
        <v>0</v>
      </c>
      <c r="E280" s="404">
        <f t="shared" si="24"/>
        <v>22.222222222222218</v>
      </c>
      <c r="F280" t="str">
        <f t="shared" si="28"/>
        <v/>
      </c>
    </row>
    <row r="281" spans="1:6">
      <c r="A281">
        <f t="shared" si="25"/>
        <v>273</v>
      </c>
      <c r="B281" s="11">
        <f>'More accurate Energy (Solar)'!B288</f>
        <v>0</v>
      </c>
      <c r="C281" s="404">
        <f t="shared" si="26"/>
        <v>0</v>
      </c>
      <c r="D281" s="404">
        <f t="shared" si="27"/>
        <v>0</v>
      </c>
      <c r="E281" s="404">
        <f t="shared" si="24"/>
        <v>22.222222222222218</v>
      </c>
      <c r="F281" t="str">
        <f t="shared" si="28"/>
        <v/>
      </c>
    </row>
    <row r="282" spans="1:6">
      <c r="A282">
        <f t="shared" si="25"/>
        <v>274</v>
      </c>
      <c r="B282" s="11">
        <f>'More accurate Energy (Solar)'!B289</f>
        <v>0</v>
      </c>
      <c r="C282" s="404">
        <f t="shared" si="26"/>
        <v>0</v>
      </c>
      <c r="D282" s="404">
        <f t="shared" si="27"/>
        <v>0</v>
      </c>
      <c r="E282" s="404">
        <f t="shared" si="24"/>
        <v>22.222222222222218</v>
      </c>
      <c r="F282" t="str">
        <f t="shared" si="28"/>
        <v/>
      </c>
    </row>
    <row r="283" spans="1:6">
      <c r="A283">
        <f t="shared" si="25"/>
        <v>275</v>
      </c>
      <c r="B283" s="11">
        <f>'More accurate Energy (Solar)'!B290</f>
        <v>0</v>
      </c>
      <c r="C283" s="404">
        <f t="shared" si="26"/>
        <v>0</v>
      </c>
      <c r="D283" s="404">
        <f t="shared" si="27"/>
        <v>0</v>
      </c>
      <c r="E283" s="404">
        <f t="shared" si="24"/>
        <v>22.222222222222218</v>
      </c>
      <c r="F283" t="str">
        <f t="shared" si="28"/>
        <v/>
      </c>
    </row>
    <row r="284" spans="1:6">
      <c r="A284">
        <f t="shared" si="25"/>
        <v>276</v>
      </c>
      <c r="B284" s="11">
        <f>'More accurate Energy (Solar)'!B291</f>
        <v>0</v>
      </c>
      <c r="C284" s="404">
        <f t="shared" si="26"/>
        <v>0</v>
      </c>
      <c r="D284" s="404">
        <f t="shared" si="27"/>
        <v>0</v>
      </c>
      <c r="E284" s="404">
        <f t="shared" si="24"/>
        <v>22.222222222222218</v>
      </c>
      <c r="F284" t="str">
        <f t="shared" si="28"/>
        <v/>
      </c>
    </row>
    <row r="285" spans="1:6">
      <c r="A285">
        <f t="shared" si="25"/>
        <v>277</v>
      </c>
      <c r="B285" s="11">
        <f>'More accurate Energy (Solar)'!B292</f>
        <v>0</v>
      </c>
      <c r="C285" s="404">
        <f t="shared" si="26"/>
        <v>0</v>
      </c>
      <c r="D285" s="404">
        <f t="shared" si="27"/>
        <v>0</v>
      </c>
      <c r="E285" s="404">
        <f t="shared" si="24"/>
        <v>22.222222222222218</v>
      </c>
      <c r="F285" t="str">
        <f t="shared" si="28"/>
        <v/>
      </c>
    </row>
    <row r="286" spans="1:6">
      <c r="A286">
        <f t="shared" si="25"/>
        <v>278</v>
      </c>
      <c r="B286" s="11">
        <f>'More accurate Energy (Solar)'!B293</f>
        <v>0</v>
      </c>
      <c r="C286" s="404">
        <f t="shared" si="26"/>
        <v>0</v>
      </c>
      <c r="D286" s="404">
        <f t="shared" si="27"/>
        <v>0</v>
      </c>
      <c r="E286" s="404">
        <f t="shared" si="24"/>
        <v>22.222222222222218</v>
      </c>
      <c r="F286" t="str">
        <f t="shared" si="28"/>
        <v/>
      </c>
    </row>
    <row r="287" spans="1:6">
      <c r="A287">
        <f t="shared" si="25"/>
        <v>279</v>
      </c>
      <c r="B287" s="11">
        <f>'More accurate Energy (Solar)'!B294</f>
        <v>0.27777777777777779</v>
      </c>
      <c r="C287" s="404">
        <f t="shared" si="26"/>
        <v>277.77777777777777</v>
      </c>
      <c r="D287" s="404">
        <f t="shared" si="27"/>
        <v>55.55555555555555</v>
      </c>
      <c r="E287" s="404">
        <f t="shared" si="24"/>
        <v>77.777777777777771</v>
      </c>
      <c r="F287" t="str">
        <f t="shared" si="28"/>
        <v/>
      </c>
    </row>
    <row r="288" spans="1:6">
      <c r="A288">
        <f t="shared" si="25"/>
        <v>280</v>
      </c>
      <c r="B288" s="11">
        <f>'More accurate Energy (Solar)'!B295</f>
        <v>1.0416666666666667</v>
      </c>
      <c r="C288" s="404">
        <f t="shared" si="26"/>
        <v>1041.6666666666667</v>
      </c>
      <c r="D288" s="404">
        <f t="shared" si="27"/>
        <v>208.33333333333334</v>
      </c>
      <c r="E288" s="404">
        <f t="shared" si="24"/>
        <v>286.11111111111109</v>
      </c>
      <c r="F288" t="str">
        <f t="shared" si="28"/>
        <v/>
      </c>
    </row>
    <row r="289" spans="1:6">
      <c r="A289">
        <f t="shared" si="25"/>
        <v>281</v>
      </c>
      <c r="B289" s="11">
        <f>'More accurate Energy (Solar)'!B296</f>
        <v>0.63888888888888884</v>
      </c>
      <c r="C289" s="404">
        <f t="shared" si="26"/>
        <v>638.8888888888888</v>
      </c>
      <c r="D289" s="404">
        <f t="shared" si="27"/>
        <v>127.77777777777779</v>
      </c>
      <c r="E289" s="404">
        <f t="shared" ref="E289:E352" si="29">IF(E288+D289 &gt; $B$4 * 1000,D289,E288 + D289)</f>
        <v>413.88888888888886</v>
      </c>
      <c r="F289" t="str">
        <f t="shared" si="28"/>
        <v/>
      </c>
    </row>
    <row r="290" spans="1:6">
      <c r="A290">
        <f t="shared" si="25"/>
        <v>282</v>
      </c>
      <c r="B290" s="11">
        <f>'More accurate Energy (Solar)'!B297</f>
        <v>1.0416666666666667</v>
      </c>
      <c r="C290" s="404">
        <f t="shared" si="26"/>
        <v>1041.6666666666667</v>
      </c>
      <c r="D290" s="404">
        <f t="shared" si="27"/>
        <v>208.33333333333334</v>
      </c>
      <c r="E290" s="404">
        <f t="shared" si="29"/>
        <v>622.22222222222217</v>
      </c>
      <c r="F290" t="str">
        <f t="shared" si="28"/>
        <v/>
      </c>
    </row>
    <row r="291" spans="1:6">
      <c r="A291">
        <f t="shared" si="25"/>
        <v>283</v>
      </c>
      <c r="B291" s="11">
        <f>'More accurate Energy (Solar)'!B298</f>
        <v>1.0416666666666667</v>
      </c>
      <c r="C291" s="404">
        <f t="shared" si="26"/>
        <v>1041.6666666666667</v>
      </c>
      <c r="D291" s="404">
        <f t="shared" si="27"/>
        <v>208.33333333333334</v>
      </c>
      <c r="E291" s="404">
        <f t="shared" si="29"/>
        <v>830.55555555555554</v>
      </c>
      <c r="F291" t="str">
        <f t="shared" si="28"/>
        <v/>
      </c>
    </row>
    <row r="292" spans="1:6">
      <c r="A292">
        <f t="shared" si="25"/>
        <v>284</v>
      </c>
      <c r="B292" s="11">
        <f>'More accurate Energy (Solar)'!B299</f>
        <v>1.0416666666666667</v>
      </c>
      <c r="C292" s="404">
        <f t="shared" si="26"/>
        <v>1041.6666666666667</v>
      </c>
      <c r="D292" s="404">
        <f t="shared" si="27"/>
        <v>208.33333333333334</v>
      </c>
      <c r="E292" s="404">
        <f t="shared" si="29"/>
        <v>1038.8888888888889</v>
      </c>
      <c r="F292" t="str">
        <f t="shared" si="28"/>
        <v/>
      </c>
    </row>
    <row r="293" spans="1:6">
      <c r="A293">
        <f t="shared" si="25"/>
        <v>285</v>
      </c>
      <c r="B293" s="11">
        <f>'More accurate Energy (Solar)'!B300</f>
        <v>5.5555555555555552E-2</v>
      </c>
      <c r="C293" s="404">
        <f t="shared" si="26"/>
        <v>55.55555555555555</v>
      </c>
      <c r="D293" s="404">
        <f t="shared" si="27"/>
        <v>11.111111111111109</v>
      </c>
      <c r="E293" s="404">
        <f t="shared" si="29"/>
        <v>1050</v>
      </c>
      <c r="F293" t="str">
        <f t="shared" si="28"/>
        <v/>
      </c>
    </row>
    <row r="294" spans="1:6">
      <c r="A294">
        <f t="shared" si="25"/>
        <v>286</v>
      </c>
      <c r="B294" s="11">
        <f>'More accurate Energy (Solar)'!B301</f>
        <v>4.1666666666666664E-2</v>
      </c>
      <c r="C294" s="404">
        <f t="shared" si="26"/>
        <v>41.666666666666664</v>
      </c>
      <c r="D294" s="404">
        <f t="shared" si="27"/>
        <v>8.3333333333333321</v>
      </c>
      <c r="E294" s="404">
        <f t="shared" si="29"/>
        <v>1058.3333333333333</v>
      </c>
      <c r="F294" t="str">
        <f t="shared" si="28"/>
        <v/>
      </c>
    </row>
    <row r="295" spans="1:6">
      <c r="A295">
        <f t="shared" si="25"/>
        <v>287</v>
      </c>
      <c r="B295" s="11">
        <f>'More accurate Energy (Solar)'!B302</f>
        <v>0</v>
      </c>
      <c r="C295" s="404">
        <f t="shared" si="26"/>
        <v>0</v>
      </c>
      <c r="D295" s="404">
        <f t="shared" si="27"/>
        <v>0</v>
      </c>
      <c r="E295" s="404">
        <f t="shared" si="29"/>
        <v>1058.3333333333333</v>
      </c>
      <c r="F295" t="str">
        <f t="shared" si="28"/>
        <v/>
      </c>
    </row>
    <row r="296" spans="1:6">
      <c r="A296">
        <f t="shared" si="25"/>
        <v>288</v>
      </c>
      <c r="B296" s="11">
        <f>'More accurate Energy (Solar)'!B303</f>
        <v>0</v>
      </c>
      <c r="C296" s="404">
        <f t="shared" si="26"/>
        <v>0</v>
      </c>
      <c r="D296" s="404">
        <f t="shared" si="27"/>
        <v>0</v>
      </c>
      <c r="E296" s="404">
        <f t="shared" si="29"/>
        <v>1058.3333333333333</v>
      </c>
      <c r="F296" t="str">
        <f t="shared" si="28"/>
        <v/>
      </c>
    </row>
    <row r="297" spans="1:6">
      <c r="A297">
        <f t="shared" si="25"/>
        <v>289</v>
      </c>
      <c r="B297" s="11">
        <f>'More accurate Energy (Solar)'!B304</f>
        <v>0.98611111111111116</v>
      </c>
      <c r="C297" s="404">
        <f t="shared" si="26"/>
        <v>986.1111111111112</v>
      </c>
      <c r="D297" s="404">
        <f t="shared" si="27"/>
        <v>197.22222222222226</v>
      </c>
      <c r="E297" s="404">
        <f t="shared" si="29"/>
        <v>1255.5555555555554</v>
      </c>
      <c r="F297" t="str">
        <f t="shared" si="28"/>
        <v/>
      </c>
    </row>
    <row r="298" spans="1:6">
      <c r="A298">
        <f t="shared" si="25"/>
        <v>290</v>
      </c>
      <c r="B298" s="11">
        <f>'More accurate Energy (Solar)'!B305</f>
        <v>0.44444444444444442</v>
      </c>
      <c r="C298" s="404">
        <f t="shared" si="26"/>
        <v>444.4444444444444</v>
      </c>
      <c r="D298" s="404">
        <f t="shared" si="27"/>
        <v>88.888888888888872</v>
      </c>
      <c r="E298" s="404">
        <f t="shared" si="29"/>
        <v>1344.4444444444443</v>
      </c>
      <c r="F298" t="str">
        <f t="shared" si="28"/>
        <v/>
      </c>
    </row>
    <row r="299" spans="1:6">
      <c r="A299">
        <f t="shared" si="25"/>
        <v>291</v>
      </c>
      <c r="B299" s="11">
        <f>'More accurate Energy (Solar)'!B306</f>
        <v>1.0416666666666667</v>
      </c>
      <c r="C299" s="404">
        <f t="shared" si="26"/>
        <v>1041.6666666666667</v>
      </c>
      <c r="D299" s="404">
        <f t="shared" si="27"/>
        <v>208.33333333333334</v>
      </c>
      <c r="E299" s="404">
        <f t="shared" si="29"/>
        <v>1552.7777777777776</v>
      </c>
      <c r="F299" t="str">
        <f t="shared" si="28"/>
        <v/>
      </c>
    </row>
    <row r="300" spans="1:6">
      <c r="A300">
        <f t="shared" si="25"/>
        <v>292</v>
      </c>
      <c r="B300" s="11">
        <f>'More accurate Energy (Solar)'!B307</f>
        <v>4.1666666666666664E-2</v>
      </c>
      <c r="C300" s="404">
        <f t="shared" si="26"/>
        <v>41.666666666666664</v>
      </c>
      <c r="D300" s="404">
        <f t="shared" si="27"/>
        <v>8.3333333333333321</v>
      </c>
      <c r="E300" s="404">
        <f t="shared" si="29"/>
        <v>1561.1111111111109</v>
      </c>
      <c r="F300" t="str">
        <f t="shared" si="28"/>
        <v/>
      </c>
    </row>
    <row r="301" spans="1:6">
      <c r="A301">
        <f t="shared" si="25"/>
        <v>293</v>
      </c>
      <c r="B301" s="11">
        <f>'More accurate Energy (Solar)'!B308</f>
        <v>0.70833333333333326</v>
      </c>
      <c r="C301" s="404">
        <f t="shared" si="26"/>
        <v>708.33333333333326</v>
      </c>
      <c r="D301" s="404">
        <f t="shared" si="27"/>
        <v>141.66666666666666</v>
      </c>
      <c r="E301" s="404">
        <f t="shared" si="29"/>
        <v>1702.7777777777776</v>
      </c>
      <c r="F301" t="str">
        <f t="shared" si="28"/>
        <v/>
      </c>
    </row>
    <row r="302" spans="1:6">
      <c r="A302">
        <f t="shared" si="25"/>
        <v>294</v>
      </c>
      <c r="B302" s="11">
        <f>'More accurate Energy (Solar)'!B309</f>
        <v>0.27777777777777779</v>
      </c>
      <c r="C302" s="404">
        <f t="shared" si="26"/>
        <v>277.77777777777777</v>
      </c>
      <c r="D302" s="404">
        <f t="shared" si="27"/>
        <v>55.55555555555555</v>
      </c>
      <c r="E302" s="404">
        <f t="shared" si="29"/>
        <v>1758.3333333333333</v>
      </c>
      <c r="F302" t="str">
        <f t="shared" si="28"/>
        <v/>
      </c>
    </row>
    <row r="303" spans="1:6">
      <c r="A303">
        <f t="shared" si="25"/>
        <v>295</v>
      </c>
      <c r="B303" s="11">
        <f>'More accurate Energy (Solar)'!B310</f>
        <v>0.68055555555555569</v>
      </c>
      <c r="C303" s="404">
        <f t="shared" si="26"/>
        <v>680.55555555555566</v>
      </c>
      <c r="D303" s="404">
        <f t="shared" si="27"/>
        <v>136.11111111111111</v>
      </c>
      <c r="E303" s="404">
        <f t="shared" si="29"/>
        <v>1894.4444444444443</v>
      </c>
      <c r="F303" t="str">
        <f t="shared" si="28"/>
        <v/>
      </c>
    </row>
    <row r="304" spans="1:6">
      <c r="A304">
        <f t="shared" si="25"/>
        <v>296</v>
      </c>
      <c r="B304" s="11">
        <f>'More accurate Energy (Solar)'!B311</f>
        <v>0</v>
      </c>
      <c r="C304" s="404">
        <f t="shared" si="26"/>
        <v>0</v>
      </c>
      <c r="D304" s="404">
        <f t="shared" si="27"/>
        <v>0</v>
      </c>
      <c r="E304" s="404">
        <f t="shared" si="29"/>
        <v>1894.4444444444443</v>
      </c>
      <c r="F304" t="str">
        <f t="shared" si="28"/>
        <v/>
      </c>
    </row>
    <row r="305" spans="1:6">
      <c r="A305">
        <f t="shared" si="25"/>
        <v>297</v>
      </c>
      <c r="B305" s="11">
        <f>'More accurate Energy (Solar)'!B312</f>
        <v>0.40277777777777773</v>
      </c>
      <c r="C305" s="404">
        <f t="shared" si="26"/>
        <v>402.77777777777771</v>
      </c>
      <c r="D305" s="404">
        <f t="shared" si="27"/>
        <v>80.555555555555543</v>
      </c>
      <c r="E305" s="404">
        <f t="shared" si="29"/>
        <v>1975</v>
      </c>
      <c r="F305" t="str">
        <f t="shared" si="28"/>
        <v/>
      </c>
    </row>
    <row r="306" spans="1:6">
      <c r="A306">
        <f t="shared" si="25"/>
        <v>298</v>
      </c>
      <c r="B306" s="11">
        <f>'More accurate Energy (Solar)'!B313</f>
        <v>0.27777777777777779</v>
      </c>
      <c r="C306" s="404">
        <f t="shared" si="26"/>
        <v>277.77777777777777</v>
      </c>
      <c r="D306" s="404">
        <f t="shared" si="27"/>
        <v>55.55555555555555</v>
      </c>
      <c r="E306" s="404">
        <f t="shared" si="29"/>
        <v>2030.5555555555557</v>
      </c>
      <c r="F306" t="str">
        <f t="shared" si="28"/>
        <v/>
      </c>
    </row>
    <row r="307" spans="1:6">
      <c r="A307">
        <f t="shared" si="25"/>
        <v>299</v>
      </c>
      <c r="B307" s="11">
        <f>'More accurate Energy (Solar)'!B314</f>
        <v>0</v>
      </c>
      <c r="C307" s="404">
        <f t="shared" si="26"/>
        <v>0</v>
      </c>
      <c r="D307" s="404">
        <f t="shared" si="27"/>
        <v>0</v>
      </c>
      <c r="E307" s="404">
        <f t="shared" si="29"/>
        <v>2030.5555555555557</v>
      </c>
      <c r="F307" t="str">
        <f t="shared" si="28"/>
        <v/>
      </c>
    </row>
    <row r="308" spans="1:6">
      <c r="A308">
        <f t="shared" si="25"/>
        <v>300</v>
      </c>
      <c r="B308" s="11">
        <f>'More accurate Energy (Solar)'!B315</f>
        <v>0.47222222222222221</v>
      </c>
      <c r="C308" s="404">
        <f t="shared" si="26"/>
        <v>472.22222222222223</v>
      </c>
      <c r="D308" s="404">
        <f t="shared" si="27"/>
        <v>94.444444444444457</v>
      </c>
      <c r="E308" s="404">
        <f t="shared" si="29"/>
        <v>2125</v>
      </c>
      <c r="F308" t="str">
        <f t="shared" si="28"/>
        <v/>
      </c>
    </row>
    <row r="309" spans="1:6">
      <c r="A309">
        <f t="shared" si="25"/>
        <v>301</v>
      </c>
      <c r="B309" s="11">
        <f>'More accurate Energy (Solar)'!B316</f>
        <v>1.0416666666666667</v>
      </c>
      <c r="C309" s="404">
        <f t="shared" si="26"/>
        <v>1041.6666666666667</v>
      </c>
      <c r="D309" s="404">
        <f t="shared" si="27"/>
        <v>208.33333333333334</v>
      </c>
      <c r="E309" s="404">
        <f t="shared" si="29"/>
        <v>2333.3333333333335</v>
      </c>
      <c r="F309" t="str">
        <f t="shared" si="28"/>
        <v/>
      </c>
    </row>
    <row r="310" spans="1:6">
      <c r="A310">
        <f t="shared" si="25"/>
        <v>302</v>
      </c>
      <c r="B310" s="11">
        <f>'More accurate Energy (Solar)'!B317</f>
        <v>1.0416666666666667</v>
      </c>
      <c r="C310" s="404">
        <f t="shared" si="26"/>
        <v>1041.6666666666667</v>
      </c>
      <c r="D310" s="404">
        <f t="shared" si="27"/>
        <v>208.33333333333334</v>
      </c>
      <c r="E310" s="404">
        <f t="shared" si="29"/>
        <v>2541.666666666667</v>
      </c>
      <c r="F310" t="str">
        <f t="shared" si="28"/>
        <v/>
      </c>
    </row>
    <row r="311" spans="1:6">
      <c r="A311">
        <f t="shared" si="25"/>
        <v>303</v>
      </c>
      <c r="B311" s="11">
        <f>'More accurate Energy (Solar)'!B318</f>
        <v>1.0416666666666667</v>
      </c>
      <c r="C311" s="404">
        <f t="shared" si="26"/>
        <v>1041.6666666666667</v>
      </c>
      <c r="D311" s="404">
        <f t="shared" si="27"/>
        <v>208.33333333333334</v>
      </c>
      <c r="E311" s="404">
        <f t="shared" si="29"/>
        <v>2750.0000000000005</v>
      </c>
      <c r="F311" t="str">
        <f t="shared" si="28"/>
        <v/>
      </c>
    </row>
    <row r="312" spans="1:6">
      <c r="A312">
        <f t="shared" si="25"/>
        <v>304</v>
      </c>
      <c r="B312" s="11">
        <f>'More accurate Energy (Solar)'!B319</f>
        <v>1.0416666666666667</v>
      </c>
      <c r="C312" s="404">
        <f t="shared" si="26"/>
        <v>1041.6666666666667</v>
      </c>
      <c r="D312" s="404">
        <f t="shared" si="27"/>
        <v>208.33333333333334</v>
      </c>
      <c r="E312" s="404">
        <f t="shared" si="29"/>
        <v>2958.3333333333339</v>
      </c>
      <c r="F312" t="str">
        <f t="shared" si="28"/>
        <v/>
      </c>
    </row>
    <row r="313" spans="1:6">
      <c r="A313">
        <f t="shared" si="25"/>
        <v>305</v>
      </c>
      <c r="B313" s="11">
        <f>'More accurate Energy (Solar)'!B320</f>
        <v>8.3333333333333329E-2</v>
      </c>
      <c r="C313" s="404">
        <f t="shared" si="26"/>
        <v>83.333333333333329</v>
      </c>
      <c r="D313" s="404">
        <f t="shared" si="27"/>
        <v>16.666666666666664</v>
      </c>
      <c r="E313" s="404">
        <f t="shared" si="29"/>
        <v>2975.0000000000005</v>
      </c>
      <c r="F313" t="str">
        <f t="shared" si="28"/>
        <v/>
      </c>
    </row>
    <row r="314" spans="1:6">
      <c r="A314">
        <f t="shared" si="25"/>
        <v>306</v>
      </c>
      <c r="B314" s="11">
        <f>'More accurate Energy (Solar)'!B321</f>
        <v>0</v>
      </c>
      <c r="C314" s="404">
        <f t="shared" si="26"/>
        <v>0</v>
      </c>
      <c r="D314" s="404">
        <f t="shared" si="27"/>
        <v>0</v>
      </c>
      <c r="E314" s="404">
        <f t="shared" si="29"/>
        <v>2975.0000000000005</v>
      </c>
      <c r="F314" t="str">
        <f t="shared" si="28"/>
        <v/>
      </c>
    </row>
    <row r="315" spans="1:6">
      <c r="A315">
        <f t="shared" si="25"/>
        <v>307</v>
      </c>
      <c r="B315" s="11">
        <f>'More accurate Energy (Solar)'!B322</f>
        <v>0</v>
      </c>
      <c r="C315" s="404">
        <f t="shared" si="26"/>
        <v>0</v>
      </c>
      <c r="D315" s="404">
        <f t="shared" si="27"/>
        <v>0</v>
      </c>
      <c r="E315" s="404">
        <f t="shared" si="29"/>
        <v>2975.0000000000005</v>
      </c>
      <c r="F315" t="str">
        <f t="shared" si="28"/>
        <v/>
      </c>
    </row>
    <row r="316" spans="1:6">
      <c r="A316">
        <f t="shared" si="25"/>
        <v>308</v>
      </c>
      <c r="B316" s="11">
        <f>'More accurate Energy (Solar)'!B323</f>
        <v>0.2361111111111111</v>
      </c>
      <c r="C316" s="404">
        <f t="shared" si="26"/>
        <v>236.11111111111111</v>
      </c>
      <c r="D316" s="404">
        <f t="shared" si="27"/>
        <v>47.222222222222229</v>
      </c>
      <c r="E316" s="404">
        <f t="shared" si="29"/>
        <v>47.222222222222229</v>
      </c>
      <c r="F316">
        <f t="shared" si="28"/>
        <v>1</v>
      </c>
    </row>
    <row r="317" spans="1:6">
      <c r="A317">
        <f t="shared" si="25"/>
        <v>309</v>
      </c>
      <c r="B317" s="11">
        <f>'More accurate Energy (Solar)'!B324</f>
        <v>0.41666666666666669</v>
      </c>
      <c r="C317" s="404">
        <f t="shared" si="26"/>
        <v>416.66666666666669</v>
      </c>
      <c r="D317" s="404">
        <f t="shared" si="27"/>
        <v>83.333333333333343</v>
      </c>
      <c r="E317" s="404">
        <f t="shared" si="29"/>
        <v>130.55555555555557</v>
      </c>
      <c r="F317" t="str">
        <f t="shared" si="28"/>
        <v/>
      </c>
    </row>
    <row r="318" spans="1:6">
      <c r="A318">
        <f t="shared" si="25"/>
        <v>310</v>
      </c>
      <c r="B318" s="11">
        <f>'More accurate Energy (Solar)'!B325</f>
        <v>1.0416666666666667</v>
      </c>
      <c r="C318" s="404">
        <f t="shared" si="26"/>
        <v>1041.6666666666667</v>
      </c>
      <c r="D318" s="404">
        <f t="shared" si="27"/>
        <v>208.33333333333334</v>
      </c>
      <c r="E318" s="404">
        <f t="shared" si="29"/>
        <v>338.88888888888891</v>
      </c>
      <c r="F318" t="str">
        <f t="shared" si="28"/>
        <v/>
      </c>
    </row>
    <row r="319" spans="1:6">
      <c r="A319">
        <f t="shared" si="25"/>
        <v>311</v>
      </c>
      <c r="B319" s="11">
        <f>'More accurate Energy (Solar)'!B326</f>
        <v>0.15277777777777779</v>
      </c>
      <c r="C319" s="404">
        <f t="shared" si="26"/>
        <v>152.7777777777778</v>
      </c>
      <c r="D319" s="404">
        <f t="shared" si="27"/>
        <v>30.555555555555554</v>
      </c>
      <c r="E319" s="404">
        <f t="shared" si="29"/>
        <v>369.44444444444446</v>
      </c>
      <c r="F319" t="str">
        <f t="shared" si="28"/>
        <v/>
      </c>
    </row>
    <row r="320" spans="1:6">
      <c r="A320">
        <f t="shared" si="25"/>
        <v>312</v>
      </c>
      <c r="B320" s="11">
        <f>'More accurate Energy (Solar)'!B327</f>
        <v>0.1111111111111111</v>
      </c>
      <c r="C320" s="404">
        <f t="shared" si="26"/>
        <v>111.1111111111111</v>
      </c>
      <c r="D320" s="404">
        <f t="shared" si="27"/>
        <v>22.222222222222218</v>
      </c>
      <c r="E320" s="404">
        <f t="shared" si="29"/>
        <v>391.66666666666669</v>
      </c>
      <c r="F320" t="str">
        <f t="shared" si="28"/>
        <v/>
      </c>
    </row>
    <row r="321" spans="1:6">
      <c r="A321">
        <f t="shared" si="25"/>
        <v>313</v>
      </c>
      <c r="B321" s="11">
        <f>'More accurate Energy (Solar)'!B328</f>
        <v>0</v>
      </c>
      <c r="C321" s="404">
        <f t="shared" si="26"/>
        <v>0</v>
      </c>
      <c r="D321" s="404">
        <f t="shared" si="27"/>
        <v>0</v>
      </c>
      <c r="E321" s="404">
        <f t="shared" si="29"/>
        <v>391.66666666666669</v>
      </c>
      <c r="F321" t="str">
        <f t="shared" si="28"/>
        <v/>
      </c>
    </row>
    <row r="322" spans="1:6">
      <c r="A322">
        <f t="shared" si="25"/>
        <v>314</v>
      </c>
      <c r="B322" s="11">
        <f>'More accurate Energy (Solar)'!B329</f>
        <v>1.0416666666666667</v>
      </c>
      <c r="C322" s="404">
        <f t="shared" si="26"/>
        <v>1041.6666666666667</v>
      </c>
      <c r="D322" s="404">
        <f t="shared" si="27"/>
        <v>208.33333333333334</v>
      </c>
      <c r="E322" s="404">
        <f t="shared" si="29"/>
        <v>600</v>
      </c>
      <c r="F322" t="str">
        <f t="shared" si="28"/>
        <v/>
      </c>
    </row>
    <row r="323" spans="1:6">
      <c r="A323">
        <f t="shared" si="25"/>
        <v>315</v>
      </c>
      <c r="B323" s="11">
        <f>'More accurate Energy (Solar)'!B330</f>
        <v>1.0416666666666667</v>
      </c>
      <c r="C323" s="404">
        <f t="shared" si="26"/>
        <v>1041.6666666666667</v>
      </c>
      <c r="D323" s="404">
        <f t="shared" si="27"/>
        <v>208.33333333333334</v>
      </c>
      <c r="E323" s="404">
        <f t="shared" si="29"/>
        <v>808.33333333333337</v>
      </c>
      <c r="F323" t="str">
        <f t="shared" si="28"/>
        <v/>
      </c>
    </row>
    <row r="324" spans="1:6">
      <c r="A324">
        <f t="shared" si="25"/>
        <v>316</v>
      </c>
      <c r="B324" s="11">
        <f>'More accurate Energy (Solar)'!B331</f>
        <v>1.0416666666666667</v>
      </c>
      <c r="C324" s="404">
        <f t="shared" si="26"/>
        <v>1041.6666666666667</v>
      </c>
      <c r="D324" s="404">
        <f t="shared" si="27"/>
        <v>208.33333333333334</v>
      </c>
      <c r="E324" s="404">
        <f t="shared" si="29"/>
        <v>1016.6666666666667</v>
      </c>
      <c r="F324" t="str">
        <f t="shared" si="28"/>
        <v/>
      </c>
    </row>
    <row r="325" spans="1:6">
      <c r="A325">
        <f t="shared" si="25"/>
        <v>317</v>
      </c>
      <c r="B325" s="11">
        <f>'More accurate Energy (Solar)'!B332</f>
        <v>0.79166666666666674</v>
      </c>
      <c r="C325" s="404">
        <f t="shared" si="26"/>
        <v>791.66666666666674</v>
      </c>
      <c r="D325" s="404">
        <f t="shared" si="27"/>
        <v>158.33333333333334</v>
      </c>
      <c r="E325" s="404">
        <f t="shared" si="29"/>
        <v>1175</v>
      </c>
      <c r="F325" t="str">
        <f t="shared" si="28"/>
        <v/>
      </c>
    </row>
    <row r="326" spans="1:6">
      <c r="A326">
        <f t="shared" si="25"/>
        <v>318</v>
      </c>
      <c r="B326" s="11">
        <f>'More accurate Energy (Solar)'!B333</f>
        <v>4.1666666666666664E-2</v>
      </c>
      <c r="C326" s="404">
        <f t="shared" si="26"/>
        <v>41.666666666666664</v>
      </c>
      <c r="D326" s="404">
        <f t="shared" si="27"/>
        <v>8.3333333333333321</v>
      </c>
      <c r="E326" s="404">
        <f t="shared" si="29"/>
        <v>1183.3333333333333</v>
      </c>
      <c r="F326" t="str">
        <f t="shared" si="28"/>
        <v/>
      </c>
    </row>
    <row r="327" spans="1:6">
      <c r="A327">
        <f t="shared" si="25"/>
        <v>319</v>
      </c>
      <c r="B327" s="11">
        <f>'More accurate Energy (Solar)'!B334</f>
        <v>0.41666666666666669</v>
      </c>
      <c r="C327" s="404">
        <f t="shared" si="26"/>
        <v>416.66666666666669</v>
      </c>
      <c r="D327" s="404">
        <f t="shared" si="27"/>
        <v>83.333333333333343</v>
      </c>
      <c r="E327" s="404">
        <f t="shared" si="29"/>
        <v>1266.6666666666665</v>
      </c>
      <c r="F327" t="str">
        <f t="shared" si="28"/>
        <v/>
      </c>
    </row>
    <row r="328" spans="1:6">
      <c r="A328">
        <f t="shared" si="25"/>
        <v>320</v>
      </c>
      <c r="B328" s="11">
        <f>'More accurate Energy (Solar)'!B335</f>
        <v>1.0416666666666667</v>
      </c>
      <c r="C328" s="404">
        <f t="shared" si="26"/>
        <v>1041.6666666666667</v>
      </c>
      <c r="D328" s="404">
        <f t="shared" si="27"/>
        <v>208.33333333333334</v>
      </c>
      <c r="E328" s="404">
        <f t="shared" si="29"/>
        <v>1474.9999999999998</v>
      </c>
      <c r="F328" t="str">
        <f t="shared" si="28"/>
        <v/>
      </c>
    </row>
    <row r="329" spans="1:6">
      <c r="A329">
        <f t="shared" si="25"/>
        <v>321</v>
      </c>
      <c r="B329" s="11">
        <f>'More accurate Energy (Solar)'!B336</f>
        <v>0.43055555555555558</v>
      </c>
      <c r="C329" s="404">
        <f t="shared" si="26"/>
        <v>430.5555555555556</v>
      </c>
      <c r="D329" s="404">
        <f t="shared" si="27"/>
        <v>86.111111111111128</v>
      </c>
      <c r="E329" s="404">
        <f t="shared" si="29"/>
        <v>1561.1111111111109</v>
      </c>
      <c r="F329" t="str">
        <f t="shared" si="28"/>
        <v/>
      </c>
    </row>
    <row r="330" spans="1:6">
      <c r="A330">
        <f t="shared" ref="A330:A374" si="30">A329+1</f>
        <v>322</v>
      </c>
      <c r="B330" s="11">
        <f>'More accurate Energy (Solar)'!B337</f>
        <v>0</v>
      </c>
      <c r="C330" s="404">
        <f t="shared" ref="C330:C374" si="31">B330 * 1000</f>
        <v>0</v>
      </c>
      <c r="D330" s="404">
        <f t="shared" ref="D330:D374" si="32">C330*$B$3*$B$1/$B$2/1000</f>
        <v>0</v>
      </c>
      <c r="E330" s="404">
        <f t="shared" si="29"/>
        <v>1561.1111111111109</v>
      </c>
      <c r="F330" t="str">
        <f t="shared" si="28"/>
        <v/>
      </c>
    </row>
    <row r="331" spans="1:6">
      <c r="A331">
        <f t="shared" si="30"/>
        <v>323</v>
      </c>
      <c r="B331" s="11">
        <f>'More accurate Energy (Solar)'!B338</f>
        <v>0</v>
      </c>
      <c r="C331" s="404">
        <f t="shared" si="31"/>
        <v>0</v>
      </c>
      <c r="D331" s="404">
        <f t="shared" si="32"/>
        <v>0</v>
      </c>
      <c r="E331" s="404">
        <f t="shared" si="29"/>
        <v>1561.1111111111109</v>
      </c>
      <c r="F331" t="str">
        <f t="shared" ref="F331:F374" si="33">IF(E331 = D331, 1, "")</f>
        <v/>
      </c>
    </row>
    <row r="332" spans="1:6">
      <c r="A332">
        <f t="shared" si="30"/>
        <v>324</v>
      </c>
      <c r="B332" s="11">
        <f>'More accurate Energy (Solar)'!B339</f>
        <v>0</v>
      </c>
      <c r="C332" s="404">
        <f t="shared" si="31"/>
        <v>0</v>
      </c>
      <c r="D332" s="404">
        <f t="shared" si="32"/>
        <v>0</v>
      </c>
      <c r="E332" s="404">
        <f t="shared" si="29"/>
        <v>1561.1111111111109</v>
      </c>
      <c r="F332" t="str">
        <f t="shared" si="33"/>
        <v/>
      </c>
    </row>
    <row r="333" spans="1:6">
      <c r="A333">
        <f t="shared" si="30"/>
        <v>325</v>
      </c>
      <c r="B333" s="11">
        <f>'More accurate Energy (Solar)'!B340</f>
        <v>0</v>
      </c>
      <c r="C333" s="404">
        <f t="shared" si="31"/>
        <v>0</v>
      </c>
      <c r="D333" s="404">
        <f t="shared" si="32"/>
        <v>0</v>
      </c>
      <c r="E333" s="404">
        <f t="shared" si="29"/>
        <v>1561.1111111111109</v>
      </c>
      <c r="F333" t="str">
        <f t="shared" si="33"/>
        <v/>
      </c>
    </row>
    <row r="334" spans="1:6">
      <c r="A334">
        <f t="shared" si="30"/>
        <v>326</v>
      </c>
      <c r="B334" s="11">
        <f>'More accurate Energy (Solar)'!B341</f>
        <v>0</v>
      </c>
      <c r="C334" s="404">
        <f t="shared" si="31"/>
        <v>0</v>
      </c>
      <c r="D334" s="404">
        <f t="shared" si="32"/>
        <v>0</v>
      </c>
      <c r="E334" s="404">
        <f t="shared" si="29"/>
        <v>1561.1111111111109</v>
      </c>
      <c r="F334" t="str">
        <f t="shared" si="33"/>
        <v/>
      </c>
    </row>
    <row r="335" spans="1:6">
      <c r="A335">
        <f t="shared" si="30"/>
        <v>327</v>
      </c>
      <c r="B335" s="11">
        <f>'More accurate Energy (Solar)'!B342</f>
        <v>0</v>
      </c>
      <c r="C335" s="404">
        <f t="shared" si="31"/>
        <v>0</v>
      </c>
      <c r="D335" s="404">
        <f t="shared" si="32"/>
        <v>0</v>
      </c>
      <c r="E335" s="404">
        <f t="shared" si="29"/>
        <v>1561.1111111111109</v>
      </c>
      <c r="F335" t="str">
        <f t="shared" si="33"/>
        <v/>
      </c>
    </row>
    <row r="336" spans="1:6">
      <c r="A336">
        <f t="shared" si="30"/>
        <v>328</v>
      </c>
      <c r="B336" s="11">
        <f>'More accurate Energy (Solar)'!B343</f>
        <v>0</v>
      </c>
      <c r="C336" s="404">
        <f t="shared" si="31"/>
        <v>0</v>
      </c>
      <c r="D336" s="404">
        <f t="shared" si="32"/>
        <v>0</v>
      </c>
      <c r="E336" s="404">
        <f t="shared" si="29"/>
        <v>1561.1111111111109</v>
      </c>
      <c r="F336" t="str">
        <f t="shared" si="33"/>
        <v/>
      </c>
    </row>
    <row r="337" spans="1:6">
      <c r="A337">
        <f t="shared" si="30"/>
        <v>329</v>
      </c>
      <c r="B337" s="11">
        <f>'More accurate Energy (Solar)'!B344</f>
        <v>0</v>
      </c>
      <c r="C337" s="404">
        <f t="shared" si="31"/>
        <v>0</v>
      </c>
      <c r="D337" s="404">
        <f t="shared" si="32"/>
        <v>0</v>
      </c>
      <c r="E337" s="404">
        <f t="shared" si="29"/>
        <v>1561.1111111111109</v>
      </c>
      <c r="F337" t="str">
        <f t="shared" si="33"/>
        <v/>
      </c>
    </row>
    <row r="338" spans="1:6">
      <c r="A338">
        <f t="shared" si="30"/>
        <v>330</v>
      </c>
      <c r="B338" s="11">
        <f>'More accurate Energy (Solar)'!B345</f>
        <v>0</v>
      </c>
      <c r="C338" s="404">
        <f t="shared" si="31"/>
        <v>0</v>
      </c>
      <c r="D338" s="404">
        <f t="shared" si="32"/>
        <v>0</v>
      </c>
      <c r="E338" s="404">
        <f t="shared" si="29"/>
        <v>1561.1111111111109</v>
      </c>
      <c r="F338" t="str">
        <f t="shared" si="33"/>
        <v/>
      </c>
    </row>
    <row r="339" spans="1:6">
      <c r="A339">
        <f t="shared" si="30"/>
        <v>331</v>
      </c>
      <c r="B339" s="11">
        <f>'More accurate Energy (Solar)'!B346</f>
        <v>0</v>
      </c>
      <c r="C339" s="404">
        <f t="shared" si="31"/>
        <v>0</v>
      </c>
      <c r="D339" s="404">
        <f t="shared" si="32"/>
        <v>0</v>
      </c>
      <c r="E339" s="404">
        <f t="shared" si="29"/>
        <v>1561.1111111111109</v>
      </c>
      <c r="F339" t="str">
        <f t="shared" si="33"/>
        <v/>
      </c>
    </row>
    <row r="340" spans="1:6">
      <c r="A340">
        <f t="shared" si="30"/>
        <v>332</v>
      </c>
      <c r="B340" s="11">
        <f>'More accurate Energy (Solar)'!B347</f>
        <v>0</v>
      </c>
      <c r="C340" s="404">
        <f t="shared" si="31"/>
        <v>0</v>
      </c>
      <c r="D340" s="404">
        <f t="shared" si="32"/>
        <v>0</v>
      </c>
      <c r="E340" s="404">
        <f t="shared" si="29"/>
        <v>1561.1111111111109</v>
      </c>
      <c r="F340" t="str">
        <f t="shared" si="33"/>
        <v/>
      </c>
    </row>
    <row r="341" spans="1:6">
      <c r="A341">
        <f t="shared" si="30"/>
        <v>333</v>
      </c>
      <c r="B341" s="11">
        <f>'More accurate Energy (Solar)'!B348</f>
        <v>0</v>
      </c>
      <c r="C341" s="404">
        <f t="shared" si="31"/>
        <v>0</v>
      </c>
      <c r="D341" s="404">
        <f t="shared" si="32"/>
        <v>0</v>
      </c>
      <c r="E341" s="404">
        <f t="shared" si="29"/>
        <v>1561.1111111111109</v>
      </c>
      <c r="F341" t="str">
        <f t="shared" si="33"/>
        <v/>
      </c>
    </row>
    <row r="342" spans="1:6">
      <c r="A342">
        <f t="shared" si="30"/>
        <v>334</v>
      </c>
      <c r="B342" s="11">
        <f>'More accurate Energy (Solar)'!B349</f>
        <v>0.90277777777777779</v>
      </c>
      <c r="C342" s="404">
        <f t="shared" si="31"/>
        <v>902.77777777777783</v>
      </c>
      <c r="D342" s="404">
        <f t="shared" si="32"/>
        <v>180.55555555555557</v>
      </c>
      <c r="E342" s="404">
        <f t="shared" si="29"/>
        <v>1741.6666666666665</v>
      </c>
      <c r="F342" t="str">
        <f t="shared" si="33"/>
        <v/>
      </c>
    </row>
    <row r="343" spans="1:6">
      <c r="A343">
        <f t="shared" si="30"/>
        <v>335</v>
      </c>
      <c r="B343" s="11">
        <f>'More accurate Energy (Solar)'!B350</f>
        <v>1.0416666666666667</v>
      </c>
      <c r="C343" s="404">
        <f t="shared" si="31"/>
        <v>1041.6666666666667</v>
      </c>
      <c r="D343" s="404">
        <f t="shared" si="32"/>
        <v>208.33333333333334</v>
      </c>
      <c r="E343" s="404">
        <f t="shared" si="29"/>
        <v>1949.9999999999998</v>
      </c>
      <c r="F343" t="str">
        <f t="shared" si="33"/>
        <v/>
      </c>
    </row>
    <row r="344" spans="1:6">
      <c r="A344">
        <f t="shared" si="30"/>
        <v>336</v>
      </c>
      <c r="B344" s="11">
        <f>'More accurate Energy (Solar)'!B351</f>
        <v>1.0416666666666667</v>
      </c>
      <c r="C344" s="404">
        <f t="shared" si="31"/>
        <v>1041.6666666666667</v>
      </c>
      <c r="D344" s="404">
        <f t="shared" si="32"/>
        <v>208.33333333333334</v>
      </c>
      <c r="E344" s="404">
        <f t="shared" si="29"/>
        <v>2158.333333333333</v>
      </c>
      <c r="F344" t="str">
        <f t="shared" si="33"/>
        <v/>
      </c>
    </row>
    <row r="345" spans="1:6">
      <c r="A345">
        <f t="shared" si="30"/>
        <v>337</v>
      </c>
      <c r="B345" s="11">
        <f>'More accurate Energy (Solar)'!B352</f>
        <v>1.0416666666666667</v>
      </c>
      <c r="C345" s="404">
        <f t="shared" si="31"/>
        <v>1041.6666666666667</v>
      </c>
      <c r="D345" s="404">
        <f t="shared" si="32"/>
        <v>208.33333333333334</v>
      </c>
      <c r="E345" s="404">
        <f t="shared" si="29"/>
        <v>2366.6666666666665</v>
      </c>
      <c r="F345" t="str">
        <f t="shared" si="33"/>
        <v/>
      </c>
    </row>
    <row r="346" spans="1:6">
      <c r="A346">
        <f t="shared" si="30"/>
        <v>338</v>
      </c>
      <c r="B346" s="11">
        <f>'More accurate Energy (Solar)'!B353</f>
        <v>1.0416666666666667</v>
      </c>
      <c r="C346" s="404">
        <f t="shared" si="31"/>
        <v>1041.6666666666667</v>
      </c>
      <c r="D346" s="404">
        <f t="shared" si="32"/>
        <v>208.33333333333334</v>
      </c>
      <c r="E346" s="404">
        <f t="shared" si="29"/>
        <v>2575</v>
      </c>
      <c r="F346" t="str">
        <f t="shared" si="33"/>
        <v/>
      </c>
    </row>
    <row r="347" spans="1:6">
      <c r="A347">
        <f t="shared" si="30"/>
        <v>339</v>
      </c>
      <c r="B347" s="11">
        <f>'More accurate Energy (Solar)'!B354</f>
        <v>1.0416666666666667</v>
      </c>
      <c r="C347" s="404">
        <f t="shared" si="31"/>
        <v>1041.6666666666667</v>
      </c>
      <c r="D347" s="404">
        <f t="shared" si="32"/>
        <v>208.33333333333334</v>
      </c>
      <c r="E347" s="404">
        <f t="shared" si="29"/>
        <v>2783.3333333333335</v>
      </c>
      <c r="F347" t="str">
        <f t="shared" si="33"/>
        <v/>
      </c>
    </row>
    <row r="348" spans="1:6">
      <c r="A348">
        <f t="shared" si="30"/>
        <v>340</v>
      </c>
      <c r="B348" s="11">
        <f>'More accurate Energy (Solar)'!B355</f>
        <v>1.0416666666666667</v>
      </c>
      <c r="C348" s="404">
        <f t="shared" si="31"/>
        <v>1041.6666666666667</v>
      </c>
      <c r="D348" s="404">
        <f t="shared" si="32"/>
        <v>208.33333333333334</v>
      </c>
      <c r="E348" s="404">
        <f t="shared" si="29"/>
        <v>2991.666666666667</v>
      </c>
      <c r="F348" t="str">
        <f t="shared" si="33"/>
        <v/>
      </c>
    </row>
    <row r="349" spans="1:6">
      <c r="A349">
        <f t="shared" si="30"/>
        <v>341</v>
      </c>
      <c r="B349" s="11">
        <f>'More accurate Energy (Solar)'!B356</f>
        <v>1.0416666666666667</v>
      </c>
      <c r="C349" s="404">
        <f t="shared" si="31"/>
        <v>1041.6666666666667</v>
      </c>
      <c r="D349" s="404">
        <f t="shared" si="32"/>
        <v>208.33333333333334</v>
      </c>
      <c r="E349" s="404">
        <f t="shared" si="29"/>
        <v>208.33333333333334</v>
      </c>
      <c r="F349">
        <f t="shared" si="33"/>
        <v>1</v>
      </c>
    </row>
    <row r="350" spans="1:6">
      <c r="A350">
        <f t="shared" si="30"/>
        <v>342</v>
      </c>
      <c r="B350" s="11">
        <f>'More accurate Energy (Solar)'!B357</f>
        <v>1.0416666666666667</v>
      </c>
      <c r="C350" s="404">
        <f t="shared" si="31"/>
        <v>1041.6666666666667</v>
      </c>
      <c r="D350" s="404">
        <f t="shared" si="32"/>
        <v>208.33333333333334</v>
      </c>
      <c r="E350" s="404">
        <f t="shared" si="29"/>
        <v>416.66666666666669</v>
      </c>
      <c r="F350" t="str">
        <f t="shared" si="33"/>
        <v/>
      </c>
    </row>
    <row r="351" spans="1:6">
      <c r="A351">
        <f t="shared" si="30"/>
        <v>343</v>
      </c>
      <c r="B351" s="11">
        <f>'More accurate Energy (Solar)'!B358</f>
        <v>0.33333333333333331</v>
      </c>
      <c r="C351" s="404">
        <f t="shared" si="31"/>
        <v>333.33333333333331</v>
      </c>
      <c r="D351" s="404">
        <f t="shared" si="32"/>
        <v>66.666666666666657</v>
      </c>
      <c r="E351" s="404">
        <f t="shared" si="29"/>
        <v>483.33333333333337</v>
      </c>
      <c r="F351" t="str">
        <f t="shared" si="33"/>
        <v/>
      </c>
    </row>
    <row r="352" spans="1:6">
      <c r="A352">
        <f t="shared" si="30"/>
        <v>344</v>
      </c>
      <c r="B352" s="11">
        <f>'More accurate Energy (Solar)'!B359</f>
        <v>0.84722222222222221</v>
      </c>
      <c r="C352" s="404">
        <f t="shared" si="31"/>
        <v>847.22222222222217</v>
      </c>
      <c r="D352" s="404">
        <f t="shared" si="32"/>
        <v>169.44444444444443</v>
      </c>
      <c r="E352" s="404">
        <f t="shared" si="29"/>
        <v>652.77777777777783</v>
      </c>
      <c r="F352" t="str">
        <f t="shared" si="33"/>
        <v/>
      </c>
    </row>
    <row r="353" spans="1:6">
      <c r="A353">
        <f t="shared" si="30"/>
        <v>345</v>
      </c>
      <c r="B353" s="11">
        <f>'More accurate Energy (Solar)'!B360</f>
        <v>0.2361111111111111</v>
      </c>
      <c r="C353" s="404">
        <f t="shared" si="31"/>
        <v>236.11111111111111</v>
      </c>
      <c r="D353" s="404">
        <f t="shared" si="32"/>
        <v>47.222222222222229</v>
      </c>
      <c r="E353" s="404">
        <f t="shared" ref="E353:E374" si="34">IF(E352+D353 &gt; $B$4 * 1000,D353,E352 + D353)</f>
        <v>700</v>
      </c>
      <c r="F353" t="str">
        <f t="shared" si="33"/>
        <v/>
      </c>
    </row>
    <row r="354" spans="1:6">
      <c r="A354">
        <f t="shared" si="30"/>
        <v>346</v>
      </c>
      <c r="B354" s="11">
        <f>'More accurate Energy (Solar)'!B361</f>
        <v>1.0416666666666667</v>
      </c>
      <c r="C354" s="404">
        <f t="shared" si="31"/>
        <v>1041.6666666666667</v>
      </c>
      <c r="D354" s="404">
        <f t="shared" si="32"/>
        <v>208.33333333333334</v>
      </c>
      <c r="E354" s="404">
        <f t="shared" si="34"/>
        <v>908.33333333333337</v>
      </c>
      <c r="F354" t="str">
        <f t="shared" si="33"/>
        <v/>
      </c>
    </row>
    <row r="355" spans="1:6">
      <c r="A355">
        <f t="shared" si="30"/>
        <v>347</v>
      </c>
      <c r="B355" s="11">
        <f>'More accurate Energy (Solar)'!B362</f>
        <v>0</v>
      </c>
      <c r="C355" s="404">
        <f t="shared" si="31"/>
        <v>0</v>
      </c>
      <c r="D355" s="404">
        <f t="shared" si="32"/>
        <v>0</v>
      </c>
      <c r="E355" s="404">
        <f t="shared" si="34"/>
        <v>908.33333333333337</v>
      </c>
      <c r="F355" t="str">
        <f t="shared" si="33"/>
        <v/>
      </c>
    </row>
    <row r="356" spans="1:6">
      <c r="A356">
        <f t="shared" si="30"/>
        <v>348</v>
      </c>
      <c r="B356" s="11">
        <f>'More accurate Energy (Solar)'!B363</f>
        <v>0.16666666666666666</v>
      </c>
      <c r="C356" s="404">
        <f t="shared" si="31"/>
        <v>166.66666666666666</v>
      </c>
      <c r="D356" s="404">
        <f t="shared" si="32"/>
        <v>33.333333333333329</v>
      </c>
      <c r="E356" s="404">
        <f t="shared" si="34"/>
        <v>941.66666666666674</v>
      </c>
      <c r="F356" t="str">
        <f t="shared" si="33"/>
        <v/>
      </c>
    </row>
    <row r="357" spans="1:6">
      <c r="A357">
        <f t="shared" si="30"/>
        <v>349</v>
      </c>
      <c r="B357" s="11">
        <f>'More accurate Energy (Solar)'!B364</f>
        <v>0.20833333333333334</v>
      </c>
      <c r="C357" s="404">
        <f t="shared" si="31"/>
        <v>208.33333333333334</v>
      </c>
      <c r="D357" s="404">
        <f t="shared" si="32"/>
        <v>41.666666666666671</v>
      </c>
      <c r="E357" s="404">
        <f t="shared" si="34"/>
        <v>983.33333333333337</v>
      </c>
      <c r="F357" t="str">
        <f t="shared" si="33"/>
        <v/>
      </c>
    </row>
    <row r="358" spans="1:6">
      <c r="A358">
        <f t="shared" si="30"/>
        <v>350</v>
      </c>
      <c r="B358" s="11">
        <f>'More accurate Energy (Solar)'!B365</f>
        <v>0.15277777777777779</v>
      </c>
      <c r="C358" s="404">
        <f t="shared" si="31"/>
        <v>152.7777777777778</v>
      </c>
      <c r="D358" s="404">
        <f t="shared" si="32"/>
        <v>30.555555555555554</v>
      </c>
      <c r="E358" s="404">
        <f t="shared" si="34"/>
        <v>1013.8888888888889</v>
      </c>
      <c r="F358" t="str">
        <f t="shared" si="33"/>
        <v/>
      </c>
    </row>
    <row r="359" spans="1:6">
      <c r="A359">
        <f t="shared" si="30"/>
        <v>351</v>
      </c>
      <c r="B359" s="11">
        <f>'More accurate Energy (Solar)'!B366</f>
        <v>1.0416666666666667</v>
      </c>
      <c r="C359" s="404">
        <f t="shared" si="31"/>
        <v>1041.6666666666667</v>
      </c>
      <c r="D359" s="404">
        <f t="shared" si="32"/>
        <v>208.33333333333334</v>
      </c>
      <c r="E359" s="404">
        <f t="shared" si="34"/>
        <v>1222.2222222222222</v>
      </c>
      <c r="F359" t="str">
        <f t="shared" si="33"/>
        <v/>
      </c>
    </row>
    <row r="360" spans="1:6">
      <c r="A360">
        <f t="shared" si="30"/>
        <v>352</v>
      </c>
      <c r="B360" s="11">
        <f>'More accurate Energy (Solar)'!B367</f>
        <v>1.0416666666666667</v>
      </c>
      <c r="C360" s="404">
        <f t="shared" si="31"/>
        <v>1041.6666666666667</v>
      </c>
      <c r="D360" s="404">
        <f t="shared" si="32"/>
        <v>208.33333333333334</v>
      </c>
      <c r="E360" s="404">
        <f t="shared" si="34"/>
        <v>1430.5555555555554</v>
      </c>
      <c r="F360" t="str">
        <f t="shared" si="33"/>
        <v/>
      </c>
    </row>
    <row r="361" spans="1:6">
      <c r="A361">
        <f t="shared" si="30"/>
        <v>353</v>
      </c>
      <c r="B361" s="11">
        <f>'More accurate Energy (Solar)'!B368</f>
        <v>1.0416666666666667</v>
      </c>
      <c r="C361" s="404">
        <f t="shared" si="31"/>
        <v>1041.6666666666667</v>
      </c>
      <c r="D361" s="404">
        <f t="shared" si="32"/>
        <v>208.33333333333334</v>
      </c>
      <c r="E361" s="404">
        <f t="shared" si="34"/>
        <v>1638.8888888888887</v>
      </c>
      <c r="F361" t="str">
        <f t="shared" si="33"/>
        <v/>
      </c>
    </row>
    <row r="362" spans="1:6">
      <c r="A362">
        <f t="shared" si="30"/>
        <v>354</v>
      </c>
      <c r="B362" s="11">
        <f>'More accurate Energy (Solar)'!B369</f>
        <v>1.0416666666666667</v>
      </c>
      <c r="C362" s="404">
        <f t="shared" si="31"/>
        <v>1041.6666666666667</v>
      </c>
      <c r="D362" s="404">
        <f t="shared" si="32"/>
        <v>208.33333333333334</v>
      </c>
      <c r="E362" s="404">
        <f t="shared" si="34"/>
        <v>1847.2222222222219</v>
      </c>
      <c r="F362" t="str">
        <f t="shared" si="33"/>
        <v/>
      </c>
    </row>
    <row r="363" spans="1:6">
      <c r="A363">
        <f t="shared" si="30"/>
        <v>355</v>
      </c>
      <c r="B363" s="11">
        <f>'More accurate Energy (Solar)'!B370</f>
        <v>0.62499999999999989</v>
      </c>
      <c r="C363" s="404">
        <f t="shared" si="31"/>
        <v>624.99999999999989</v>
      </c>
      <c r="D363" s="404">
        <f t="shared" si="32"/>
        <v>124.99999999999997</v>
      </c>
      <c r="E363" s="404">
        <f t="shared" si="34"/>
        <v>1972.2222222222219</v>
      </c>
      <c r="F363" t="str">
        <f t="shared" si="33"/>
        <v/>
      </c>
    </row>
    <row r="364" spans="1:6">
      <c r="A364">
        <f t="shared" si="30"/>
        <v>356</v>
      </c>
      <c r="B364" s="11">
        <f>'More accurate Energy (Solar)'!B371</f>
        <v>1.0416666666666667</v>
      </c>
      <c r="C364" s="404">
        <f t="shared" si="31"/>
        <v>1041.6666666666667</v>
      </c>
      <c r="D364" s="404">
        <f t="shared" si="32"/>
        <v>208.33333333333334</v>
      </c>
      <c r="E364" s="404">
        <f t="shared" si="34"/>
        <v>2180.5555555555552</v>
      </c>
      <c r="F364" t="str">
        <f t="shared" si="33"/>
        <v/>
      </c>
    </row>
    <row r="365" spans="1:6">
      <c r="A365">
        <f t="shared" si="30"/>
        <v>357</v>
      </c>
      <c r="B365" s="11">
        <f>'More accurate Energy (Solar)'!B372</f>
        <v>0.65277777777777779</v>
      </c>
      <c r="C365" s="404">
        <f t="shared" si="31"/>
        <v>652.77777777777783</v>
      </c>
      <c r="D365" s="404">
        <f t="shared" si="32"/>
        <v>130.55555555555554</v>
      </c>
      <c r="E365" s="404">
        <f t="shared" si="34"/>
        <v>2311.1111111111109</v>
      </c>
      <c r="F365" t="str">
        <f t="shared" si="33"/>
        <v/>
      </c>
    </row>
    <row r="366" spans="1:6">
      <c r="A366">
        <f t="shared" si="30"/>
        <v>358</v>
      </c>
      <c r="B366" s="11">
        <f>'More accurate Energy (Solar)'!B373</f>
        <v>0</v>
      </c>
      <c r="C366" s="404">
        <f t="shared" si="31"/>
        <v>0</v>
      </c>
      <c r="D366" s="404">
        <f t="shared" si="32"/>
        <v>0</v>
      </c>
      <c r="E366" s="404">
        <f t="shared" si="34"/>
        <v>2311.1111111111109</v>
      </c>
      <c r="F366" t="str">
        <f t="shared" si="33"/>
        <v/>
      </c>
    </row>
    <row r="367" spans="1:6">
      <c r="A367">
        <f t="shared" si="30"/>
        <v>359</v>
      </c>
      <c r="B367" s="11">
        <f>'More accurate Energy (Solar)'!B374</f>
        <v>0</v>
      </c>
      <c r="C367" s="404">
        <f t="shared" si="31"/>
        <v>0</v>
      </c>
      <c r="D367" s="404">
        <f t="shared" si="32"/>
        <v>0</v>
      </c>
      <c r="E367" s="404">
        <f t="shared" si="34"/>
        <v>2311.1111111111109</v>
      </c>
      <c r="F367" t="str">
        <f t="shared" si="33"/>
        <v/>
      </c>
    </row>
    <row r="368" spans="1:6">
      <c r="A368">
        <f t="shared" si="30"/>
        <v>360</v>
      </c>
      <c r="B368" s="11">
        <f>'More accurate Energy (Solar)'!B375</f>
        <v>1.0416666666666667</v>
      </c>
      <c r="C368" s="404">
        <f t="shared" si="31"/>
        <v>1041.6666666666667</v>
      </c>
      <c r="D368" s="404">
        <f t="shared" si="32"/>
        <v>208.33333333333334</v>
      </c>
      <c r="E368" s="404">
        <f t="shared" si="34"/>
        <v>2519.4444444444443</v>
      </c>
      <c r="F368" t="str">
        <f t="shared" si="33"/>
        <v/>
      </c>
    </row>
    <row r="369" spans="1:6">
      <c r="A369">
        <f t="shared" si="30"/>
        <v>361</v>
      </c>
      <c r="B369" s="11">
        <f>'More accurate Energy (Solar)'!B376</f>
        <v>0.1111111111111111</v>
      </c>
      <c r="C369" s="404">
        <f t="shared" si="31"/>
        <v>111.1111111111111</v>
      </c>
      <c r="D369" s="404">
        <f t="shared" si="32"/>
        <v>22.222222222222218</v>
      </c>
      <c r="E369" s="404">
        <f t="shared" si="34"/>
        <v>2541.6666666666665</v>
      </c>
      <c r="F369" t="str">
        <f t="shared" si="33"/>
        <v/>
      </c>
    </row>
    <row r="370" spans="1:6">
      <c r="A370">
        <f t="shared" si="30"/>
        <v>362</v>
      </c>
      <c r="B370" s="11">
        <f>'More accurate Energy (Solar)'!B377</f>
        <v>1.3888888888888888E-2</v>
      </c>
      <c r="C370" s="404">
        <f t="shared" si="31"/>
        <v>13.888888888888888</v>
      </c>
      <c r="D370" s="404">
        <f t="shared" si="32"/>
        <v>2.7777777777777772</v>
      </c>
      <c r="E370" s="404">
        <f t="shared" si="34"/>
        <v>2544.4444444444443</v>
      </c>
      <c r="F370" t="str">
        <f t="shared" si="33"/>
        <v/>
      </c>
    </row>
    <row r="371" spans="1:6">
      <c r="A371">
        <f t="shared" si="30"/>
        <v>363</v>
      </c>
      <c r="B371" s="11">
        <f>'More accurate Energy (Solar)'!B378</f>
        <v>0</v>
      </c>
      <c r="C371" s="404">
        <f t="shared" si="31"/>
        <v>0</v>
      </c>
      <c r="D371" s="404">
        <f t="shared" si="32"/>
        <v>0</v>
      </c>
      <c r="E371" s="404">
        <f t="shared" si="34"/>
        <v>2544.4444444444443</v>
      </c>
      <c r="F371" t="str">
        <f t="shared" si="33"/>
        <v/>
      </c>
    </row>
    <row r="372" spans="1:6">
      <c r="A372">
        <f t="shared" si="30"/>
        <v>364</v>
      </c>
      <c r="B372" s="11">
        <f>'More accurate Energy (Solar)'!B379</f>
        <v>0</v>
      </c>
      <c r="C372" s="404">
        <f t="shared" si="31"/>
        <v>0</v>
      </c>
      <c r="D372" s="404">
        <f t="shared" si="32"/>
        <v>0</v>
      </c>
      <c r="E372" s="404">
        <f t="shared" si="34"/>
        <v>2544.4444444444443</v>
      </c>
      <c r="F372" t="str">
        <f t="shared" si="33"/>
        <v/>
      </c>
    </row>
    <row r="373" spans="1:6">
      <c r="A373">
        <f t="shared" si="30"/>
        <v>365</v>
      </c>
      <c r="B373" s="11">
        <f>'More accurate Energy (Solar)'!B380</f>
        <v>0</v>
      </c>
      <c r="C373" s="404">
        <f t="shared" si="31"/>
        <v>0</v>
      </c>
      <c r="D373" s="404">
        <f t="shared" si="32"/>
        <v>0</v>
      </c>
      <c r="E373" s="404">
        <f t="shared" si="34"/>
        <v>2544.4444444444443</v>
      </c>
      <c r="F373" t="str">
        <f t="shared" si="33"/>
        <v/>
      </c>
    </row>
    <row r="374" spans="1:6">
      <c r="A374">
        <f t="shared" si="30"/>
        <v>366</v>
      </c>
      <c r="B374" s="11">
        <f>'More accurate Energy (Solar)'!B381</f>
        <v>0</v>
      </c>
      <c r="C374" s="404">
        <f t="shared" si="31"/>
        <v>0</v>
      </c>
      <c r="D374" s="404">
        <f t="shared" si="32"/>
        <v>0</v>
      </c>
      <c r="E374" s="404">
        <f t="shared" si="34"/>
        <v>2544.4444444444443</v>
      </c>
      <c r="F374" t="str">
        <f t="shared" si="33"/>
        <v/>
      </c>
    </row>
  </sheetData>
  <mergeCells count="3">
    <mergeCell ref="J1:M1"/>
    <mergeCell ref="J3:K3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C0AA-F6C3-4A93-B9C7-A12B3EF92817}">
  <dimension ref="A1:M37"/>
  <sheetViews>
    <sheetView zoomScale="88" workbookViewId="0">
      <selection activeCell="B1" sqref="B1"/>
    </sheetView>
  </sheetViews>
  <sheetFormatPr defaultRowHeight="14.45"/>
  <cols>
    <col min="1" max="1" width="22.140625" customWidth="1"/>
    <col min="2" max="2" width="11.42578125" bestFit="1" customWidth="1"/>
    <col min="3" max="3" width="21.140625" bestFit="1" customWidth="1"/>
    <col min="4" max="4" width="23.28515625" customWidth="1"/>
    <col min="5" max="5" width="22.42578125" customWidth="1"/>
    <col min="6" max="6" width="36.5703125" bestFit="1" customWidth="1"/>
    <col min="7" max="7" width="17.28515625" bestFit="1" customWidth="1"/>
    <col min="8" max="8" width="17.7109375" customWidth="1"/>
    <col min="9" max="9" width="16.7109375" customWidth="1"/>
    <col min="10" max="10" width="15.5703125" bestFit="1" customWidth="1"/>
    <col min="12" max="12" width="9.42578125" bestFit="1" customWidth="1"/>
  </cols>
  <sheetData>
    <row r="1" spans="1:13">
      <c r="A1" s="20" t="s">
        <v>376</v>
      </c>
      <c r="B1" s="301">
        <f>InputOutputData!C2</f>
        <v>63.93160407810835</v>
      </c>
      <c r="C1" s="21" t="s">
        <v>377</v>
      </c>
      <c r="E1" s="20" t="s">
        <v>378</v>
      </c>
      <c r="F1" s="301">
        <f>InputOutputData!K12</f>
        <v>-1.5100000000000001E-2</v>
      </c>
      <c r="H1" s="18" t="s">
        <v>379</v>
      </c>
      <c r="I1" s="302">
        <f>InputOutputData!C3*1000</f>
        <v>20</v>
      </c>
      <c r="J1" s="16" t="s">
        <v>287</v>
      </c>
    </row>
    <row r="2" spans="1:13">
      <c r="A2" s="22" t="s">
        <v>380</v>
      </c>
      <c r="B2" s="301">
        <f>InputOutputData!C1+1.5</f>
        <v>21.5</v>
      </c>
      <c r="C2" s="21" t="s">
        <v>377</v>
      </c>
      <c r="E2" s="20" t="s">
        <v>381</v>
      </c>
      <c r="F2" s="301">
        <f>InputOutputData!K13</f>
        <v>-0.55159999999999998</v>
      </c>
      <c r="H2" s="16" t="s">
        <v>382</v>
      </c>
      <c r="I2" s="302">
        <v>0.05</v>
      </c>
      <c r="J2" s="18" t="s">
        <v>119</v>
      </c>
    </row>
    <row r="3" spans="1:13">
      <c r="A3" s="20" t="s">
        <v>383</v>
      </c>
      <c r="B3" s="301">
        <v>1000</v>
      </c>
      <c r="C3" s="21" t="s">
        <v>249</v>
      </c>
      <c r="E3" s="20" t="s">
        <v>384</v>
      </c>
      <c r="F3" s="301">
        <f>InputOutputData!K14</f>
        <v>356.8</v>
      </c>
      <c r="H3" s="16" t="s">
        <v>385</v>
      </c>
      <c r="I3" s="302">
        <f>InputOutputData!C6</f>
        <v>8</v>
      </c>
      <c r="J3" s="18" t="s">
        <v>119</v>
      </c>
      <c r="L3" s="443" t="s">
        <v>386</v>
      </c>
      <c r="M3" s="444" t="str">
        <f>InputOutputData!P11</f>
        <v>Up</v>
      </c>
    </row>
    <row r="4" spans="1:13" ht="16.5" customHeight="1">
      <c r="A4" s="20" t="s">
        <v>255</v>
      </c>
      <c r="B4" s="301">
        <v>9.81</v>
      </c>
      <c r="C4" s="21" t="s">
        <v>256</v>
      </c>
      <c r="E4" t="s">
        <v>387</v>
      </c>
      <c r="F4" s="141" t="str">
        <f>InputOutputData!K11</f>
        <v>Pump C</v>
      </c>
      <c r="H4" s="19" t="s">
        <v>388</v>
      </c>
      <c r="I4" s="302">
        <f>InputOutputData!C16</f>
        <v>3827.2288000000003</v>
      </c>
      <c r="J4" s="18" t="s">
        <v>119</v>
      </c>
    </row>
    <row r="6" spans="1:13">
      <c r="H6" s="12" t="s">
        <v>389</v>
      </c>
      <c r="I6" s="23">
        <f>(I1/2000)^2 * PI()</f>
        <v>3.1415926535897931E-4</v>
      </c>
      <c r="J6" s="14" t="s">
        <v>390</v>
      </c>
    </row>
    <row r="8" spans="1:13">
      <c r="A8" s="25" t="s">
        <v>391</v>
      </c>
      <c r="B8" s="15" t="s">
        <v>392</v>
      </c>
      <c r="C8" s="15" t="s">
        <v>393</v>
      </c>
      <c r="D8" s="303" t="s">
        <v>394</v>
      </c>
      <c r="E8" s="14" t="s">
        <v>252</v>
      </c>
      <c r="F8" s="14" t="s">
        <v>395</v>
      </c>
      <c r="G8" s="14" t="s">
        <v>396</v>
      </c>
      <c r="H8" s="14" t="s">
        <v>51</v>
      </c>
    </row>
    <row r="9" spans="1:13">
      <c r="A9" s="17" t="s">
        <v>198</v>
      </c>
      <c r="B9" s="14" t="s">
        <v>199</v>
      </c>
      <c r="C9" s="14" t="s">
        <v>397</v>
      </c>
      <c r="D9" s="78" t="s">
        <v>397</v>
      </c>
      <c r="E9" s="14" t="s">
        <v>398</v>
      </c>
      <c r="F9" s="14" t="s">
        <v>200</v>
      </c>
      <c r="G9" s="14" t="s">
        <v>399</v>
      </c>
      <c r="H9" s="14" t="s">
        <v>200</v>
      </c>
    </row>
    <row r="10" spans="1:13">
      <c r="A10" s="13">
        <v>0</v>
      </c>
      <c r="B10" s="24">
        <f t="shared" ref="B10:B25" si="0">A10*$I$6 * 60000</f>
        <v>0</v>
      </c>
      <c r="C10" s="24">
        <f t="shared" ref="C10:C25" si="1">$F$1 * POWER(B10,2) + $F$2*(B10) + $F$3</f>
        <v>356.8</v>
      </c>
      <c r="D10" s="304">
        <f>SUM(E10:H10)/1000</f>
        <v>210.91499999999999</v>
      </c>
      <c r="E10" s="13">
        <f>$B$3*$B$4*$B$2</f>
        <v>210915</v>
      </c>
      <c r="F10" s="13">
        <f>$I$2*$B$1/($I$1/1000)*$B$3/2*(A10)^2</f>
        <v>0</v>
      </c>
      <c r="G10" s="13">
        <f>$I$3*$B$3/2*A10^2</f>
        <v>0</v>
      </c>
      <c r="H10" s="13">
        <f>IF($M$3="Down",0,$I$4*A10)</f>
        <v>0</v>
      </c>
    </row>
    <row r="11" spans="1:13">
      <c r="A11" s="13">
        <f t="shared" ref="A11:A25" si="2">A10+0.2</f>
        <v>0.2</v>
      </c>
      <c r="B11" s="24">
        <f t="shared" si="0"/>
        <v>3.7699111843077522</v>
      </c>
      <c r="C11" s="24">
        <f t="shared" si="1"/>
        <v>354.50591231263854</v>
      </c>
      <c r="D11" s="304">
        <f t="shared" ref="D11:D25" si="3">SUM(E11:H11)/1000</f>
        <v>215.03702596390542</v>
      </c>
      <c r="E11" s="13">
        <f t="shared" ref="E11:E25" si="4">$B$3*$B$4*$B$2</f>
        <v>210915</v>
      </c>
      <c r="F11" s="13">
        <f>$I$2*$B$1/($I$1/1000)*$B$3/2*(A11)^2</f>
        <v>3196.5802039054183</v>
      </c>
      <c r="G11" s="13">
        <f t="shared" ref="G11:G25" si="5">$I$3*$B$3/2*A11^2</f>
        <v>160.00000000000003</v>
      </c>
      <c r="H11" s="13">
        <f t="shared" ref="H11:H25" si="6">IF($M$3="Down",0,$I$4*A11)</f>
        <v>765.44576000000006</v>
      </c>
    </row>
    <row r="12" spans="1:13">
      <c r="A12" s="13">
        <f t="shared" si="2"/>
        <v>0.4</v>
      </c>
      <c r="B12" s="24">
        <f t="shared" si="0"/>
        <v>7.5398223686155044</v>
      </c>
      <c r="C12" s="24">
        <f t="shared" si="1"/>
        <v>351.78261526908256</v>
      </c>
      <c r="D12" s="304">
        <f t="shared" si="3"/>
        <v>225.87221233562167</v>
      </c>
      <c r="E12" s="13">
        <f t="shared" si="4"/>
        <v>210915</v>
      </c>
      <c r="F12" s="13">
        <f t="shared" ref="F12:F25" si="7">$I$2*$B$1/($I$1/1000)*$B$3/2*(A12)^2</f>
        <v>12786.320815621673</v>
      </c>
      <c r="G12" s="13">
        <f t="shared" si="5"/>
        <v>640.00000000000011</v>
      </c>
      <c r="H12" s="13">
        <f t="shared" si="6"/>
        <v>1530.8915200000001</v>
      </c>
    </row>
    <row r="13" spans="1:13">
      <c r="A13" s="13">
        <f t="shared" si="2"/>
        <v>0.60000000000000009</v>
      </c>
      <c r="B13" s="24">
        <f t="shared" si="0"/>
        <v>11.309733552923257</v>
      </c>
      <c r="C13" s="24">
        <f t="shared" si="1"/>
        <v>348.63010886933193</v>
      </c>
      <c r="D13" s="304">
        <f t="shared" si="3"/>
        <v>243.42055911514876</v>
      </c>
      <c r="E13" s="13">
        <f t="shared" si="4"/>
        <v>210915</v>
      </c>
      <c r="F13" s="13">
        <f t="shared" si="7"/>
        <v>28769.221835148765</v>
      </c>
      <c r="G13" s="13">
        <f t="shared" si="5"/>
        <v>1440.0000000000005</v>
      </c>
      <c r="H13" s="13">
        <f t="shared" si="6"/>
        <v>2296.3372800000006</v>
      </c>
    </row>
    <row r="14" spans="1:13">
      <c r="A14" s="13">
        <f t="shared" si="2"/>
        <v>0.8</v>
      </c>
      <c r="B14" s="24">
        <f t="shared" si="0"/>
        <v>15.079644737231009</v>
      </c>
      <c r="C14" s="24">
        <f t="shared" si="1"/>
        <v>345.04839311338679</v>
      </c>
      <c r="D14" s="304">
        <f t="shared" si="3"/>
        <v>267.6820663024867</v>
      </c>
      <c r="E14" s="13">
        <f t="shared" si="4"/>
        <v>210915</v>
      </c>
      <c r="F14" s="13">
        <f t="shared" si="7"/>
        <v>51145.283262486693</v>
      </c>
      <c r="G14" s="13">
        <f t="shared" si="5"/>
        <v>2560.0000000000005</v>
      </c>
      <c r="H14" s="13">
        <f t="shared" si="6"/>
        <v>3061.7830400000003</v>
      </c>
    </row>
    <row r="15" spans="1:13">
      <c r="A15" s="13">
        <f t="shared" si="2"/>
        <v>1</v>
      </c>
      <c r="B15" s="24">
        <f t="shared" si="0"/>
        <v>18.849555921538759</v>
      </c>
      <c r="C15" s="24">
        <f t="shared" si="1"/>
        <v>341.03746800124708</v>
      </c>
      <c r="D15" s="304">
        <f t="shared" si="3"/>
        <v>298.65673389763543</v>
      </c>
      <c r="E15" s="13">
        <f t="shared" si="4"/>
        <v>210915</v>
      </c>
      <c r="F15" s="13">
        <f t="shared" si="7"/>
        <v>79914.50509763544</v>
      </c>
      <c r="G15" s="13">
        <f t="shared" si="5"/>
        <v>4000</v>
      </c>
      <c r="H15" s="13">
        <f t="shared" si="6"/>
        <v>3827.2288000000003</v>
      </c>
    </row>
    <row r="16" spans="1:13">
      <c r="A16" s="13">
        <f t="shared" si="2"/>
        <v>1.2</v>
      </c>
      <c r="B16" s="24">
        <f t="shared" si="0"/>
        <v>22.619467105846507</v>
      </c>
      <c r="C16" s="24">
        <f t="shared" si="1"/>
        <v>336.59733353291273</v>
      </c>
      <c r="D16" s="304">
        <f t="shared" si="3"/>
        <v>336.34456190059501</v>
      </c>
      <c r="E16" s="13">
        <f t="shared" si="4"/>
        <v>210915</v>
      </c>
      <c r="F16" s="13">
        <f t="shared" si="7"/>
        <v>115076.88734059503</v>
      </c>
      <c r="G16" s="13">
        <f t="shared" si="5"/>
        <v>5760</v>
      </c>
      <c r="H16" s="13">
        <f t="shared" si="6"/>
        <v>4592.6745600000004</v>
      </c>
    </row>
    <row r="17" spans="1:8">
      <c r="A17" s="13">
        <f t="shared" si="2"/>
        <v>1.4</v>
      </c>
      <c r="B17" s="24">
        <f t="shared" si="0"/>
        <v>26.389378290154262</v>
      </c>
      <c r="C17" s="24">
        <f t="shared" si="1"/>
        <v>331.72798970838386</v>
      </c>
      <c r="D17" s="304">
        <f t="shared" si="3"/>
        <v>380.74555031136538</v>
      </c>
      <c r="E17" s="13">
        <f t="shared" si="4"/>
        <v>210915</v>
      </c>
      <c r="F17" s="13">
        <f t="shared" si="7"/>
        <v>156632.42999136544</v>
      </c>
      <c r="G17" s="13">
        <f t="shared" si="5"/>
        <v>7839.9999999999991</v>
      </c>
      <c r="H17" s="13">
        <f t="shared" si="6"/>
        <v>5358.12032</v>
      </c>
    </row>
    <row r="18" spans="1:8">
      <c r="A18" s="13">
        <f t="shared" si="2"/>
        <v>1.5999999999999999</v>
      </c>
      <c r="B18" s="24">
        <f t="shared" si="0"/>
        <v>30.15928947446201</v>
      </c>
      <c r="C18" s="24">
        <f t="shared" si="1"/>
        <v>326.42943652766041</v>
      </c>
      <c r="D18" s="304">
        <f t="shared" si="3"/>
        <v>431.8596991299467</v>
      </c>
      <c r="E18" s="13">
        <f t="shared" si="4"/>
        <v>210915</v>
      </c>
      <c r="F18" s="13">
        <f t="shared" si="7"/>
        <v>204581.13304994669</v>
      </c>
      <c r="G18" s="13">
        <f t="shared" si="5"/>
        <v>10239.999999999998</v>
      </c>
      <c r="H18" s="13">
        <f t="shared" si="6"/>
        <v>6123.5660799999996</v>
      </c>
    </row>
    <row r="19" spans="1:8">
      <c r="A19" s="13">
        <f t="shared" si="2"/>
        <v>1.7999999999999998</v>
      </c>
      <c r="B19" s="24">
        <f t="shared" si="0"/>
        <v>33.929200658769766</v>
      </c>
      <c r="C19" s="24">
        <f t="shared" si="1"/>
        <v>320.70167399074239</v>
      </c>
      <c r="D19" s="304">
        <f t="shared" si="3"/>
        <v>489.68700835633877</v>
      </c>
      <c r="E19" s="13">
        <f t="shared" si="4"/>
        <v>210915</v>
      </c>
      <c r="F19" s="13">
        <f t="shared" si="7"/>
        <v>258922.99651633878</v>
      </c>
      <c r="G19" s="13">
        <f t="shared" si="5"/>
        <v>12959.999999999998</v>
      </c>
      <c r="H19" s="13">
        <f t="shared" si="6"/>
        <v>6889.0118400000001</v>
      </c>
    </row>
    <row r="20" spans="1:8">
      <c r="A20" s="13">
        <f t="shared" si="2"/>
        <v>1.9999999999999998</v>
      </c>
      <c r="B20" s="24">
        <f t="shared" si="0"/>
        <v>37.69911184307751</v>
      </c>
      <c r="C20" s="24">
        <f t="shared" si="1"/>
        <v>314.54470209762974</v>
      </c>
      <c r="D20" s="304">
        <f t="shared" si="3"/>
        <v>554.22747799054173</v>
      </c>
      <c r="E20" s="13">
        <f t="shared" si="4"/>
        <v>210915</v>
      </c>
      <c r="F20" s="13">
        <f t="shared" si="7"/>
        <v>319658.0203905417</v>
      </c>
      <c r="G20" s="13">
        <f t="shared" si="5"/>
        <v>15999.999999999996</v>
      </c>
      <c r="H20" s="13">
        <f t="shared" si="6"/>
        <v>7654.4575999999997</v>
      </c>
    </row>
    <row r="21" spans="1:8">
      <c r="A21" s="13">
        <f t="shared" si="2"/>
        <v>2.1999999999999997</v>
      </c>
      <c r="B21" s="24">
        <f t="shared" si="0"/>
        <v>41.469023027385262</v>
      </c>
      <c r="C21" s="24">
        <f t="shared" si="1"/>
        <v>307.95852084832256</v>
      </c>
      <c r="D21" s="304">
        <f t="shared" si="3"/>
        <v>625.48110803255543</v>
      </c>
      <c r="E21" s="13">
        <f t="shared" si="4"/>
        <v>210915</v>
      </c>
      <c r="F21" s="13">
        <f t="shared" si="7"/>
        <v>386786.20467255544</v>
      </c>
      <c r="G21" s="13">
        <f t="shared" si="5"/>
        <v>19359.999999999996</v>
      </c>
      <c r="H21" s="13">
        <f t="shared" si="6"/>
        <v>8419.9033600000002</v>
      </c>
    </row>
    <row r="22" spans="1:8">
      <c r="A22" s="13">
        <f t="shared" si="2"/>
        <v>2.4</v>
      </c>
      <c r="B22" s="24">
        <f t="shared" si="0"/>
        <v>45.238934211693014</v>
      </c>
      <c r="C22" s="24">
        <f t="shared" si="1"/>
        <v>300.94313024282081</v>
      </c>
      <c r="D22" s="304">
        <f t="shared" si="3"/>
        <v>703.44789848238008</v>
      </c>
      <c r="E22" s="13">
        <f t="shared" si="4"/>
        <v>210915</v>
      </c>
      <c r="F22" s="13">
        <f t="shared" si="7"/>
        <v>460307.54936238012</v>
      </c>
      <c r="G22" s="13">
        <f t="shared" si="5"/>
        <v>23040</v>
      </c>
      <c r="H22" s="13">
        <f t="shared" si="6"/>
        <v>9185.3491200000008</v>
      </c>
    </row>
    <row r="23" spans="1:8">
      <c r="A23" s="13">
        <f t="shared" si="2"/>
        <v>2.6</v>
      </c>
      <c r="B23" s="24">
        <f t="shared" si="0"/>
        <v>49.008845396000773</v>
      </c>
      <c r="C23" s="24">
        <f t="shared" si="1"/>
        <v>293.49853028112449</v>
      </c>
      <c r="D23" s="304">
        <f t="shared" si="3"/>
        <v>788.12784934001559</v>
      </c>
      <c r="E23" s="13">
        <f t="shared" si="4"/>
        <v>210915</v>
      </c>
      <c r="F23" s="13">
        <f t="shared" si="7"/>
        <v>540222.05446001561</v>
      </c>
      <c r="G23" s="13">
        <f t="shared" si="5"/>
        <v>27040.000000000004</v>
      </c>
      <c r="H23" s="13">
        <f t="shared" si="6"/>
        <v>9950.7948800000013</v>
      </c>
    </row>
    <row r="24" spans="1:8">
      <c r="A24" s="13">
        <f t="shared" si="2"/>
        <v>2.8000000000000003</v>
      </c>
      <c r="B24" s="24">
        <f t="shared" si="0"/>
        <v>52.778756580308531</v>
      </c>
      <c r="C24" s="24">
        <f t="shared" si="1"/>
        <v>285.62472096323359</v>
      </c>
      <c r="D24" s="304">
        <f t="shared" si="3"/>
        <v>879.52096060546194</v>
      </c>
      <c r="E24" s="13">
        <f t="shared" si="4"/>
        <v>210915</v>
      </c>
      <c r="F24" s="13">
        <f t="shared" si="7"/>
        <v>626529.71996546199</v>
      </c>
      <c r="G24" s="13">
        <f t="shared" si="5"/>
        <v>31360.000000000007</v>
      </c>
      <c r="H24" s="13">
        <f t="shared" si="6"/>
        <v>10716.240640000002</v>
      </c>
    </row>
    <row r="25" spans="1:8">
      <c r="A25" s="13">
        <f t="shared" si="2"/>
        <v>3.0000000000000004</v>
      </c>
      <c r="B25" s="24">
        <f t="shared" si="0"/>
        <v>56.548667764616283</v>
      </c>
      <c r="C25" s="24">
        <f t="shared" si="1"/>
        <v>277.32170228914811</v>
      </c>
      <c r="D25" s="304">
        <f t="shared" si="3"/>
        <v>977.62723227871925</v>
      </c>
      <c r="E25" s="13">
        <f t="shared" si="4"/>
        <v>210915</v>
      </c>
      <c r="F25" s="13">
        <f t="shared" si="7"/>
        <v>719230.54587871919</v>
      </c>
      <c r="G25" s="13">
        <f t="shared" si="5"/>
        <v>36000.000000000015</v>
      </c>
      <c r="H25" s="13">
        <f t="shared" si="6"/>
        <v>11481.686400000002</v>
      </c>
    </row>
    <row r="28" spans="1:8">
      <c r="C28" s="305" t="s">
        <v>400</v>
      </c>
      <c r="D28" s="308">
        <f>F1*(F37^2)+F2*(F37)+F3</f>
        <v>336.57159174692282</v>
      </c>
      <c r="E28" s="186" t="s">
        <v>189</v>
      </c>
      <c r="F28" s="186"/>
      <c r="G28" s="187"/>
    </row>
    <row r="29" spans="1:8">
      <c r="C29" s="306" t="s">
        <v>401</v>
      </c>
      <c r="D29" s="307">
        <f>F37</f>
        <v>22.640310275184795</v>
      </c>
      <c r="E29" s="35" t="s">
        <v>23</v>
      </c>
      <c r="F29" s="184">
        <f>$F$1-((($I$2*$B$1/($I$1/1000)*$B$3/2)/1000+(($I$3*$B$3)/2)/1000)*(1/($I$6*60000)^2))</f>
        <v>-0.25127547170148357</v>
      </c>
      <c r="G29" s="176"/>
    </row>
    <row r="30" spans="1:8">
      <c r="E30" s="170" t="s">
        <v>72</v>
      </c>
      <c r="F30" s="35">
        <f>IF($M$3="Down",$F$2,$F$2-I4/1000*(1/(I6*60000)))</f>
        <v>-0.7546407939545543</v>
      </c>
      <c r="G30" s="176"/>
    </row>
    <row r="31" spans="1:8">
      <c r="E31" s="170" t="s">
        <v>45</v>
      </c>
      <c r="F31" s="35">
        <f>F3-D10</f>
        <v>145.88500000000002</v>
      </c>
      <c r="G31" s="176"/>
    </row>
    <row r="32" spans="1:8">
      <c r="E32" s="170"/>
      <c r="F32" s="35"/>
      <c r="G32" s="176"/>
    </row>
    <row r="33" spans="5:7">
      <c r="E33" s="170" t="s">
        <v>402</v>
      </c>
      <c r="F33" s="35">
        <f>(-F30+SQRT(F30^2-4*F29*F31))/(2*F29)</f>
        <v>-25.643551255470651</v>
      </c>
      <c r="G33" s="176" t="s">
        <v>105</v>
      </c>
    </row>
    <row r="34" spans="5:7">
      <c r="E34" s="170" t="s">
        <v>403</v>
      </c>
      <c r="F34" s="35">
        <f>(-F30-SQRT(F30^2-4*F29*F31))/(2*F29)</f>
        <v>22.640310275184795</v>
      </c>
      <c r="G34" s="176" t="s">
        <v>105</v>
      </c>
    </row>
    <row r="35" spans="5:7">
      <c r="E35" s="170"/>
      <c r="F35" s="35"/>
      <c r="G35" s="176"/>
    </row>
    <row r="36" spans="5:7">
      <c r="E36" s="170" t="s">
        <v>193</v>
      </c>
      <c r="F36" s="270"/>
      <c r="G36" s="176" t="s">
        <v>191</v>
      </c>
    </row>
    <row r="37" spans="5:7">
      <c r="E37" s="171" t="s">
        <v>194</v>
      </c>
      <c r="F37" s="271">
        <f>IF(F33&gt;F34,F33,F34)</f>
        <v>22.640310275184795</v>
      </c>
      <c r="G37" s="269" t="s">
        <v>105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5101-E918-41CC-93DC-1C8F5C330182}">
  <dimension ref="A1:Q28"/>
  <sheetViews>
    <sheetView topLeftCell="A12" workbookViewId="0">
      <selection activeCell="J24" sqref="J24"/>
    </sheetView>
  </sheetViews>
  <sheetFormatPr defaultRowHeight="14.45"/>
  <cols>
    <col min="1" max="1" width="17.7109375" customWidth="1"/>
    <col min="2" max="2" width="25.5703125" customWidth="1"/>
    <col min="3" max="9" width="17.7109375" customWidth="1"/>
    <col min="10" max="10" width="18.85546875" customWidth="1"/>
    <col min="11" max="11" width="30.85546875" bestFit="1" customWidth="1"/>
    <col min="12" max="13" width="12.5703125" customWidth="1"/>
    <col min="14" max="14" width="14.7109375" bestFit="1" customWidth="1"/>
    <col min="15" max="15" width="18.5703125" bestFit="1" customWidth="1"/>
    <col min="16" max="17" width="16.140625" bestFit="1" customWidth="1"/>
  </cols>
  <sheetData>
    <row r="1" spans="1:17">
      <c r="B1" s="549" t="s">
        <v>404</v>
      </c>
      <c r="C1" s="549"/>
      <c r="D1" s="549"/>
      <c r="F1" s="550" t="s">
        <v>405</v>
      </c>
      <c r="G1" s="550"/>
      <c r="H1" s="550"/>
      <c r="K1" s="551" t="s">
        <v>406</v>
      </c>
      <c r="L1" s="551"/>
      <c r="M1" s="551"/>
    </row>
    <row r="2" spans="1:17">
      <c r="B2" s="58" t="s">
        <v>407</v>
      </c>
      <c r="C2" s="52">
        <v>1</v>
      </c>
      <c r="D2" s="52" t="s">
        <v>408</v>
      </c>
      <c r="F2" s="61" t="s">
        <v>409</v>
      </c>
      <c r="G2" s="57">
        <v>15040</v>
      </c>
      <c r="H2" s="57" t="s">
        <v>202</v>
      </c>
      <c r="K2" s="65" t="s">
        <v>410</v>
      </c>
      <c r="L2" s="65">
        <v>1.22</v>
      </c>
      <c r="M2" s="65" t="s">
        <v>377</v>
      </c>
    </row>
    <row r="3" spans="1:17">
      <c r="B3" s="60" t="s">
        <v>411</v>
      </c>
      <c r="C3" s="59">
        <f>PI() * ($C$2/100)^2 / 4</f>
        <v>7.8539816339744827E-5</v>
      </c>
      <c r="D3" s="52" t="s">
        <v>390</v>
      </c>
      <c r="K3" s="65" t="s">
        <v>412</v>
      </c>
      <c r="L3" s="65">
        <v>2.19</v>
      </c>
      <c r="M3" s="65" t="s">
        <v>269</v>
      </c>
    </row>
    <row r="4" spans="1:17">
      <c r="B4" s="58" t="s">
        <v>413</v>
      </c>
      <c r="C4" s="52">
        <v>1000</v>
      </c>
      <c r="D4" s="52" t="s">
        <v>249</v>
      </c>
    </row>
    <row r="5" spans="1:17">
      <c r="B5" s="58" t="s">
        <v>414</v>
      </c>
      <c r="C5" s="52">
        <v>9.81</v>
      </c>
      <c r="D5" s="52" t="s">
        <v>256</v>
      </c>
    </row>
    <row r="6" spans="1:17">
      <c r="B6" s="58" t="s">
        <v>415</v>
      </c>
      <c r="C6" s="52">
        <v>2.6640000000000001</v>
      </c>
      <c r="D6" s="52" t="s">
        <v>377</v>
      </c>
    </row>
    <row r="8" spans="1:17">
      <c r="A8" s="8" t="s">
        <v>124</v>
      </c>
      <c r="B8" s="51" t="s">
        <v>416</v>
      </c>
      <c r="C8" s="51" t="s">
        <v>417</v>
      </c>
      <c r="D8" s="8" t="s">
        <v>418</v>
      </c>
      <c r="E8" s="8" t="s">
        <v>419</v>
      </c>
      <c r="F8" s="51" t="s">
        <v>420</v>
      </c>
      <c r="G8" s="51" t="s">
        <v>421</v>
      </c>
      <c r="H8" s="8" t="s">
        <v>422</v>
      </c>
      <c r="I8" s="8" t="s">
        <v>423</v>
      </c>
      <c r="K8" t="s">
        <v>37</v>
      </c>
      <c r="L8" t="s">
        <v>11</v>
      </c>
      <c r="M8" t="s">
        <v>421</v>
      </c>
      <c r="N8" t="s">
        <v>422</v>
      </c>
      <c r="O8" t="s">
        <v>138</v>
      </c>
      <c r="P8" t="s">
        <v>424</v>
      </c>
      <c r="Q8" t="s">
        <v>425</v>
      </c>
    </row>
    <row r="9" spans="1:17">
      <c r="A9" s="8"/>
      <c r="B9" s="8" t="s">
        <v>377</v>
      </c>
      <c r="C9" s="8" t="s">
        <v>377</v>
      </c>
      <c r="D9" s="8" t="s">
        <v>377</v>
      </c>
      <c r="E9" s="8" t="s">
        <v>200</v>
      </c>
      <c r="F9" s="8" t="s">
        <v>426</v>
      </c>
      <c r="G9" s="8" t="s">
        <v>427</v>
      </c>
      <c r="H9" s="8" t="s">
        <v>288</v>
      </c>
      <c r="I9" s="8" t="s">
        <v>198</v>
      </c>
      <c r="K9" s="8" t="s">
        <v>377</v>
      </c>
      <c r="L9" s="8" t="s">
        <v>426</v>
      </c>
      <c r="M9" s="8" t="s">
        <v>427</v>
      </c>
      <c r="N9" s="8" t="s">
        <v>288</v>
      </c>
      <c r="O9" s="72" t="s">
        <v>291</v>
      </c>
      <c r="P9" s="72" t="s">
        <v>377</v>
      </c>
      <c r="Q9" s="72" t="s">
        <v>377</v>
      </c>
    </row>
    <row r="10" spans="1:17">
      <c r="A10">
        <v>1</v>
      </c>
      <c r="B10" s="9">
        <v>0</v>
      </c>
      <c r="C10" s="9">
        <v>0.3</v>
      </c>
      <c r="D10" s="9">
        <f>C10-B10</f>
        <v>0.3</v>
      </c>
      <c r="E10">
        <f>$C$4*$C$5*D10</f>
        <v>2943</v>
      </c>
      <c r="F10" s="9">
        <v>100</v>
      </c>
      <c r="G10">
        <v>17.03</v>
      </c>
      <c r="H10" s="63">
        <f>F10/G10*0.06</f>
        <v>0.35231943628890189</v>
      </c>
      <c r="I10" s="63">
        <f xml:space="preserve"> H10 / (60000 * $C$3)</f>
        <v>7.476450644363844E-2</v>
      </c>
      <c r="K10">
        <v>0</v>
      </c>
      <c r="L10" s="9">
        <v>200</v>
      </c>
      <c r="M10" s="9">
        <v>14.66</v>
      </c>
      <c r="N10" s="9">
        <f xml:space="preserve"> L10/M10 * 0.06</f>
        <v>0.81855388813096863</v>
      </c>
      <c r="O10">
        <f>($C$4*$C$5*L10*Q10)/(M10*1000)</f>
        <v>2.6766712141882674</v>
      </c>
      <c r="P10">
        <v>0.02</v>
      </c>
      <c r="Q10">
        <f>P10-K10</f>
        <v>0.02</v>
      </c>
    </row>
    <row r="11" spans="1:17">
      <c r="A11">
        <v>2</v>
      </c>
      <c r="B11" s="9">
        <v>0</v>
      </c>
      <c r="C11" s="9">
        <v>0.4</v>
      </c>
      <c r="D11" s="9">
        <f>C11-B11</f>
        <v>0.4</v>
      </c>
      <c r="E11">
        <f t="shared" ref="E11:E13" si="0">$C$4*$C$5*D11</f>
        <v>3924</v>
      </c>
      <c r="F11" s="9">
        <v>100</v>
      </c>
      <c r="G11" s="9">
        <v>14.02</v>
      </c>
      <c r="H11" s="63">
        <f t="shared" ref="H11:H13" si="1">F11/G11*0.06</f>
        <v>0.42796005706134094</v>
      </c>
      <c r="I11" s="63">
        <f>4 / (PI()*($C$2/100)^2) * H11 / 60000</f>
        <v>9.0815944702935997E-2</v>
      </c>
      <c r="K11" t="s">
        <v>428</v>
      </c>
      <c r="L11" s="9">
        <v>200</v>
      </c>
      <c r="M11" s="9">
        <v>18.18</v>
      </c>
      <c r="N11" s="9">
        <f xml:space="preserve"> L11/M11 * 0.06</f>
        <v>0.66006600660065995</v>
      </c>
      <c r="O11" t="e">
        <f>($C$4*$C$5*L11*Q11)/(M11*1000)</f>
        <v>#VALUE!</v>
      </c>
      <c r="P11">
        <v>0.02</v>
      </c>
      <c r="Q11" t="e">
        <f>P11-K11</f>
        <v>#VALUE!</v>
      </c>
    </row>
    <row r="12" spans="1:17">
      <c r="A12">
        <v>3</v>
      </c>
      <c r="B12" s="9">
        <v>0</v>
      </c>
      <c r="C12" s="9">
        <v>0.5</v>
      </c>
      <c r="D12" s="9">
        <f>C12-B12</f>
        <v>0.5</v>
      </c>
      <c r="E12">
        <f t="shared" si="0"/>
        <v>4905</v>
      </c>
      <c r="F12" s="9">
        <v>100</v>
      </c>
      <c r="G12" s="9">
        <v>12.07</v>
      </c>
      <c r="H12" s="63">
        <f t="shared" si="1"/>
        <v>0.49710024855012425</v>
      </c>
      <c r="I12" s="63">
        <f>4 / (PI()*($C$2/100)^2) * H12 / 60000</f>
        <v>0.10548794902528273</v>
      </c>
    </row>
    <row r="13" spans="1:17">
      <c r="A13">
        <v>4</v>
      </c>
      <c r="B13" s="9">
        <v>0</v>
      </c>
      <c r="C13" s="9">
        <v>0.9</v>
      </c>
      <c r="D13" s="9">
        <f>C13-B13</f>
        <v>0.9</v>
      </c>
      <c r="E13">
        <f t="shared" si="0"/>
        <v>8829</v>
      </c>
      <c r="F13" s="9">
        <v>200</v>
      </c>
      <c r="G13" s="9">
        <v>17.7</v>
      </c>
      <c r="H13" s="63">
        <f t="shared" si="1"/>
        <v>0.67796610169491522</v>
      </c>
      <c r="I13" s="63">
        <f>4 / (PI()*($C$2/100)^2) * H13 / 60000</f>
        <v>0.14386887511131782</v>
      </c>
    </row>
    <row r="14" spans="1:17">
      <c r="A14">
        <v>5</v>
      </c>
      <c r="B14" s="9">
        <v>0</v>
      </c>
      <c r="C14" s="9">
        <v>1</v>
      </c>
      <c r="D14" s="9">
        <f>C14-B14</f>
        <v>1</v>
      </c>
      <c r="E14">
        <f>$C$4*$C$5*D14</f>
        <v>9810</v>
      </c>
      <c r="F14" s="9">
        <v>200</v>
      </c>
      <c r="G14" s="9">
        <v>16.309999999999999</v>
      </c>
      <c r="H14" s="63">
        <f>F14/G14*0.06</f>
        <v>0.73574494175352545</v>
      </c>
      <c r="I14" s="63">
        <f>4 / (PI()*($C$2/100)^2) * H14 / 60000</f>
        <v>0.15612992577990958</v>
      </c>
    </row>
    <row r="21" spans="1:2">
      <c r="A21" s="522" t="s">
        <v>429</v>
      </c>
      <c r="B21" s="522"/>
    </row>
    <row r="22" spans="1:2">
      <c r="A22" s="35" t="s">
        <v>430</v>
      </c>
      <c r="B22" s="35" t="s">
        <v>431</v>
      </c>
    </row>
    <row r="23" spans="1:2">
      <c r="A23" s="9">
        <f>H10 / (60000 * $C$3)</f>
        <v>7.476450644363844E-2</v>
      </c>
      <c r="B23">
        <f>$C$4*$C$5*D10</f>
        <v>2943</v>
      </c>
    </row>
    <row r="24" spans="1:2">
      <c r="A24" s="9">
        <f>H11 / (60000 * $C$3)</f>
        <v>9.0815944702935997E-2</v>
      </c>
      <c r="B24">
        <f>$C$4*$C$5*D11</f>
        <v>3924</v>
      </c>
    </row>
    <row r="25" spans="1:2">
      <c r="A25" s="9">
        <f>H12 / (60000 * $C$3)</f>
        <v>0.10548794902528275</v>
      </c>
      <c r="B25">
        <f>$C$4*$C$5*D12</f>
        <v>4905</v>
      </c>
    </row>
    <row r="26" spans="1:2">
      <c r="A26" s="9">
        <f>H13 / (60000 * $C$3)</f>
        <v>0.14386887511131782</v>
      </c>
      <c r="B26">
        <f>$C$4*$C$5*D13</f>
        <v>8829</v>
      </c>
    </row>
    <row r="27" spans="1:2">
      <c r="A27" s="9">
        <f>H14 / (60000 * $C$3)</f>
        <v>0.15612992577990958</v>
      </c>
      <c r="B27">
        <f>$C$4*$C$5*D14</f>
        <v>9810</v>
      </c>
    </row>
    <row r="28" spans="1:2">
      <c r="A28" s="62"/>
    </row>
  </sheetData>
  <mergeCells count="4">
    <mergeCell ref="B1:D1"/>
    <mergeCell ref="F1:H1"/>
    <mergeCell ref="K1:M1"/>
    <mergeCell ref="A21:B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5BDC-577F-4AEC-A0BD-FF8B809CF57E}">
  <dimension ref="A1:W386"/>
  <sheetViews>
    <sheetView zoomScale="89" zoomScaleNormal="76" workbookViewId="0">
      <selection activeCell="K22" sqref="K22"/>
    </sheetView>
  </sheetViews>
  <sheetFormatPr defaultRowHeight="14.45"/>
  <cols>
    <col min="2" max="2" width="10.42578125" bestFit="1" customWidth="1"/>
    <col min="4" max="4" width="16.7109375" bestFit="1" customWidth="1"/>
    <col min="5" max="5" width="19.28515625" bestFit="1" customWidth="1"/>
    <col min="6" max="6" width="16.5703125" bestFit="1" customWidth="1"/>
    <col min="7" max="7" width="9.85546875" customWidth="1"/>
    <col min="8" max="8" width="16.5703125" customWidth="1"/>
    <col min="9" max="9" width="15.28515625" customWidth="1"/>
    <col min="10" max="10" width="11.42578125" customWidth="1"/>
    <col min="11" max="11" width="12.7109375" bestFit="1" customWidth="1"/>
    <col min="12" max="12" width="19.140625" bestFit="1" customWidth="1"/>
    <col min="13" max="13" width="11.140625" bestFit="1" customWidth="1"/>
    <col min="15" max="15" width="13.5703125" customWidth="1"/>
    <col min="16" max="16" width="14" customWidth="1"/>
    <col min="18" max="18" width="11" customWidth="1"/>
    <col min="19" max="19" width="18" customWidth="1"/>
    <col min="22" max="22" width="17.28515625" bestFit="1" customWidth="1"/>
  </cols>
  <sheetData>
    <row r="1" spans="1:13">
      <c r="A1" s="362"/>
      <c r="B1" s="363" t="str">
        <f>InputOutputData!I25</f>
        <v>Solar</v>
      </c>
      <c r="C1" s="364"/>
      <c r="G1" t="s">
        <v>154</v>
      </c>
      <c r="H1">
        <v>300</v>
      </c>
      <c r="I1" t="s">
        <v>155</v>
      </c>
      <c r="L1" s="512" t="s">
        <v>156</v>
      </c>
      <c r="M1" s="513"/>
    </row>
    <row r="2" spans="1:13">
      <c r="A2" s="365" t="str">
        <f>InputOutputData!H26</f>
        <v>Type</v>
      </c>
      <c r="B2" s="369" t="str">
        <f>InputOutputData!I26</f>
        <v>HES-260</v>
      </c>
      <c r="C2" s="366"/>
      <c r="L2" s="344" t="s">
        <v>157</v>
      </c>
      <c r="M2" s="348" t="s">
        <v>158</v>
      </c>
    </row>
    <row r="3" spans="1:13">
      <c r="A3" s="365" t="str">
        <f>InputOutputData!H27</f>
        <v>Area</v>
      </c>
      <c r="B3" s="369">
        <f>InputOutputData!I27</f>
        <v>1.6</v>
      </c>
      <c r="C3" s="366" t="str">
        <f>InputOutputData!J27</f>
        <v>m^2</v>
      </c>
      <c r="E3" s="362" t="str">
        <f>InputOutputData!N25</f>
        <v>Batteries</v>
      </c>
      <c r="F3" s="379">
        <f>InputOutputData!O25</f>
        <v>3</v>
      </c>
      <c r="G3" s="364" t="str">
        <f>InputOutputData!P25</f>
        <v>#</v>
      </c>
      <c r="L3" s="344" t="s">
        <v>159</v>
      </c>
      <c r="M3" s="348" t="s">
        <v>160</v>
      </c>
    </row>
    <row r="4" spans="1:13">
      <c r="A4" s="365" t="str">
        <f>InputOutputData!H28</f>
        <v>Initial Cost</v>
      </c>
      <c r="B4" s="369">
        <f>InputOutputData!I28</f>
        <v>550</v>
      </c>
      <c r="C4" s="366" t="str">
        <f>InputOutputData!J28</f>
        <v>$</v>
      </c>
      <c r="E4" s="365" t="str">
        <f>InputOutputData!N26</f>
        <v>Efficiency in</v>
      </c>
      <c r="F4" s="369">
        <f>InputOutputData!O26</f>
        <v>0.96</v>
      </c>
      <c r="G4" s="366"/>
      <c r="L4" s="344" t="s">
        <v>161</v>
      </c>
      <c r="M4" s="348">
        <v>8.5</v>
      </c>
    </row>
    <row r="5" spans="1:13">
      <c r="A5" s="365" t="str">
        <f>InputOutputData!H29</f>
        <v>Efficiency</v>
      </c>
      <c r="B5" s="369">
        <f>InputOutputData!I29</f>
        <v>0.17</v>
      </c>
      <c r="C5" s="366"/>
      <c r="E5" s="365" t="str">
        <f>InputOutputData!N27</f>
        <v>Efficiency out</v>
      </c>
      <c r="F5" s="369">
        <f>InputOutputData!O27</f>
        <v>0.96</v>
      </c>
      <c r="G5" s="366"/>
      <c r="L5" s="344" t="s">
        <v>162</v>
      </c>
      <c r="M5" s="348">
        <v>10</v>
      </c>
    </row>
    <row r="6" spans="1:13">
      <c r="A6" s="365" t="str">
        <f>InputOutputData!H30</f>
        <v>GHG</v>
      </c>
      <c r="B6" s="369">
        <f>InputOutputData!I30</f>
        <v>496</v>
      </c>
      <c r="C6" s="366" t="str">
        <f>InputOutputData!J30</f>
        <v>kgCO2e</v>
      </c>
      <c r="E6" s="367" t="str">
        <f>InputOutputData!N28</f>
        <v>Energy Storage</v>
      </c>
      <c r="F6" s="370">
        <f>InputOutputData!O28</f>
        <v>2000</v>
      </c>
      <c r="G6" s="368" t="str">
        <f>InputOutputData!P28</f>
        <v>Wh</v>
      </c>
      <c r="L6" s="344" t="s">
        <v>163</v>
      </c>
      <c r="M6" s="348">
        <v>11.8</v>
      </c>
    </row>
    <row r="7" spans="1:13">
      <c r="A7" s="365" t="str">
        <f>InputOutputData!H31</f>
        <v>Maintenance</v>
      </c>
      <c r="B7" s="369">
        <f>InputOutputData!I31</f>
        <v>4</v>
      </c>
      <c r="C7" s="366" t="str">
        <f>InputOutputData!J31</f>
        <v>#times</v>
      </c>
      <c r="L7" s="344" t="s">
        <v>164</v>
      </c>
      <c r="M7" s="348">
        <v>13.6</v>
      </c>
    </row>
    <row r="8" spans="1:13">
      <c r="A8" s="367" t="str">
        <f>InputOutputData!H32</f>
        <v>Quantity</v>
      </c>
      <c r="B8" s="370">
        <f>InputOutputData!I32</f>
        <v>4</v>
      </c>
      <c r="C8" s="368" t="str">
        <f>InputOutputData!J32</f>
        <v>#</v>
      </c>
      <c r="L8" s="344" t="s">
        <v>165</v>
      </c>
      <c r="M8" s="348">
        <v>15.3</v>
      </c>
    </row>
    <row r="9" spans="1:13">
      <c r="F9" s="233" t="s">
        <v>76</v>
      </c>
      <c r="G9" s="454" t="str">
        <f>InputOutputData!K20</f>
        <v>Chlorine</v>
      </c>
      <c r="L9" s="344" t="s">
        <v>166</v>
      </c>
      <c r="M9" s="348">
        <v>16</v>
      </c>
    </row>
    <row r="10" spans="1:13">
      <c r="L10" s="344" t="s">
        <v>167</v>
      </c>
      <c r="M10" s="348">
        <v>15.75</v>
      </c>
    </row>
    <row r="11" spans="1:13">
      <c r="L11" s="344" t="s">
        <v>168</v>
      </c>
      <c r="M11" s="348">
        <v>14.2</v>
      </c>
    </row>
    <row r="12" spans="1:13">
      <c r="L12" s="344" t="s">
        <v>169</v>
      </c>
      <c r="M12" s="348">
        <v>12.5</v>
      </c>
    </row>
    <row r="13" spans="1:13">
      <c r="L13" s="344" t="s">
        <v>170</v>
      </c>
      <c r="M13" s="348">
        <v>10.75</v>
      </c>
    </row>
    <row r="14" spans="1:13">
      <c r="L14" s="344" t="s">
        <v>171</v>
      </c>
      <c r="M14" s="348">
        <v>9</v>
      </c>
    </row>
    <row r="15" spans="1:13">
      <c r="L15" s="371" t="s">
        <v>172</v>
      </c>
      <c r="M15" s="350">
        <v>8.25</v>
      </c>
    </row>
    <row r="19" spans="1:23">
      <c r="A19" s="373" t="s">
        <v>173</v>
      </c>
      <c r="B19" s="186" t="s">
        <v>157</v>
      </c>
      <c r="C19" s="187" t="s">
        <v>174</v>
      </c>
      <c r="D19" t="s">
        <v>175</v>
      </c>
      <c r="E19" t="s">
        <v>176</v>
      </c>
      <c r="F19" t="s">
        <v>177</v>
      </c>
      <c r="G19" s="424" t="s">
        <v>178</v>
      </c>
      <c r="H19" s="425" t="s">
        <v>179</v>
      </c>
      <c r="I19" s="425" t="s">
        <v>180</v>
      </c>
      <c r="J19" s="425" t="s">
        <v>181</v>
      </c>
      <c r="K19" s="425" t="s">
        <v>182</v>
      </c>
      <c r="L19" s="425" t="s">
        <v>183</v>
      </c>
      <c r="M19" s="422" t="s">
        <v>184</v>
      </c>
      <c r="N19" s="8"/>
      <c r="O19" s="8"/>
      <c r="P19" s="8"/>
      <c r="Q19" s="8"/>
      <c r="R19" s="8"/>
      <c r="S19" s="8"/>
      <c r="T19" s="1"/>
      <c r="V19" t="s">
        <v>185</v>
      </c>
      <c r="W19">
        <f>M20</f>
        <v>9</v>
      </c>
    </row>
    <row r="20" spans="1:23">
      <c r="A20" s="374" t="s">
        <v>159</v>
      </c>
      <c r="B20" s="35" t="s">
        <v>159</v>
      </c>
      <c r="C20" s="176" t="s">
        <v>159</v>
      </c>
      <c r="D20" t="s">
        <v>186</v>
      </c>
      <c r="E20" t="s">
        <v>187</v>
      </c>
      <c r="F20" t="s">
        <v>187</v>
      </c>
      <c r="G20" s="426" t="s">
        <v>187</v>
      </c>
      <c r="H20" s="427" t="s">
        <v>188</v>
      </c>
      <c r="I20" s="427" t="s">
        <v>187</v>
      </c>
      <c r="J20" s="427" t="s">
        <v>187</v>
      </c>
      <c r="K20" s="427" t="s">
        <v>187</v>
      </c>
      <c r="L20" s="427"/>
      <c r="M20" s="423">
        <f>SUM(L21:L385)</f>
        <v>9</v>
      </c>
      <c r="N20" s="8"/>
      <c r="O20" s="8"/>
      <c r="P20" s="8"/>
      <c r="Q20" s="8"/>
      <c r="R20" s="8"/>
      <c r="T20" s="455"/>
    </row>
    <row r="21" spans="1:23">
      <c r="A21" s="375">
        <v>1</v>
      </c>
      <c r="B21" s="35" t="s">
        <v>161</v>
      </c>
      <c r="C21" s="376">
        <v>1</v>
      </c>
      <c r="D21">
        <f>INDEX($M$4:$M$15,MATCH(B21,$L$4:$L$15,0))</f>
        <v>8.5</v>
      </c>
      <c r="E21">
        <f>$B$3*$H$1*$B$8*D21</f>
        <v>16320</v>
      </c>
      <c r="F21">
        <f>E21*$B$5</f>
        <v>2774.4</v>
      </c>
      <c r="G21">
        <f>F21*$F$4</f>
        <v>2663.424</v>
      </c>
      <c r="H21" s="35">
        <f>'More accurate Energy (Solar)'!N16</f>
        <v>10361048.341557788</v>
      </c>
      <c r="I21">
        <f t="shared" ref="I21:I84" si="0">H21/3600</f>
        <v>2878.068983766052</v>
      </c>
      <c r="J21">
        <f>G21-I21</f>
        <v>-214.64498376605206</v>
      </c>
      <c r="K21">
        <f>F3*F6</f>
        <v>6000</v>
      </c>
      <c r="L21" t="str">
        <f>IF(K21 = 0, 1, "")</f>
        <v/>
      </c>
      <c r="O21" s="352"/>
    </row>
    <row r="22" spans="1:23">
      <c r="A22" s="375">
        <v>2</v>
      </c>
      <c r="B22" s="35" t="s">
        <v>161</v>
      </c>
      <c r="C22" s="376">
        <v>2</v>
      </c>
      <c r="D22">
        <f t="shared" ref="D22:D85" si="1">INDEX($M$4:$M$15,MATCH(B22,$L$4:$L$15,0))</f>
        <v>8.5</v>
      </c>
      <c r="E22">
        <f t="shared" ref="E22:E84" si="2">$B$3*$H$1*$B$8*D22</f>
        <v>16320</v>
      </c>
      <c r="F22">
        <f t="shared" ref="F22:F85" si="3">E22*$B$5</f>
        <v>2774.4</v>
      </c>
      <c r="G22">
        <f t="shared" ref="G22:G85" si="4">F22*$F$4</f>
        <v>2663.424</v>
      </c>
      <c r="H22" s="35">
        <f>'More accurate Energy (Solar)'!N17</f>
        <v>6198442.0076354574</v>
      </c>
      <c r="I22">
        <f t="shared" si="0"/>
        <v>1721.7894465654049</v>
      </c>
      <c r="J22">
        <f t="shared" ref="J22:J85" si="5">G22-I22</f>
        <v>941.63455343459509</v>
      </c>
      <c r="K22">
        <f t="shared" ref="K22:K85" si="6">MIN(MAX(K21+J21,0),$F$3*$F$6)</f>
        <v>5785.3550162339479</v>
      </c>
      <c r="L22" t="str">
        <f t="shared" ref="L22:L85" si="7">IF(K22 = 0, 1, "")</f>
        <v/>
      </c>
      <c r="O22" s="352"/>
    </row>
    <row r="23" spans="1:23">
      <c r="A23" s="375">
        <v>3</v>
      </c>
      <c r="B23" s="35" t="s">
        <v>161</v>
      </c>
      <c r="C23" s="376">
        <v>3</v>
      </c>
      <c r="D23">
        <f t="shared" si="1"/>
        <v>8.5</v>
      </c>
      <c r="E23">
        <f t="shared" si="2"/>
        <v>16320</v>
      </c>
      <c r="F23">
        <f t="shared" si="3"/>
        <v>2774.4</v>
      </c>
      <c r="G23">
        <f t="shared" si="4"/>
        <v>2663.424</v>
      </c>
      <c r="H23" s="35">
        <f>'More accurate Energy (Solar)'!N18</f>
        <v>12257989.588171121</v>
      </c>
      <c r="I23">
        <f t="shared" si="0"/>
        <v>3404.9971078253111</v>
      </c>
      <c r="J23">
        <f t="shared" si="5"/>
        <v>-741.57310782531113</v>
      </c>
      <c r="K23">
        <f t="shared" si="6"/>
        <v>6000</v>
      </c>
      <c r="L23" t="str">
        <f t="shared" si="7"/>
        <v/>
      </c>
      <c r="O23" s="352"/>
    </row>
    <row r="24" spans="1:23">
      <c r="A24" s="375">
        <v>4</v>
      </c>
      <c r="B24" s="35" t="s">
        <v>161</v>
      </c>
      <c r="C24" s="376">
        <v>4</v>
      </c>
      <c r="D24">
        <f t="shared" si="1"/>
        <v>8.5</v>
      </c>
      <c r="E24">
        <f t="shared" si="2"/>
        <v>16320</v>
      </c>
      <c r="F24">
        <f t="shared" si="3"/>
        <v>2774.4</v>
      </c>
      <c r="G24">
        <f t="shared" si="4"/>
        <v>2663.424</v>
      </c>
      <c r="H24" s="35">
        <f>'More accurate Energy (Solar)'!N19</f>
        <v>12714219.561755959</v>
      </c>
      <c r="I24">
        <f t="shared" si="0"/>
        <v>3531.727656043322</v>
      </c>
      <c r="J24">
        <f t="shared" si="5"/>
        <v>-868.30365604332201</v>
      </c>
      <c r="K24">
        <f t="shared" si="6"/>
        <v>5258.4268921746889</v>
      </c>
      <c r="L24" t="str">
        <f t="shared" si="7"/>
        <v/>
      </c>
      <c r="O24" s="352"/>
    </row>
    <row r="25" spans="1:23">
      <c r="A25" s="375">
        <v>5</v>
      </c>
      <c r="B25" s="35" t="s">
        <v>161</v>
      </c>
      <c r="C25" s="376">
        <v>5</v>
      </c>
      <c r="D25">
        <f t="shared" si="1"/>
        <v>8.5</v>
      </c>
      <c r="E25">
        <f t="shared" si="2"/>
        <v>16320</v>
      </c>
      <c r="F25">
        <f t="shared" si="3"/>
        <v>2774.4</v>
      </c>
      <c r="G25">
        <f t="shared" si="4"/>
        <v>2663.424</v>
      </c>
      <c r="H25" s="35">
        <f>'More accurate Energy (Solar)'!N20</f>
        <v>12714219.561755959</v>
      </c>
      <c r="I25">
        <f t="shared" si="0"/>
        <v>3531.727656043322</v>
      </c>
      <c r="J25">
        <f t="shared" si="5"/>
        <v>-868.30365604332201</v>
      </c>
      <c r="K25">
        <f t="shared" si="6"/>
        <v>4390.1232361313669</v>
      </c>
      <c r="L25" t="str">
        <f t="shared" si="7"/>
        <v/>
      </c>
      <c r="O25" s="352"/>
    </row>
    <row r="26" spans="1:23">
      <c r="A26" s="375">
        <v>6</v>
      </c>
      <c r="B26" s="35" t="s">
        <v>161</v>
      </c>
      <c r="C26" s="376">
        <v>6</v>
      </c>
      <c r="D26">
        <f t="shared" si="1"/>
        <v>8.5</v>
      </c>
      <c r="E26">
        <f t="shared" si="2"/>
        <v>16320</v>
      </c>
      <c r="F26">
        <f t="shared" si="3"/>
        <v>2774.4</v>
      </c>
      <c r="G26">
        <f t="shared" si="4"/>
        <v>2663.424</v>
      </c>
      <c r="H26" s="35">
        <f>'More accurate Energy (Solar)'!N21</f>
        <v>7813618.2510619583</v>
      </c>
      <c r="I26">
        <f t="shared" si="0"/>
        <v>2170.4495141838775</v>
      </c>
      <c r="J26">
        <f t="shared" si="5"/>
        <v>492.97448581612252</v>
      </c>
      <c r="K26">
        <f t="shared" si="6"/>
        <v>3521.8195800880449</v>
      </c>
      <c r="L26" t="str">
        <f t="shared" si="7"/>
        <v/>
      </c>
      <c r="O26" s="352"/>
    </row>
    <row r="27" spans="1:23">
      <c r="A27" s="375">
        <v>7</v>
      </c>
      <c r="B27" s="35" t="s">
        <v>161</v>
      </c>
      <c r="C27" s="376">
        <v>7</v>
      </c>
      <c r="D27">
        <f t="shared" si="1"/>
        <v>8.5</v>
      </c>
      <c r="E27">
        <f t="shared" si="2"/>
        <v>16320</v>
      </c>
      <c r="F27">
        <f t="shared" si="3"/>
        <v>2774.4</v>
      </c>
      <c r="G27">
        <f t="shared" si="4"/>
        <v>2663.424</v>
      </c>
      <c r="H27" s="35">
        <f>'More accurate Energy (Solar)'!N22</f>
        <v>3456000</v>
      </c>
      <c r="I27">
        <f t="shared" si="0"/>
        <v>960</v>
      </c>
      <c r="J27">
        <f t="shared" si="5"/>
        <v>1703.424</v>
      </c>
      <c r="K27">
        <f t="shared" si="6"/>
        <v>4014.7940659041674</v>
      </c>
      <c r="L27" t="str">
        <f t="shared" si="7"/>
        <v/>
      </c>
      <c r="O27" s="352"/>
    </row>
    <row r="28" spans="1:23">
      <c r="A28" s="375">
        <v>8</v>
      </c>
      <c r="B28" s="35" t="s">
        <v>161</v>
      </c>
      <c r="C28" s="376">
        <v>8</v>
      </c>
      <c r="D28">
        <f t="shared" si="1"/>
        <v>8.5</v>
      </c>
      <c r="E28">
        <f t="shared" si="2"/>
        <v>16320</v>
      </c>
      <c r="F28">
        <f t="shared" si="3"/>
        <v>2774.4</v>
      </c>
      <c r="G28">
        <f t="shared" si="4"/>
        <v>2663.424</v>
      </c>
      <c r="H28" s="35">
        <f>'More accurate Energy (Solar)'!N23</f>
        <v>3456000</v>
      </c>
      <c r="I28">
        <f t="shared" si="0"/>
        <v>960</v>
      </c>
      <c r="J28">
        <f t="shared" si="5"/>
        <v>1703.424</v>
      </c>
      <c r="K28">
        <f t="shared" si="6"/>
        <v>5718.2180659041678</v>
      </c>
      <c r="L28" t="str">
        <f t="shared" si="7"/>
        <v/>
      </c>
      <c r="O28" s="352"/>
    </row>
    <row r="29" spans="1:23">
      <c r="A29" s="375">
        <v>9</v>
      </c>
      <c r="B29" s="35" t="s">
        <v>161</v>
      </c>
      <c r="C29" s="376">
        <v>9</v>
      </c>
      <c r="D29">
        <f t="shared" si="1"/>
        <v>8.5</v>
      </c>
      <c r="E29">
        <f t="shared" si="2"/>
        <v>16320</v>
      </c>
      <c r="F29">
        <f t="shared" si="3"/>
        <v>2774.4</v>
      </c>
      <c r="G29">
        <f t="shared" si="4"/>
        <v>2663.424</v>
      </c>
      <c r="H29" s="35">
        <f>'More accurate Energy (Solar)'!N24</f>
        <v>5936504.960119551</v>
      </c>
      <c r="I29">
        <f t="shared" si="0"/>
        <v>1649.0291555887641</v>
      </c>
      <c r="J29">
        <f t="shared" si="5"/>
        <v>1014.3948444112359</v>
      </c>
      <c r="K29">
        <f t="shared" si="6"/>
        <v>6000</v>
      </c>
      <c r="L29" t="str">
        <f t="shared" si="7"/>
        <v/>
      </c>
      <c r="O29" s="352"/>
    </row>
    <row r="30" spans="1:23">
      <c r="A30" s="375">
        <v>10</v>
      </c>
      <c r="B30" s="35" t="s">
        <v>161</v>
      </c>
      <c r="C30" s="376">
        <v>10</v>
      </c>
      <c r="D30">
        <f t="shared" si="1"/>
        <v>8.5</v>
      </c>
      <c r="E30">
        <f t="shared" si="2"/>
        <v>16320</v>
      </c>
      <c r="F30">
        <f t="shared" si="3"/>
        <v>2774.4</v>
      </c>
      <c r="G30">
        <f t="shared" si="4"/>
        <v>2663.424</v>
      </c>
      <c r="H30" s="35">
        <f>'More accurate Energy (Solar)'!N25</f>
        <v>3456000</v>
      </c>
      <c r="I30">
        <f t="shared" si="0"/>
        <v>960</v>
      </c>
      <c r="J30">
        <f t="shared" si="5"/>
        <v>1703.424</v>
      </c>
      <c r="K30">
        <f t="shared" si="6"/>
        <v>6000</v>
      </c>
      <c r="L30" t="str">
        <f t="shared" si="7"/>
        <v/>
      </c>
      <c r="O30" s="352"/>
    </row>
    <row r="31" spans="1:23">
      <c r="A31" s="375">
        <v>11</v>
      </c>
      <c r="B31" s="35" t="s">
        <v>161</v>
      </c>
      <c r="C31" s="376">
        <v>11</v>
      </c>
      <c r="D31">
        <f t="shared" si="1"/>
        <v>8.5</v>
      </c>
      <c r="E31">
        <f t="shared" si="2"/>
        <v>16320</v>
      </c>
      <c r="F31">
        <f t="shared" si="3"/>
        <v>2774.4</v>
      </c>
      <c r="G31">
        <f t="shared" si="4"/>
        <v>2663.424</v>
      </c>
      <c r="H31" s="35">
        <f>'More accurate Energy (Solar)'!N26</f>
        <v>3456000</v>
      </c>
      <c r="I31">
        <f t="shared" si="0"/>
        <v>960</v>
      </c>
      <c r="J31">
        <f t="shared" si="5"/>
        <v>1703.424</v>
      </c>
      <c r="K31">
        <f t="shared" si="6"/>
        <v>6000</v>
      </c>
      <c r="L31" t="str">
        <f t="shared" si="7"/>
        <v/>
      </c>
      <c r="O31" s="352"/>
    </row>
    <row r="32" spans="1:23">
      <c r="A32" s="375">
        <v>12</v>
      </c>
      <c r="B32" s="35" t="s">
        <v>161</v>
      </c>
      <c r="C32" s="376">
        <v>12</v>
      </c>
      <c r="D32">
        <f t="shared" si="1"/>
        <v>8.5</v>
      </c>
      <c r="E32">
        <f t="shared" si="2"/>
        <v>16320</v>
      </c>
      <c r="F32">
        <f t="shared" si="3"/>
        <v>2774.4</v>
      </c>
      <c r="G32">
        <f t="shared" si="4"/>
        <v>2663.424</v>
      </c>
      <c r="H32" s="35">
        <f>'More accurate Energy (Solar)'!N27</f>
        <v>3456000</v>
      </c>
      <c r="I32">
        <f t="shared" si="0"/>
        <v>960</v>
      </c>
      <c r="J32">
        <f t="shared" si="5"/>
        <v>1703.424</v>
      </c>
      <c r="K32">
        <f t="shared" si="6"/>
        <v>6000</v>
      </c>
      <c r="L32" t="str">
        <f t="shared" si="7"/>
        <v/>
      </c>
      <c r="O32" s="352"/>
    </row>
    <row r="33" spans="1:15">
      <c r="A33" s="375">
        <v>13</v>
      </c>
      <c r="B33" s="35" t="s">
        <v>161</v>
      </c>
      <c r="C33" s="376">
        <v>13</v>
      </c>
      <c r="D33">
        <f t="shared" si="1"/>
        <v>8.5</v>
      </c>
      <c r="E33">
        <f t="shared" si="2"/>
        <v>16320</v>
      </c>
      <c r="F33">
        <f t="shared" si="3"/>
        <v>2774.4</v>
      </c>
      <c r="G33">
        <f t="shared" si="4"/>
        <v>2663.424</v>
      </c>
      <c r="H33" s="35">
        <f>'More accurate Energy (Solar)'!N28</f>
        <v>3456000</v>
      </c>
      <c r="I33">
        <f t="shared" si="0"/>
        <v>960</v>
      </c>
      <c r="J33">
        <f t="shared" si="5"/>
        <v>1703.424</v>
      </c>
      <c r="K33">
        <f t="shared" si="6"/>
        <v>6000</v>
      </c>
      <c r="L33" t="str">
        <f t="shared" si="7"/>
        <v/>
      </c>
      <c r="O33" s="352"/>
    </row>
    <row r="34" spans="1:15">
      <c r="A34" s="375">
        <v>14</v>
      </c>
      <c r="B34" s="35" t="s">
        <v>161</v>
      </c>
      <c r="C34" s="376">
        <v>14</v>
      </c>
      <c r="D34">
        <f t="shared" si="1"/>
        <v>8.5</v>
      </c>
      <c r="E34">
        <f t="shared" si="2"/>
        <v>16320</v>
      </c>
      <c r="F34">
        <f t="shared" si="3"/>
        <v>2774.4</v>
      </c>
      <c r="G34">
        <f t="shared" si="4"/>
        <v>2663.424</v>
      </c>
      <c r="H34" s="35">
        <f>'More accurate Energy (Solar)'!N29</f>
        <v>5271937.5421474604</v>
      </c>
      <c r="I34">
        <f t="shared" si="0"/>
        <v>1464.4270950409611</v>
      </c>
      <c r="J34">
        <f t="shared" si="5"/>
        <v>1198.9969049590388</v>
      </c>
      <c r="K34">
        <f t="shared" si="6"/>
        <v>6000</v>
      </c>
      <c r="L34" t="str">
        <f t="shared" si="7"/>
        <v/>
      </c>
      <c r="O34" s="352"/>
    </row>
    <row r="35" spans="1:15">
      <c r="A35" s="375">
        <v>15</v>
      </c>
      <c r="B35" s="35" t="s">
        <v>161</v>
      </c>
      <c r="C35" s="376">
        <v>15</v>
      </c>
      <c r="D35">
        <f t="shared" si="1"/>
        <v>8.5</v>
      </c>
      <c r="E35">
        <f t="shared" si="2"/>
        <v>16320</v>
      </c>
      <c r="F35">
        <f t="shared" si="3"/>
        <v>2774.4</v>
      </c>
      <c r="G35">
        <f t="shared" si="4"/>
        <v>2663.424</v>
      </c>
      <c r="H35" s="35">
        <f>'More accurate Energy (Solar)'!N30</f>
        <v>12714219.561755959</v>
      </c>
      <c r="I35">
        <f t="shared" si="0"/>
        <v>3531.727656043322</v>
      </c>
      <c r="J35">
        <f t="shared" si="5"/>
        <v>-868.30365604332201</v>
      </c>
      <c r="K35">
        <f t="shared" si="6"/>
        <v>6000</v>
      </c>
      <c r="L35" t="str">
        <f t="shared" si="7"/>
        <v/>
      </c>
      <c r="O35" s="352"/>
    </row>
    <row r="36" spans="1:15">
      <c r="A36" s="375">
        <v>16</v>
      </c>
      <c r="B36" s="35" t="s">
        <v>161</v>
      </c>
      <c r="C36" s="376">
        <v>16</v>
      </c>
      <c r="D36">
        <f t="shared" si="1"/>
        <v>8.5</v>
      </c>
      <c r="E36">
        <f t="shared" si="2"/>
        <v>16320</v>
      </c>
      <c r="F36">
        <f t="shared" si="3"/>
        <v>2774.4</v>
      </c>
      <c r="G36">
        <f t="shared" si="4"/>
        <v>2663.424</v>
      </c>
      <c r="H36" s="35">
        <f>'More accurate Energy (Solar)'!N31</f>
        <v>9593643.1426751018</v>
      </c>
      <c r="I36">
        <f t="shared" si="0"/>
        <v>2664.900872965306</v>
      </c>
      <c r="J36">
        <f t="shared" si="5"/>
        <v>-1.4768729653060291</v>
      </c>
      <c r="K36">
        <f t="shared" si="6"/>
        <v>5131.696343956678</v>
      </c>
      <c r="L36" t="str">
        <f t="shared" si="7"/>
        <v/>
      </c>
      <c r="O36" s="352"/>
    </row>
    <row r="37" spans="1:15">
      <c r="A37" s="375">
        <v>17</v>
      </c>
      <c r="B37" s="35" t="s">
        <v>161</v>
      </c>
      <c r="C37" s="376">
        <v>17</v>
      </c>
      <c r="D37">
        <f t="shared" si="1"/>
        <v>8.5</v>
      </c>
      <c r="E37">
        <f t="shared" si="2"/>
        <v>16320</v>
      </c>
      <c r="F37">
        <f t="shared" si="3"/>
        <v>2774.4</v>
      </c>
      <c r="G37">
        <f t="shared" si="4"/>
        <v>2663.424</v>
      </c>
      <c r="H37" s="35">
        <f>'More accurate Energy (Solar)'!N32</f>
        <v>12714219.561755959</v>
      </c>
      <c r="I37">
        <f t="shared" si="0"/>
        <v>3531.727656043322</v>
      </c>
      <c r="J37">
        <f t="shared" si="5"/>
        <v>-868.30365604332201</v>
      </c>
      <c r="K37">
        <f t="shared" si="6"/>
        <v>5130.219470991372</v>
      </c>
      <c r="L37" t="str">
        <f t="shared" si="7"/>
        <v/>
      </c>
      <c r="O37" s="352"/>
    </row>
    <row r="38" spans="1:15">
      <c r="A38" s="375">
        <v>18</v>
      </c>
      <c r="B38" s="35" t="s">
        <v>161</v>
      </c>
      <c r="C38" s="376">
        <v>18</v>
      </c>
      <c r="D38">
        <f t="shared" si="1"/>
        <v>8.5</v>
      </c>
      <c r="E38">
        <f t="shared" si="2"/>
        <v>16320</v>
      </c>
      <c r="F38">
        <f t="shared" si="3"/>
        <v>2774.4</v>
      </c>
      <c r="G38">
        <f t="shared" si="4"/>
        <v>2663.424</v>
      </c>
      <c r="H38" s="35">
        <f>'More accurate Energy (Solar)'!N33</f>
        <v>12714219.561755959</v>
      </c>
      <c r="I38">
        <f t="shared" si="0"/>
        <v>3531.727656043322</v>
      </c>
      <c r="J38">
        <f t="shared" si="5"/>
        <v>-868.30365604332201</v>
      </c>
      <c r="K38">
        <f t="shared" si="6"/>
        <v>4261.91581494805</v>
      </c>
      <c r="L38" t="str">
        <f t="shared" si="7"/>
        <v/>
      </c>
      <c r="O38" s="352"/>
    </row>
    <row r="39" spans="1:15">
      <c r="A39" s="375">
        <v>19</v>
      </c>
      <c r="B39" s="35" t="s">
        <v>161</v>
      </c>
      <c r="C39" s="376">
        <v>19</v>
      </c>
      <c r="D39">
        <f t="shared" si="1"/>
        <v>8.5</v>
      </c>
      <c r="E39">
        <f t="shared" si="2"/>
        <v>16320</v>
      </c>
      <c r="F39">
        <f t="shared" si="3"/>
        <v>2774.4</v>
      </c>
      <c r="G39">
        <f t="shared" si="4"/>
        <v>2663.424</v>
      </c>
      <c r="H39" s="35">
        <f>'More accurate Energy (Solar)'!N34</f>
        <v>7670812.1990579087</v>
      </c>
      <c r="I39">
        <f t="shared" si="0"/>
        <v>2130.7811664049746</v>
      </c>
      <c r="J39">
        <f t="shared" si="5"/>
        <v>532.64283359502542</v>
      </c>
      <c r="K39">
        <f t="shared" si="6"/>
        <v>3393.6121589047279</v>
      </c>
      <c r="L39" t="str">
        <f t="shared" si="7"/>
        <v/>
      </c>
      <c r="O39" s="352"/>
    </row>
    <row r="40" spans="1:15">
      <c r="A40" s="375">
        <v>20</v>
      </c>
      <c r="B40" s="35" t="s">
        <v>161</v>
      </c>
      <c r="C40" s="376">
        <v>20</v>
      </c>
      <c r="D40">
        <f t="shared" si="1"/>
        <v>8.5</v>
      </c>
      <c r="E40">
        <f t="shared" si="2"/>
        <v>16320</v>
      </c>
      <c r="F40">
        <f t="shared" si="3"/>
        <v>2774.4</v>
      </c>
      <c r="G40">
        <f t="shared" si="4"/>
        <v>2663.424</v>
      </c>
      <c r="H40" s="35">
        <f>'More accurate Energy (Solar)'!N35</f>
        <v>5271937.5421474604</v>
      </c>
      <c r="I40">
        <f t="shared" si="0"/>
        <v>1464.4270950409611</v>
      </c>
      <c r="J40">
        <f t="shared" si="5"/>
        <v>1198.9969049590388</v>
      </c>
      <c r="K40">
        <f t="shared" si="6"/>
        <v>3926.2549924997534</v>
      </c>
      <c r="L40" t="str">
        <f t="shared" si="7"/>
        <v/>
      </c>
      <c r="O40" s="352"/>
    </row>
    <row r="41" spans="1:15">
      <c r="A41" s="375">
        <v>21</v>
      </c>
      <c r="B41" s="35" t="s">
        <v>161</v>
      </c>
      <c r="C41" s="376">
        <v>21</v>
      </c>
      <c r="D41">
        <f t="shared" si="1"/>
        <v>8.5</v>
      </c>
      <c r="E41">
        <f t="shared" si="2"/>
        <v>16320</v>
      </c>
      <c r="F41">
        <f t="shared" si="3"/>
        <v>2774.4</v>
      </c>
      <c r="G41">
        <f t="shared" si="4"/>
        <v>2663.424</v>
      </c>
      <c r="H41" s="35">
        <f>'More accurate Energy (Solar)'!N36</f>
        <v>12714219.561755959</v>
      </c>
      <c r="I41">
        <f t="shared" si="0"/>
        <v>3531.727656043322</v>
      </c>
      <c r="J41">
        <f t="shared" si="5"/>
        <v>-868.30365604332201</v>
      </c>
      <c r="K41">
        <f t="shared" si="6"/>
        <v>5125.251897458792</v>
      </c>
      <c r="L41" t="str">
        <f t="shared" si="7"/>
        <v/>
      </c>
      <c r="O41" s="352"/>
    </row>
    <row r="42" spans="1:15">
      <c r="A42" s="375">
        <v>22</v>
      </c>
      <c r="B42" s="35" t="s">
        <v>161</v>
      </c>
      <c r="C42" s="376">
        <v>22</v>
      </c>
      <c r="D42">
        <f t="shared" si="1"/>
        <v>8.5</v>
      </c>
      <c r="E42">
        <f t="shared" si="2"/>
        <v>16320</v>
      </c>
      <c r="F42">
        <f t="shared" si="3"/>
        <v>2774.4</v>
      </c>
      <c r="G42">
        <f t="shared" si="4"/>
        <v>2663.424</v>
      </c>
      <c r="H42" s="35">
        <f>'More accurate Energy (Solar)'!N37</f>
        <v>12432454.353813339</v>
      </c>
      <c r="I42">
        <f t="shared" si="0"/>
        <v>3453.4595427259273</v>
      </c>
      <c r="J42">
        <f t="shared" si="5"/>
        <v>-790.03554272592737</v>
      </c>
      <c r="K42">
        <f t="shared" si="6"/>
        <v>4256.94824141547</v>
      </c>
      <c r="L42" t="str">
        <f t="shared" si="7"/>
        <v/>
      </c>
      <c r="O42" s="352"/>
    </row>
    <row r="43" spans="1:15">
      <c r="A43" s="375">
        <v>23</v>
      </c>
      <c r="B43" s="35" t="s">
        <v>161</v>
      </c>
      <c r="C43" s="376">
        <v>23</v>
      </c>
      <c r="D43">
        <f t="shared" si="1"/>
        <v>8.5</v>
      </c>
      <c r="E43">
        <f t="shared" si="2"/>
        <v>16320</v>
      </c>
      <c r="F43">
        <f t="shared" si="3"/>
        <v>2774.4</v>
      </c>
      <c r="G43">
        <f t="shared" si="4"/>
        <v>2663.424</v>
      </c>
      <c r="H43" s="35">
        <f>'More accurate Energy (Solar)'!N38</f>
        <v>12714219.561755959</v>
      </c>
      <c r="I43">
        <f t="shared" si="0"/>
        <v>3531.727656043322</v>
      </c>
      <c r="J43">
        <f t="shared" si="5"/>
        <v>-868.30365604332201</v>
      </c>
      <c r="K43">
        <f t="shared" si="6"/>
        <v>3466.9126986895426</v>
      </c>
      <c r="L43" t="str">
        <f t="shared" si="7"/>
        <v/>
      </c>
      <c r="O43" s="352"/>
    </row>
    <row r="44" spans="1:15">
      <c r="A44" s="375">
        <v>24</v>
      </c>
      <c r="B44" s="35" t="s">
        <v>161</v>
      </c>
      <c r="C44" s="376">
        <v>24</v>
      </c>
      <c r="D44">
        <f t="shared" si="1"/>
        <v>8.5</v>
      </c>
      <c r="E44">
        <f t="shared" si="2"/>
        <v>16320</v>
      </c>
      <c r="F44">
        <f t="shared" si="3"/>
        <v>2774.4</v>
      </c>
      <c r="G44">
        <f t="shared" si="4"/>
        <v>2663.424</v>
      </c>
      <c r="H44" s="35">
        <f>'More accurate Energy (Solar)'!N39</f>
        <v>12714219.561755959</v>
      </c>
      <c r="I44">
        <f t="shared" si="0"/>
        <v>3531.727656043322</v>
      </c>
      <c r="J44">
        <f t="shared" si="5"/>
        <v>-868.30365604332201</v>
      </c>
      <c r="K44">
        <f t="shared" si="6"/>
        <v>2598.6090426462206</v>
      </c>
      <c r="L44" t="str">
        <f t="shared" si="7"/>
        <v/>
      </c>
      <c r="O44" s="352"/>
    </row>
    <row r="45" spans="1:15">
      <c r="A45" s="375">
        <v>25</v>
      </c>
      <c r="B45" s="35" t="s">
        <v>161</v>
      </c>
      <c r="C45" s="376">
        <v>25</v>
      </c>
      <c r="D45">
        <f t="shared" si="1"/>
        <v>8.5</v>
      </c>
      <c r="E45">
        <f t="shared" si="2"/>
        <v>16320</v>
      </c>
      <c r="F45">
        <f t="shared" si="3"/>
        <v>2774.4</v>
      </c>
      <c r="G45">
        <f t="shared" si="4"/>
        <v>2663.424</v>
      </c>
      <c r="H45" s="35">
        <f>'More accurate Energy (Solar)'!N40</f>
        <v>7028411.3949824264</v>
      </c>
      <c r="I45">
        <f t="shared" si="0"/>
        <v>1952.3364986062295</v>
      </c>
      <c r="J45">
        <f t="shared" si="5"/>
        <v>711.08750139377048</v>
      </c>
      <c r="K45">
        <f t="shared" si="6"/>
        <v>1730.3053866028986</v>
      </c>
      <c r="L45" t="str">
        <f t="shared" si="7"/>
        <v/>
      </c>
      <c r="O45" s="352"/>
    </row>
    <row r="46" spans="1:15">
      <c r="A46" s="375">
        <v>26</v>
      </c>
      <c r="B46" s="35" t="s">
        <v>161</v>
      </c>
      <c r="C46" s="376">
        <v>26</v>
      </c>
      <c r="D46">
        <f t="shared" si="1"/>
        <v>8.5</v>
      </c>
      <c r="E46">
        <f t="shared" si="2"/>
        <v>16320</v>
      </c>
      <c r="F46">
        <f t="shared" si="3"/>
        <v>2774.4</v>
      </c>
      <c r="G46">
        <f t="shared" si="4"/>
        <v>2663.424</v>
      </c>
      <c r="H46" s="35">
        <f>'More accurate Energy (Solar)'!N41</f>
        <v>7813618.2510619583</v>
      </c>
      <c r="I46">
        <f t="shared" si="0"/>
        <v>2170.4495141838775</v>
      </c>
      <c r="J46">
        <f t="shared" si="5"/>
        <v>492.97448581612252</v>
      </c>
      <c r="K46">
        <f t="shared" si="6"/>
        <v>2441.3928879966688</v>
      </c>
      <c r="L46" t="str">
        <f t="shared" si="7"/>
        <v/>
      </c>
      <c r="O46" s="352"/>
    </row>
    <row r="47" spans="1:15">
      <c r="A47" s="375">
        <v>27</v>
      </c>
      <c r="B47" s="35" t="s">
        <v>161</v>
      </c>
      <c r="C47" s="376">
        <v>27</v>
      </c>
      <c r="D47">
        <f t="shared" si="1"/>
        <v>8.5</v>
      </c>
      <c r="E47">
        <f t="shared" si="2"/>
        <v>16320</v>
      </c>
      <c r="F47">
        <f t="shared" si="3"/>
        <v>2774.4</v>
      </c>
      <c r="G47">
        <f t="shared" si="4"/>
        <v>2663.424</v>
      </c>
      <c r="H47" s="35">
        <f>'More accurate Energy (Solar)'!N42</f>
        <v>7813618.2510619583</v>
      </c>
      <c r="I47">
        <f t="shared" si="0"/>
        <v>2170.4495141838775</v>
      </c>
      <c r="J47">
        <f t="shared" si="5"/>
        <v>492.97448581612252</v>
      </c>
      <c r="K47">
        <f t="shared" si="6"/>
        <v>2934.3673738127914</v>
      </c>
      <c r="L47" t="str">
        <f t="shared" si="7"/>
        <v/>
      </c>
      <c r="O47" s="352"/>
    </row>
    <row r="48" spans="1:15">
      <c r="A48" s="375">
        <v>28</v>
      </c>
      <c r="B48" s="35" t="s">
        <v>161</v>
      </c>
      <c r="C48" s="376">
        <v>28</v>
      </c>
      <c r="D48">
        <f t="shared" si="1"/>
        <v>8.5</v>
      </c>
      <c r="E48">
        <f t="shared" si="2"/>
        <v>16320</v>
      </c>
      <c r="F48">
        <f t="shared" si="3"/>
        <v>2774.4</v>
      </c>
      <c r="G48">
        <f t="shared" si="4"/>
        <v>2663.424</v>
      </c>
      <c r="H48" s="35">
        <f>'More accurate Energy (Solar)'!N43</f>
        <v>3456000</v>
      </c>
      <c r="I48">
        <f t="shared" si="0"/>
        <v>960</v>
      </c>
      <c r="J48">
        <f t="shared" si="5"/>
        <v>1703.424</v>
      </c>
      <c r="K48">
        <f t="shared" si="6"/>
        <v>3427.3418596289139</v>
      </c>
      <c r="L48" t="str">
        <f t="shared" si="7"/>
        <v/>
      </c>
      <c r="O48" s="352"/>
    </row>
    <row r="49" spans="1:15">
      <c r="A49" s="375">
        <v>29</v>
      </c>
      <c r="B49" s="35" t="s">
        <v>161</v>
      </c>
      <c r="C49" s="376">
        <v>29</v>
      </c>
      <c r="D49">
        <f t="shared" si="1"/>
        <v>8.5</v>
      </c>
      <c r="E49">
        <f t="shared" si="2"/>
        <v>16320</v>
      </c>
      <c r="F49">
        <f t="shared" si="3"/>
        <v>2774.4</v>
      </c>
      <c r="G49">
        <f t="shared" si="4"/>
        <v>2663.424</v>
      </c>
      <c r="H49" s="35">
        <f>'More accurate Energy (Solar)'!N44</f>
        <v>3456000</v>
      </c>
      <c r="I49">
        <f t="shared" si="0"/>
        <v>960</v>
      </c>
      <c r="J49">
        <f t="shared" si="5"/>
        <v>1703.424</v>
      </c>
      <c r="K49">
        <f t="shared" si="6"/>
        <v>5130.7658596289139</v>
      </c>
      <c r="L49" t="str">
        <f t="shared" si="7"/>
        <v/>
      </c>
      <c r="O49" s="352"/>
    </row>
    <row r="50" spans="1:15">
      <c r="A50" s="375">
        <v>30</v>
      </c>
      <c r="B50" s="35" t="s">
        <v>161</v>
      </c>
      <c r="C50" s="376">
        <v>30</v>
      </c>
      <c r="D50">
        <f t="shared" si="1"/>
        <v>8.5</v>
      </c>
      <c r="E50">
        <f t="shared" si="2"/>
        <v>16320</v>
      </c>
      <c r="F50">
        <f t="shared" si="3"/>
        <v>2774.4</v>
      </c>
      <c r="G50">
        <f t="shared" si="4"/>
        <v>2663.424</v>
      </c>
      <c r="H50" s="35">
        <f>'More accurate Energy (Solar)'!N45</f>
        <v>5635364.2431826424</v>
      </c>
      <c r="I50">
        <f t="shared" si="0"/>
        <v>1565.3789564396229</v>
      </c>
      <c r="J50">
        <f t="shared" si="5"/>
        <v>1098.0450435603771</v>
      </c>
      <c r="K50">
        <f t="shared" si="6"/>
        <v>6000</v>
      </c>
      <c r="L50" t="str">
        <f t="shared" si="7"/>
        <v/>
      </c>
      <c r="O50" s="352"/>
    </row>
    <row r="51" spans="1:15">
      <c r="A51" s="375">
        <v>31</v>
      </c>
      <c r="B51" s="35" t="s">
        <v>161</v>
      </c>
      <c r="C51" s="376">
        <v>31</v>
      </c>
      <c r="D51">
        <f t="shared" si="1"/>
        <v>8.5</v>
      </c>
      <c r="E51">
        <f t="shared" si="2"/>
        <v>16320</v>
      </c>
      <c r="F51">
        <f t="shared" si="3"/>
        <v>2774.4</v>
      </c>
      <c r="G51">
        <f t="shared" si="4"/>
        <v>2663.424</v>
      </c>
      <c r="H51" s="35">
        <f>'More accurate Energy (Solar)'!N46</f>
        <v>9500888.9292397294</v>
      </c>
      <c r="I51">
        <f t="shared" si="0"/>
        <v>2639.1358136777026</v>
      </c>
      <c r="J51">
        <f t="shared" si="5"/>
        <v>24.288186322297406</v>
      </c>
      <c r="K51">
        <f t="shared" si="6"/>
        <v>6000</v>
      </c>
      <c r="L51" t="str">
        <f t="shared" si="7"/>
        <v/>
      </c>
      <c r="O51" s="352"/>
    </row>
    <row r="52" spans="1:15">
      <c r="A52" s="375">
        <v>32</v>
      </c>
      <c r="B52" s="35" t="s">
        <v>162</v>
      </c>
      <c r="C52" s="376">
        <v>1</v>
      </c>
      <c r="D52">
        <f t="shared" si="1"/>
        <v>10</v>
      </c>
      <c r="E52">
        <f t="shared" si="2"/>
        <v>19200</v>
      </c>
      <c r="F52">
        <f t="shared" si="3"/>
        <v>3264.0000000000005</v>
      </c>
      <c r="G52">
        <f t="shared" si="4"/>
        <v>3133.4400000000005</v>
      </c>
      <c r="H52" s="35">
        <f>'More accurate Energy (Solar)'!N47</f>
        <v>10439971.976567971</v>
      </c>
      <c r="I52">
        <f t="shared" si="0"/>
        <v>2899.9922157133251</v>
      </c>
      <c r="J52">
        <f t="shared" si="5"/>
        <v>233.44778428667541</v>
      </c>
      <c r="K52">
        <f t="shared" si="6"/>
        <v>6000</v>
      </c>
      <c r="L52" t="str">
        <f t="shared" si="7"/>
        <v/>
      </c>
      <c r="O52" s="352"/>
    </row>
    <row r="53" spans="1:15">
      <c r="A53" s="375">
        <v>33</v>
      </c>
      <c r="B53" s="35" t="s">
        <v>162</v>
      </c>
      <c r="C53" s="376">
        <v>2</v>
      </c>
      <c r="D53">
        <f t="shared" si="1"/>
        <v>10</v>
      </c>
      <c r="E53">
        <f t="shared" si="2"/>
        <v>19200</v>
      </c>
      <c r="F53">
        <f t="shared" si="3"/>
        <v>3264.0000000000005</v>
      </c>
      <c r="G53">
        <f t="shared" si="4"/>
        <v>3133.4400000000005</v>
      </c>
      <c r="H53" s="35">
        <f>'More accurate Energy (Solar)'!N48</f>
        <v>12714219.561755959</v>
      </c>
      <c r="I53">
        <f t="shared" si="0"/>
        <v>3531.727656043322</v>
      </c>
      <c r="J53">
        <f t="shared" si="5"/>
        <v>-398.28765604332148</v>
      </c>
      <c r="K53">
        <f t="shared" si="6"/>
        <v>6000</v>
      </c>
      <c r="L53" t="str">
        <f t="shared" si="7"/>
        <v/>
      </c>
      <c r="O53" s="352"/>
    </row>
    <row r="54" spans="1:15">
      <c r="A54" s="375">
        <v>34</v>
      </c>
      <c r="B54" s="35" t="s">
        <v>162</v>
      </c>
      <c r="C54" s="376">
        <v>3</v>
      </c>
      <c r="D54">
        <f t="shared" si="1"/>
        <v>10</v>
      </c>
      <c r="E54">
        <f t="shared" si="2"/>
        <v>19200</v>
      </c>
      <c r="F54">
        <f t="shared" si="3"/>
        <v>3264.0000000000005</v>
      </c>
      <c r="G54">
        <f t="shared" si="4"/>
        <v>3133.4400000000005</v>
      </c>
      <c r="H54" s="35">
        <f>'More accurate Energy (Solar)'!N49</f>
        <v>5635364.2431826424</v>
      </c>
      <c r="I54">
        <f t="shared" si="0"/>
        <v>1565.3789564396229</v>
      </c>
      <c r="J54">
        <f t="shared" si="5"/>
        <v>1568.0610435603776</v>
      </c>
      <c r="K54">
        <f t="shared" si="6"/>
        <v>5601.7123439566785</v>
      </c>
      <c r="L54" t="str">
        <f t="shared" si="7"/>
        <v/>
      </c>
      <c r="O54" s="352"/>
    </row>
    <row r="55" spans="1:15">
      <c r="A55" s="375">
        <v>35</v>
      </c>
      <c r="B55" s="35" t="s">
        <v>162</v>
      </c>
      <c r="C55" s="376">
        <v>4</v>
      </c>
      <c r="D55">
        <f t="shared" si="1"/>
        <v>10</v>
      </c>
      <c r="E55">
        <f t="shared" si="2"/>
        <v>19200</v>
      </c>
      <c r="F55">
        <f t="shared" si="3"/>
        <v>3264.0000000000005</v>
      </c>
      <c r="G55">
        <f t="shared" si="4"/>
        <v>3133.4400000000005</v>
      </c>
      <c r="H55" s="35">
        <f>'More accurate Energy (Solar)'!N50</f>
        <v>12714219.561755959</v>
      </c>
      <c r="I55">
        <f t="shared" si="0"/>
        <v>3531.727656043322</v>
      </c>
      <c r="J55">
        <f t="shared" si="5"/>
        <v>-398.28765604332148</v>
      </c>
      <c r="K55">
        <f t="shared" si="6"/>
        <v>6000</v>
      </c>
      <c r="L55" t="str">
        <f t="shared" si="7"/>
        <v/>
      </c>
      <c r="O55" s="352"/>
    </row>
    <row r="56" spans="1:15">
      <c r="A56" s="375">
        <v>36</v>
      </c>
      <c r="B56" s="35" t="s">
        <v>162</v>
      </c>
      <c r="C56" s="376">
        <v>5</v>
      </c>
      <c r="D56">
        <f t="shared" si="1"/>
        <v>10</v>
      </c>
      <c r="E56">
        <f t="shared" si="2"/>
        <v>19200</v>
      </c>
      <c r="F56">
        <f t="shared" si="3"/>
        <v>3264.0000000000005</v>
      </c>
      <c r="G56">
        <f t="shared" si="4"/>
        <v>3133.4400000000005</v>
      </c>
      <c r="H56" s="35">
        <f>'More accurate Energy (Solar)'!N51</f>
        <v>12714219.561755959</v>
      </c>
      <c r="I56">
        <f t="shared" si="0"/>
        <v>3531.727656043322</v>
      </c>
      <c r="J56">
        <f t="shared" si="5"/>
        <v>-398.28765604332148</v>
      </c>
      <c r="K56">
        <f t="shared" si="6"/>
        <v>5601.7123439566785</v>
      </c>
      <c r="L56" t="str">
        <f t="shared" si="7"/>
        <v/>
      </c>
      <c r="O56" s="352"/>
    </row>
    <row r="57" spans="1:15">
      <c r="A57" s="375">
        <v>37</v>
      </c>
      <c r="B57" s="35" t="s">
        <v>162</v>
      </c>
      <c r="C57" s="376">
        <v>6</v>
      </c>
      <c r="D57">
        <f t="shared" si="1"/>
        <v>10</v>
      </c>
      <c r="E57">
        <f t="shared" si="2"/>
        <v>19200</v>
      </c>
      <c r="F57">
        <f t="shared" si="3"/>
        <v>3264.0000000000005</v>
      </c>
      <c r="G57">
        <f t="shared" si="4"/>
        <v>3133.4400000000005</v>
      </c>
      <c r="H57" s="35">
        <f>'More accurate Energy (Solar)'!N52</f>
        <v>12714219.561755959</v>
      </c>
      <c r="I57">
        <f t="shared" si="0"/>
        <v>3531.727656043322</v>
      </c>
      <c r="J57">
        <f t="shared" si="5"/>
        <v>-398.28765604332148</v>
      </c>
      <c r="K57">
        <f t="shared" si="6"/>
        <v>5203.424687913357</v>
      </c>
      <c r="L57" t="str">
        <f t="shared" si="7"/>
        <v/>
      </c>
      <c r="O57" s="352"/>
    </row>
    <row r="58" spans="1:15">
      <c r="A58" s="375">
        <v>38</v>
      </c>
      <c r="B58" s="35" t="s">
        <v>162</v>
      </c>
      <c r="C58" s="376">
        <v>7</v>
      </c>
      <c r="D58">
        <f t="shared" si="1"/>
        <v>10</v>
      </c>
      <c r="E58">
        <f t="shared" si="2"/>
        <v>19200</v>
      </c>
      <c r="F58">
        <f t="shared" si="3"/>
        <v>3264.0000000000005</v>
      </c>
      <c r="G58">
        <f t="shared" si="4"/>
        <v>3133.4400000000005</v>
      </c>
      <c r="H58" s="35">
        <f>'More accurate Energy (Solar)'!N53</f>
        <v>12714219.561755959</v>
      </c>
      <c r="I58">
        <f t="shared" si="0"/>
        <v>3531.727656043322</v>
      </c>
      <c r="J58">
        <f t="shared" si="5"/>
        <v>-398.28765604332148</v>
      </c>
      <c r="K58">
        <f t="shared" si="6"/>
        <v>4805.1370318700356</v>
      </c>
      <c r="L58" t="str">
        <f t="shared" si="7"/>
        <v/>
      </c>
      <c r="O58" s="352"/>
    </row>
    <row r="59" spans="1:15">
      <c r="A59" s="375">
        <v>39</v>
      </c>
      <c r="B59" s="35" t="s">
        <v>162</v>
      </c>
      <c r="C59" s="376">
        <v>8</v>
      </c>
      <c r="D59">
        <f t="shared" si="1"/>
        <v>10</v>
      </c>
      <c r="E59">
        <f t="shared" si="2"/>
        <v>19200</v>
      </c>
      <c r="F59">
        <f t="shared" si="3"/>
        <v>3264.0000000000005</v>
      </c>
      <c r="G59">
        <f t="shared" si="4"/>
        <v>3133.4400000000005</v>
      </c>
      <c r="H59" s="35">
        <f>'More accurate Energy (Solar)'!N54</f>
        <v>9862072.8072969317</v>
      </c>
      <c r="I59">
        <f t="shared" si="0"/>
        <v>2739.4646686935921</v>
      </c>
      <c r="J59">
        <f t="shared" si="5"/>
        <v>393.97533130640841</v>
      </c>
      <c r="K59">
        <f t="shared" si="6"/>
        <v>4406.8493758267141</v>
      </c>
      <c r="L59" t="str">
        <f t="shared" si="7"/>
        <v/>
      </c>
      <c r="O59" s="352"/>
    </row>
    <row r="60" spans="1:15">
      <c r="A60" s="375">
        <v>40</v>
      </c>
      <c r="B60" s="35" t="s">
        <v>162</v>
      </c>
      <c r="C60" s="376">
        <v>9</v>
      </c>
      <c r="D60">
        <f t="shared" si="1"/>
        <v>10</v>
      </c>
      <c r="E60">
        <f t="shared" si="2"/>
        <v>19200</v>
      </c>
      <c r="F60">
        <f t="shared" si="3"/>
        <v>3264.0000000000005</v>
      </c>
      <c r="G60">
        <f t="shared" si="4"/>
        <v>3133.4400000000005</v>
      </c>
      <c r="H60" s="35">
        <f>'More accurate Energy (Solar)'!N55</f>
        <v>8083231.7107762471</v>
      </c>
      <c r="I60">
        <f t="shared" si="0"/>
        <v>2245.3421418822909</v>
      </c>
      <c r="J60">
        <f t="shared" si="5"/>
        <v>888.09785811770962</v>
      </c>
      <c r="K60">
        <f t="shared" si="6"/>
        <v>4800.8247071331225</v>
      </c>
      <c r="L60" t="str">
        <f t="shared" si="7"/>
        <v/>
      </c>
      <c r="O60" s="352"/>
    </row>
    <row r="61" spans="1:15">
      <c r="A61" s="375">
        <v>41</v>
      </c>
      <c r="B61" s="35" t="s">
        <v>162</v>
      </c>
      <c r="C61" s="376">
        <v>10</v>
      </c>
      <c r="D61">
        <f t="shared" si="1"/>
        <v>10</v>
      </c>
      <c r="E61">
        <f t="shared" si="2"/>
        <v>19200</v>
      </c>
      <c r="F61">
        <f t="shared" si="3"/>
        <v>3264.0000000000005</v>
      </c>
      <c r="G61">
        <f t="shared" si="4"/>
        <v>3133.4400000000005</v>
      </c>
      <c r="H61" s="35">
        <f>'More accurate Energy (Solar)'!N56</f>
        <v>4785381.2882989179</v>
      </c>
      <c r="I61">
        <f t="shared" si="0"/>
        <v>1329.2725800830328</v>
      </c>
      <c r="J61">
        <f t="shared" si="5"/>
        <v>1804.1674199169677</v>
      </c>
      <c r="K61">
        <f t="shared" si="6"/>
        <v>5688.9225652508321</v>
      </c>
      <c r="L61" t="str">
        <f t="shared" si="7"/>
        <v/>
      </c>
      <c r="O61" s="352"/>
    </row>
    <row r="62" spans="1:15">
      <c r="A62" s="375">
        <v>42</v>
      </c>
      <c r="B62" s="35" t="s">
        <v>162</v>
      </c>
      <c r="C62" s="376">
        <v>11</v>
      </c>
      <c r="D62">
        <f t="shared" si="1"/>
        <v>10</v>
      </c>
      <c r="E62">
        <f t="shared" si="2"/>
        <v>19200</v>
      </c>
      <c r="F62">
        <f t="shared" si="3"/>
        <v>3264.0000000000005</v>
      </c>
      <c r="G62">
        <f t="shared" si="4"/>
        <v>3133.4400000000005</v>
      </c>
      <c r="H62" s="35">
        <f>'More accurate Energy (Solar)'!N57</f>
        <v>12714219.561755959</v>
      </c>
      <c r="I62">
        <f t="shared" si="0"/>
        <v>3531.727656043322</v>
      </c>
      <c r="J62">
        <f t="shared" si="5"/>
        <v>-398.28765604332148</v>
      </c>
      <c r="K62">
        <f t="shared" si="6"/>
        <v>6000</v>
      </c>
      <c r="L62" t="str">
        <f t="shared" si="7"/>
        <v/>
      </c>
      <c r="O62" s="352"/>
    </row>
    <row r="63" spans="1:15">
      <c r="A63" s="375">
        <v>43</v>
      </c>
      <c r="B63" s="35" t="s">
        <v>162</v>
      </c>
      <c r="C63" s="376">
        <v>12</v>
      </c>
      <c r="D63">
        <f t="shared" si="1"/>
        <v>10</v>
      </c>
      <c r="E63">
        <f t="shared" si="2"/>
        <v>19200</v>
      </c>
      <c r="F63">
        <f t="shared" si="3"/>
        <v>3264.0000000000005</v>
      </c>
      <c r="G63">
        <f t="shared" si="4"/>
        <v>3133.4400000000005</v>
      </c>
      <c r="H63" s="35">
        <f>'More accurate Energy (Solar)'!N58</f>
        <v>12714219.561755959</v>
      </c>
      <c r="I63">
        <f t="shared" si="0"/>
        <v>3531.727656043322</v>
      </c>
      <c r="J63">
        <f t="shared" si="5"/>
        <v>-398.28765604332148</v>
      </c>
      <c r="K63">
        <f t="shared" si="6"/>
        <v>5601.7123439566785</v>
      </c>
      <c r="L63" t="str">
        <f t="shared" si="7"/>
        <v/>
      </c>
      <c r="O63" s="352"/>
    </row>
    <row r="64" spans="1:15">
      <c r="A64" s="375">
        <v>44</v>
      </c>
      <c r="B64" s="35" t="s">
        <v>162</v>
      </c>
      <c r="C64" s="376">
        <v>13</v>
      </c>
      <c r="D64">
        <f t="shared" si="1"/>
        <v>10</v>
      </c>
      <c r="E64">
        <f t="shared" si="2"/>
        <v>19200</v>
      </c>
      <c r="F64">
        <f t="shared" si="3"/>
        <v>3264.0000000000005</v>
      </c>
      <c r="G64">
        <f t="shared" si="4"/>
        <v>3133.4400000000005</v>
      </c>
      <c r="H64" s="35">
        <f>'More accurate Energy (Solar)'!N59</f>
        <v>12714219.561755959</v>
      </c>
      <c r="I64">
        <f t="shared" si="0"/>
        <v>3531.727656043322</v>
      </c>
      <c r="J64">
        <f t="shared" si="5"/>
        <v>-398.28765604332148</v>
      </c>
      <c r="K64">
        <f t="shared" si="6"/>
        <v>5203.424687913357</v>
      </c>
      <c r="L64" t="str">
        <f t="shared" si="7"/>
        <v/>
      </c>
      <c r="O64" s="352"/>
    </row>
    <row r="65" spans="1:15">
      <c r="A65" s="375">
        <v>45</v>
      </c>
      <c r="B65" s="35" t="s">
        <v>162</v>
      </c>
      <c r="C65" s="376">
        <v>14</v>
      </c>
      <c r="D65">
        <f t="shared" si="1"/>
        <v>10</v>
      </c>
      <c r="E65">
        <f t="shared" si="2"/>
        <v>19200</v>
      </c>
      <c r="F65">
        <f t="shared" si="3"/>
        <v>3264.0000000000005</v>
      </c>
      <c r="G65">
        <f t="shared" si="4"/>
        <v>3133.4400000000005</v>
      </c>
      <c r="H65" s="35">
        <f>'More accurate Energy (Solar)'!N60</f>
        <v>4785381.2882989179</v>
      </c>
      <c r="I65">
        <f t="shared" si="0"/>
        <v>1329.2725800830328</v>
      </c>
      <c r="J65">
        <f t="shared" si="5"/>
        <v>1804.1674199169677</v>
      </c>
      <c r="K65">
        <f t="shared" si="6"/>
        <v>4805.1370318700356</v>
      </c>
      <c r="L65" t="str">
        <f t="shared" si="7"/>
        <v/>
      </c>
      <c r="O65" s="352"/>
    </row>
    <row r="66" spans="1:15">
      <c r="A66" s="375">
        <v>46</v>
      </c>
      <c r="B66" s="35" t="s">
        <v>162</v>
      </c>
      <c r="C66" s="376">
        <v>15</v>
      </c>
      <c r="D66">
        <f t="shared" si="1"/>
        <v>10</v>
      </c>
      <c r="E66">
        <f t="shared" si="2"/>
        <v>19200</v>
      </c>
      <c r="F66">
        <f t="shared" si="3"/>
        <v>3264.0000000000005</v>
      </c>
      <c r="G66">
        <f t="shared" si="4"/>
        <v>3133.4400000000005</v>
      </c>
      <c r="H66" s="35">
        <f>'More accurate Energy (Solar)'!N61</f>
        <v>3456000</v>
      </c>
      <c r="I66">
        <f t="shared" si="0"/>
        <v>960</v>
      </c>
      <c r="J66">
        <f t="shared" si="5"/>
        <v>2173.4400000000005</v>
      </c>
      <c r="K66">
        <f t="shared" si="6"/>
        <v>6000</v>
      </c>
      <c r="L66" t="str">
        <f t="shared" si="7"/>
        <v/>
      </c>
      <c r="O66" s="352"/>
    </row>
    <row r="67" spans="1:15">
      <c r="A67" s="375">
        <v>47</v>
      </c>
      <c r="B67" s="35" t="s">
        <v>162</v>
      </c>
      <c r="C67" s="376">
        <v>16</v>
      </c>
      <c r="D67">
        <f t="shared" si="1"/>
        <v>10</v>
      </c>
      <c r="E67">
        <f t="shared" si="2"/>
        <v>19200</v>
      </c>
      <c r="F67">
        <f t="shared" si="3"/>
        <v>3264.0000000000005</v>
      </c>
      <c r="G67">
        <f t="shared" si="4"/>
        <v>3133.4400000000005</v>
      </c>
      <c r="H67" s="35">
        <f>'More accurate Energy (Solar)'!N62</f>
        <v>3456000</v>
      </c>
      <c r="I67">
        <f t="shared" si="0"/>
        <v>960</v>
      </c>
      <c r="J67">
        <f t="shared" si="5"/>
        <v>2173.4400000000005</v>
      </c>
      <c r="K67">
        <f t="shared" si="6"/>
        <v>6000</v>
      </c>
      <c r="L67" t="str">
        <f t="shared" si="7"/>
        <v/>
      </c>
      <c r="O67" s="352"/>
    </row>
    <row r="68" spans="1:15">
      <c r="A68" s="375">
        <v>48</v>
      </c>
      <c r="B68" s="35" t="s">
        <v>162</v>
      </c>
      <c r="C68" s="376">
        <v>17</v>
      </c>
      <c r="D68">
        <f t="shared" si="1"/>
        <v>10</v>
      </c>
      <c r="E68">
        <f t="shared" si="2"/>
        <v>19200</v>
      </c>
      <c r="F68">
        <f t="shared" si="3"/>
        <v>3264.0000000000005</v>
      </c>
      <c r="G68">
        <f t="shared" si="4"/>
        <v>3133.4400000000005</v>
      </c>
      <c r="H68" s="35">
        <f>'More accurate Energy (Solar)'!N63</f>
        <v>3456000</v>
      </c>
      <c r="I68">
        <f t="shared" si="0"/>
        <v>960</v>
      </c>
      <c r="J68">
        <f t="shared" si="5"/>
        <v>2173.4400000000005</v>
      </c>
      <c r="K68">
        <f t="shared" si="6"/>
        <v>6000</v>
      </c>
      <c r="L68" t="str">
        <f t="shared" si="7"/>
        <v/>
      </c>
      <c r="O68" s="352"/>
    </row>
    <row r="69" spans="1:15">
      <c r="A69" s="375">
        <v>49</v>
      </c>
      <c r="B69" s="35" t="s">
        <v>162</v>
      </c>
      <c r="C69" s="376">
        <v>18</v>
      </c>
      <c r="D69">
        <f t="shared" si="1"/>
        <v>10</v>
      </c>
      <c r="E69">
        <f t="shared" si="2"/>
        <v>19200</v>
      </c>
      <c r="F69">
        <f t="shared" si="3"/>
        <v>3264.0000000000005</v>
      </c>
      <c r="G69">
        <f t="shared" si="4"/>
        <v>3133.4400000000005</v>
      </c>
      <c r="H69" s="35">
        <f>'More accurate Energy (Solar)'!N64</f>
        <v>8571429.8311990388</v>
      </c>
      <c r="I69">
        <f t="shared" si="0"/>
        <v>2380.9527308886218</v>
      </c>
      <c r="J69">
        <f t="shared" si="5"/>
        <v>752.48726911137874</v>
      </c>
      <c r="K69">
        <f t="shared" si="6"/>
        <v>6000</v>
      </c>
      <c r="L69" t="str">
        <f t="shared" si="7"/>
        <v/>
      </c>
      <c r="O69" s="352"/>
    </row>
    <row r="70" spans="1:15">
      <c r="A70" s="375">
        <v>50</v>
      </c>
      <c r="B70" s="35" t="s">
        <v>162</v>
      </c>
      <c r="C70" s="376">
        <v>19</v>
      </c>
      <c r="D70">
        <f t="shared" si="1"/>
        <v>10</v>
      </c>
      <c r="E70">
        <f t="shared" si="2"/>
        <v>19200</v>
      </c>
      <c r="F70">
        <f t="shared" si="3"/>
        <v>3264.0000000000005</v>
      </c>
      <c r="G70">
        <f t="shared" si="4"/>
        <v>3133.4400000000005</v>
      </c>
      <c r="H70" s="35">
        <f>'More accurate Energy (Solar)'!N65</f>
        <v>11512683.774139766</v>
      </c>
      <c r="I70">
        <f t="shared" si="0"/>
        <v>3197.9677150388238</v>
      </c>
      <c r="J70">
        <f t="shared" si="5"/>
        <v>-64.527715038823317</v>
      </c>
      <c r="K70">
        <f t="shared" si="6"/>
        <v>6000</v>
      </c>
      <c r="L70" t="str">
        <f t="shared" si="7"/>
        <v/>
      </c>
      <c r="O70" s="352"/>
    </row>
    <row r="71" spans="1:15">
      <c r="A71" s="375">
        <v>51</v>
      </c>
      <c r="B71" s="35" t="s">
        <v>162</v>
      </c>
      <c r="C71" s="376">
        <v>20</v>
      </c>
      <c r="D71">
        <f t="shared" si="1"/>
        <v>10</v>
      </c>
      <c r="E71">
        <f t="shared" si="2"/>
        <v>19200</v>
      </c>
      <c r="F71">
        <f t="shared" si="3"/>
        <v>3264.0000000000005</v>
      </c>
      <c r="G71">
        <f t="shared" si="4"/>
        <v>3133.4400000000005</v>
      </c>
      <c r="H71" s="35">
        <f>'More accurate Energy (Solar)'!N66</f>
        <v>5271937.5421474604</v>
      </c>
      <c r="I71">
        <f t="shared" si="0"/>
        <v>1464.4270950409611</v>
      </c>
      <c r="J71">
        <f t="shared" si="5"/>
        <v>1669.0129049590394</v>
      </c>
      <c r="K71">
        <f t="shared" si="6"/>
        <v>5935.4722849611771</v>
      </c>
      <c r="L71" t="str">
        <f t="shared" si="7"/>
        <v/>
      </c>
      <c r="O71" s="352"/>
    </row>
    <row r="72" spans="1:15">
      <c r="A72" s="375">
        <v>52</v>
      </c>
      <c r="B72" s="35" t="s">
        <v>162</v>
      </c>
      <c r="C72" s="376">
        <v>21</v>
      </c>
      <c r="D72">
        <f t="shared" si="1"/>
        <v>10</v>
      </c>
      <c r="E72">
        <f t="shared" si="2"/>
        <v>19200</v>
      </c>
      <c r="F72">
        <f t="shared" si="3"/>
        <v>3264.0000000000005</v>
      </c>
      <c r="G72">
        <f t="shared" si="4"/>
        <v>3133.4400000000005</v>
      </c>
      <c r="H72" s="35">
        <f>'More accurate Energy (Solar)'!N67</f>
        <v>3456000</v>
      </c>
      <c r="I72">
        <f t="shared" si="0"/>
        <v>960</v>
      </c>
      <c r="J72">
        <f t="shared" si="5"/>
        <v>2173.4400000000005</v>
      </c>
      <c r="K72">
        <f t="shared" si="6"/>
        <v>6000</v>
      </c>
      <c r="L72" t="str">
        <f t="shared" si="7"/>
        <v/>
      </c>
      <c r="O72" s="352"/>
    </row>
    <row r="73" spans="1:15">
      <c r="A73" s="375">
        <v>53</v>
      </c>
      <c r="B73" s="35" t="s">
        <v>162</v>
      </c>
      <c r="C73" s="376">
        <v>22</v>
      </c>
      <c r="D73">
        <f t="shared" si="1"/>
        <v>10</v>
      </c>
      <c r="E73">
        <f t="shared" si="2"/>
        <v>19200</v>
      </c>
      <c r="F73">
        <f t="shared" si="3"/>
        <v>3264.0000000000005</v>
      </c>
      <c r="G73">
        <f t="shared" si="4"/>
        <v>3133.4400000000005</v>
      </c>
      <c r="H73" s="35">
        <f>'More accurate Energy (Solar)'!N68</f>
        <v>3456000</v>
      </c>
      <c r="I73">
        <f t="shared" si="0"/>
        <v>960</v>
      </c>
      <c r="J73">
        <f t="shared" si="5"/>
        <v>2173.4400000000005</v>
      </c>
      <c r="K73">
        <f t="shared" si="6"/>
        <v>6000</v>
      </c>
      <c r="L73" t="str">
        <f t="shared" si="7"/>
        <v/>
      </c>
      <c r="O73" s="352"/>
    </row>
    <row r="74" spans="1:15">
      <c r="A74" s="375">
        <v>54</v>
      </c>
      <c r="B74" s="35" t="s">
        <v>162</v>
      </c>
      <c r="C74" s="376">
        <v>23</v>
      </c>
      <c r="D74">
        <f t="shared" si="1"/>
        <v>10</v>
      </c>
      <c r="E74">
        <f t="shared" si="2"/>
        <v>19200</v>
      </c>
      <c r="F74">
        <f t="shared" si="3"/>
        <v>3264.0000000000005</v>
      </c>
      <c r="G74">
        <f t="shared" si="4"/>
        <v>3133.4400000000005</v>
      </c>
      <c r="H74" s="35">
        <f>'More accurate Energy (Solar)'!N69</f>
        <v>3456000</v>
      </c>
      <c r="I74">
        <f t="shared" si="0"/>
        <v>960</v>
      </c>
      <c r="J74">
        <f t="shared" si="5"/>
        <v>2173.4400000000005</v>
      </c>
      <c r="K74">
        <f t="shared" si="6"/>
        <v>6000</v>
      </c>
      <c r="L74" t="str">
        <f t="shared" si="7"/>
        <v/>
      </c>
      <c r="O74" s="352"/>
    </row>
    <row r="75" spans="1:15">
      <c r="A75" s="375">
        <v>55</v>
      </c>
      <c r="B75" s="35" t="s">
        <v>162</v>
      </c>
      <c r="C75" s="376">
        <v>24</v>
      </c>
      <c r="D75">
        <f t="shared" si="1"/>
        <v>10</v>
      </c>
      <c r="E75">
        <f t="shared" si="2"/>
        <v>19200</v>
      </c>
      <c r="F75">
        <f t="shared" si="3"/>
        <v>3264.0000000000005</v>
      </c>
      <c r="G75">
        <f t="shared" si="4"/>
        <v>3133.4400000000005</v>
      </c>
      <c r="H75" s="35">
        <f>'More accurate Energy (Solar)'!N70</f>
        <v>4785381.2882989179</v>
      </c>
      <c r="I75">
        <f t="shared" si="0"/>
        <v>1329.2725800830328</v>
      </c>
      <c r="J75">
        <f t="shared" si="5"/>
        <v>1804.1674199169677</v>
      </c>
      <c r="K75">
        <f t="shared" si="6"/>
        <v>6000</v>
      </c>
      <c r="L75" t="str">
        <f t="shared" si="7"/>
        <v/>
      </c>
      <c r="O75" s="352"/>
    </row>
    <row r="76" spans="1:15">
      <c r="A76" s="375">
        <v>56</v>
      </c>
      <c r="B76" s="35" t="s">
        <v>162</v>
      </c>
      <c r="C76" s="376">
        <v>25</v>
      </c>
      <c r="D76">
        <f t="shared" si="1"/>
        <v>10</v>
      </c>
      <c r="E76">
        <f t="shared" si="2"/>
        <v>19200</v>
      </c>
      <c r="F76">
        <f t="shared" si="3"/>
        <v>3264.0000000000005</v>
      </c>
      <c r="G76">
        <f t="shared" si="4"/>
        <v>3133.4400000000005</v>
      </c>
      <c r="H76" s="35">
        <f>'More accurate Energy (Solar)'!N71</f>
        <v>8903029.0582783073</v>
      </c>
      <c r="I76">
        <f t="shared" si="0"/>
        <v>2473.0636272995298</v>
      </c>
      <c r="J76">
        <f t="shared" si="5"/>
        <v>660.37637270047071</v>
      </c>
      <c r="K76">
        <f t="shared" si="6"/>
        <v>6000</v>
      </c>
      <c r="L76" t="str">
        <f t="shared" si="7"/>
        <v/>
      </c>
      <c r="O76" s="352"/>
    </row>
    <row r="77" spans="1:15">
      <c r="A77" s="375">
        <v>57</v>
      </c>
      <c r="B77" s="35" t="s">
        <v>162</v>
      </c>
      <c r="C77" s="376">
        <v>26</v>
      </c>
      <c r="D77">
        <f t="shared" si="1"/>
        <v>10</v>
      </c>
      <c r="E77">
        <f t="shared" si="2"/>
        <v>19200</v>
      </c>
      <c r="F77">
        <f t="shared" si="3"/>
        <v>3264.0000000000005</v>
      </c>
      <c r="G77">
        <f t="shared" si="4"/>
        <v>3133.4400000000005</v>
      </c>
      <c r="H77" s="35">
        <f>'More accurate Energy (Solar)'!N72</f>
        <v>10745211.681043191</v>
      </c>
      <c r="I77">
        <f t="shared" si="0"/>
        <v>2984.7810225119974</v>
      </c>
      <c r="J77">
        <f t="shared" si="5"/>
        <v>148.65897748800307</v>
      </c>
      <c r="K77">
        <f t="shared" si="6"/>
        <v>6000</v>
      </c>
      <c r="L77" t="str">
        <f t="shared" si="7"/>
        <v/>
      </c>
      <c r="O77" s="352"/>
    </row>
    <row r="78" spans="1:15">
      <c r="A78" s="375">
        <v>58</v>
      </c>
      <c r="B78" s="35" t="s">
        <v>162</v>
      </c>
      <c r="C78" s="376">
        <v>27</v>
      </c>
      <c r="D78">
        <f t="shared" si="1"/>
        <v>10</v>
      </c>
      <c r="E78">
        <f t="shared" si="2"/>
        <v>19200</v>
      </c>
      <c r="F78">
        <f t="shared" si="3"/>
        <v>3264.0000000000005</v>
      </c>
      <c r="G78">
        <f t="shared" si="4"/>
        <v>3133.4400000000005</v>
      </c>
      <c r="H78" s="35">
        <f>'More accurate Energy (Solar)'!N73</f>
        <v>5271937.5421474604</v>
      </c>
      <c r="I78">
        <f t="shared" si="0"/>
        <v>1464.4270950409611</v>
      </c>
      <c r="J78">
        <f t="shared" si="5"/>
        <v>1669.0129049590394</v>
      </c>
      <c r="K78">
        <f t="shared" si="6"/>
        <v>6000</v>
      </c>
      <c r="L78" t="str">
        <f t="shared" si="7"/>
        <v/>
      </c>
      <c r="O78" s="352"/>
    </row>
    <row r="79" spans="1:15">
      <c r="A79" s="375">
        <v>59</v>
      </c>
      <c r="B79" s="35" t="s">
        <v>162</v>
      </c>
      <c r="C79" s="376">
        <v>28</v>
      </c>
      <c r="D79">
        <f t="shared" si="1"/>
        <v>10</v>
      </c>
      <c r="E79">
        <f t="shared" si="2"/>
        <v>19200</v>
      </c>
      <c r="F79">
        <f t="shared" si="3"/>
        <v>3264.0000000000005</v>
      </c>
      <c r="G79">
        <f t="shared" si="4"/>
        <v>3133.4400000000005</v>
      </c>
      <c r="H79" s="35">
        <f>'More accurate Energy (Solar)'!N74</f>
        <v>3456000</v>
      </c>
      <c r="I79">
        <f t="shared" si="0"/>
        <v>960</v>
      </c>
      <c r="J79">
        <f t="shared" si="5"/>
        <v>2173.4400000000005</v>
      </c>
      <c r="K79">
        <f t="shared" si="6"/>
        <v>6000</v>
      </c>
      <c r="L79" t="str">
        <f t="shared" si="7"/>
        <v/>
      </c>
      <c r="O79" s="352"/>
    </row>
    <row r="80" spans="1:15">
      <c r="A80" s="375">
        <v>60</v>
      </c>
      <c r="B80" s="35" t="s">
        <v>163</v>
      </c>
      <c r="C80" s="376">
        <v>1</v>
      </c>
      <c r="D80">
        <f t="shared" si="1"/>
        <v>11.8</v>
      </c>
      <c r="E80">
        <f t="shared" si="2"/>
        <v>22656</v>
      </c>
      <c r="F80">
        <f t="shared" si="3"/>
        <v>3851.5200000000004</v>
      </c>
      <c r="G80">
        <f t="shared" si="4"/>
        <v>3697.4592000000002</v>
      </c>
      <c r="H80" s="35">
        <f>'More accurate Energy (Solar)'!N75</f>
        <v>6432849.3731696447</v>
      </c>
      <c r="I80">
        <f t="shared" si="0"/>
        <v>1786.9026036582347</v>
      </c>
      <c r="J80">
        <f t="shared" si="5"/>
        <v>1910.5565963417655</v>
      </c>
      <c r="K80">
        <f t="shared" si="6"/>
        <v>6000</v>
      </c>
      <c r="L80" t="str">
        <f t="shared" si="7"/>
        <v/>
      </c>
      <c r="O80" s="352"/>
    </row>
    <row r="81" spans="1:15">
      <c r="A81" s="375">
        <v>61</v>
      </c>
      <c r="B81" s="35" t="s">
        <v>163</v>
      </c>
      <c r="C81" s="376">
        <v>2</v>
      </c>
      <c r="D81">
        <f t="shared" si="1"/>
        <v>11.8</v>
      </c>
      <c r="E81">
        <f t="shared" si="2"/>
        <v>22656</v>
      </c>
      <c r="F81">
        <f t="shared" si="3"/>
        <v>3851.5200000000004</v>
      </c>
      <c r="G81">
        <f t="shared" si="4"/>
        <v>3697.4592000000002</v>
      </c>
      <c r="H81" s="35">
        <f>'More accurate Energy (Solar)'!N76</f>
        <v>3456000</v>
      </c>
      <c r="I81">
        <f t="shared" si="0"/>
        <v>960</v>
      </c>
      <c r="J81">
        <f t="shared" si="5"/>
        <v>2737.4592000000002</v>
      </c>
      <c r="K81">
        <f t="shared" si="6"/>
        <v>6000</v>
      </c>
      <c r="L81" t="str">
        <f t="shared" si="7"/>
        <v/>
      </c>
      <c r="O81" s="352"/>
    </row>
    <row r="82" spans="1:15">
      <c r="A82" s="375">
        <v>62</v>
      </c>
      <c r="B82" s="35" t="s">
        <v>163</v>
      </c>
      <c r="C82" s="376">
        <v>3</v>
      </c>
      <c r="D82">
        <f t="shared" si="1"/>
        <v>11.8</v>
      </c>
      <c r="E82">
        <f t="shared" si="2"/>
        <v>22656</v>
      </c>
      <c r="F82">
        <f t="shared" si="3"/>
        <v>3851.5200000000004</v>
      </c>
      <c r="G82">
        <f t="shared" si="4"/>
        <v>3697.4592000000002</v>
      </c>
      <c r="H82" s="35">
        <f>'More accurate Energy (Solar)'!N77</f>
        <v>3456000</v>
      </c>
      <c r="I82">
        <f t="shared" si="0"/>
        <v>960</v>
      </c>
      <c r="J82">
        <f t="shared" si="5"/>
        <v>2737.4592000000002</v>
      </c>
      <c r="K82">
        <f t="shared" si="6"/>
        <v>6000</v>
      </c>
      <c r="L82" t="str">
        <f t="shared" si="7"/>
        <v/>
      </c>
      <c r="O82" s="352"/>
    </row>
    <row r="83" spans="1:15">
      <c r="A83" s="375">
        <v>63</v>
      </c>
      <c r="B83" s="35" t="s">
        <v>163</v>
      </c>
      <c r="C83" s="376">
        <v>4</v>
      </c>
      <c r="D83">
        <f t="shared" si="1"/>
        <v>11.8</v>
      </c>
      <c r="E83">
        <f t="shared" si="2"/>
        <v>22656</v>
      </c>
      <c r="F83">
        <f t="shared" si="3"/>
        <v>3851.5200000000004</v>
      </c>
      <c r="G83">
        <f t="shared" si="4"/>
        <v>3697.4592000000002</v>
      </c>
      <c r="H83" s="35">
        <f>'More accurate Energy (Solar)'!N78</f>
        <v>5271937.5421474604</v>
      </c>
      <c r="I83">
        <f t="shared" si="0"/>
        <v>1464.4270950409611</v>
      </c>
      <c r="J83">
        <f t="shared" si="5"/>
        <v>2233.0321049590393</v>
      </c>
      <c r="K83">
        <f t="shared" si="6"/>
        <v>6000</v>
      </c>
      <c r="L83" t="str">
        <f t="shared" si="7"/>
        <v/>
      </c>
      <c r="O83" s="352"/>
    </row>
    <row r="84" spans="1:15">
      <c r="A84" s="375">
        <v>64</v>
      </c>
      <c r="B84" s="35" t="s">
        <v>163</v>
      </c>
      <c r="C84" s="376">
        <v>5</v>
      </c>
      <c r="D84">
        <f t="shared" si="1"/>
        <v>11.8</v>
      </c>
      <c r="E84">
        <f t="shared" si="2"/>
        <v>22656</v>
      </c>
      <c r="F84">
        <f t="shared" si="3"/>
        <v>3851.5200000000004</v>
      </c>
      <c r="G84">
        <f t="shared" si="4"/>
        <v>3697.4592000000002</v>
      </c>
      <c r="H84" s="35">
        <f>'More accurate Energy (Solar)'!N79</f>
        <v>7028411.3949824264</v>
      </c>
      <c r="I84">
        <f t="shared" si="0"/>
        <v>1952.3364986062295</v>
      </c>
      <c r="J84">
        <f t="shared" si="5"/>
        <v>1745.1227013937707</v>
      </c>
      <c r="K84">
        <f t="shared" si="6"/>
        <v>6000</v>
      </c>
      <c r="L84" t="str">
        <f t="shared" si="7"/>
        <v/>
      </c>
      <c r="O84" s="352"/>
    </row>
    <row r="85" spans="1:15">
      <c r="A85" s="375">
        <v>65</v>
      </c>
      <c r="B85" s="35" t="s">
        <v>163</v>
      </c>
      <c r="C85" s="376">
        <v>6</v>
      </c>
      <c r="D85">
        <f t="shared" si="1"/>
        <v>11.8</v>
      </c>
      <c r="E85">
        <f t="shared" ref="E85:E148" si="8">$B$3*$H$1*$B$8*D85</f>
        <v>22656</v>
      </c>
      <c r="F85">
        <f t="shared" si="3"/>
        <v>3851.5200000000004</v>
      </c>
      <c r="G85">
        <f t="shared" si="4"/>
        <v>3697.4592000000002</v>
      </c>
      <c r="H85" s="35">
        <f>'More accurate Energy (Solar)'!N80</f>
        <v>5936504.960119551</v>
      </c>
      <c r="I85">
        <f t="shared" ref="I85:I148" si="9">H85/3600</f>
        <v>1649.0291555887641</v>
      </c>
      <c r="J85">
        <f t="shared" si="5"/>
        <v>2048.4300444112359</v>
      </c>
      <c r="K85">
        <f t="shared" si="6"/>
        <v>6000</v>
      </c>
      <c r="L85" t="str">
        <f t="shared" si="7"/>
        <v/>
      </c>
      <c r="O85" s="352"/>
    </row>
    <row r="86" spans="1:15">
      <c r="A86" s="375">
        <v>66</v>
      </c>
      <c r="B86" s="35" t="s">
        <v>163</v>
      </c>
      <c r="C86" s="376">
        <v>7</v>
      </c>
      <c r="D86">
        <f t="shared" ref="D86:D149" si="10">INDEX($M$4:$M$15,MATCH(B86,$L$4:$L$15,0))</f>
        <v>11.8</v>
      </c>
      <c r="E86">
        <f t="shared" si="8"/>
        <v>22656</v>
      </c>
      <c r="F86">
        <f t="shared" ref="F86:F149" si="11">E86*$B$5</f>
        <v>3851.5200000000004</v>
      </c>
      <c r="G86">
        <f t="shared" ref="G86:G149" si="12">F86*$F$4</f>
        <v>3697.4592000000002</v>
      </c>
      <c r="H86" s="35">
        <f>'More accurate Energy (Solar)'!N81</f>
        <v>3456000</v>
      </c>
      <c r="I86">
        <f t="shared" si="9"/>
        <v>960</v>
      </c>
      <c r="J86">
        <f t="shared" ref="J86:J149" si="13">G86-I86</f>
        <v>2737.4592000000002</v>
      </c>
      <c r="K86">
        <f t="shared" ref="K86:K149" si="14">MIN(MAX(K85+J85,0),$F$3*$F$6)</f>
        <v>6000</v>
      </c>
      <c r="L86" t="str">
        <f t="shared" ref="L86:L149" si="15">IF(K86 = 0, 1, "")</f>
        <v/>
      </c>
      <c r="O86" s="352"/>
    </row>
    <row r="87" spans="1:15">
      <c r="A87" s="375">
        <v>67</v>
      </c>
      <c r="B87" s="35" t="s">
        <v>163</v>
      </c>
      <c r="C87" s="376">
        <v>8</v>
      </c>
      <c r="D87">
        <f t="shared" si="10"/>
        <v>11.8</v>
      </c>
      <c r="E87">
        <f t="shared" si="8"/>
        <v>22656</v>
      </c>
      <c r="F87">
        <f t="shared" si="11"/>
        <v>3851.5200000000004</v>
      </c>
      <c r="G87">
        <f t="shared" si="12"/>
        <v>3697.4592000000002</v>
      </c>
      <c r="H87" s="35">
        <f>'More accurate Energy (Solar)'!N82</f>
        <v>5271937.5421474604</v>
      </c>
      <c r="I87">
        <f t="shared" si="9"/>
        <v>1464.4270950409611</v>
      </c>
      <c r="J87">
        <f t="shared" si="13"/>
        <v>2233.0321049590393</v>
      </c>
      <c r="K87">
        <f t="shared" si="14"/>
        <v>6000</v>
      </c>
      <c r="L87" t="str">
        <f t="shared" si="15"/>
        <v/>
      </c>
      <c r="O87" s="352"/>
    </row>
    <row r="88" spans="1:15">
      <c r="A88" s="375">
        <v>68</v>
      </c>
      <c r="B88" s="35" t="s">
        <v>163</v>
      </c>
      <c r="C88" s="376">
        <v>9</v>
      </c>
      <c r="D88">
        <f t="shared" si="10"/>
        <v>11.8</v>
      </c>
      <c r="E88">
        <f t="shared" si="8"/>
        <v>22656</v>
      </c>
      <c r="F88">
        <f t="shared" si="11"/>
        <v>3851.5200000000004</v>
      </c>
      <c r="G88">
        <f t="shared" si="12"/>
        <v>3697.4592000000002</v>
      </c>
      <c r="H88" s="35">
        <f>'More accurate Energy (Solar)'!N83</f>
        <v>5271937.5421474604</v>
      </c>
      <c r="I88">
        <f t="shared" si="9"/>
        <v>1464.4270950409611</v>
      </c>
      <c r="J88">
        <f t="shared" si="13"/>
        <v>2233.0321049590393</v>
      </c>
      <c r="K88">
        <f t="shared" si="14"/>
        <v>6000</v>
      </c>
      <c r="L88" t="str">
        <f t="shared" si="15"/>
        <v/>
      </c>
      <c r="O88" s="352"/>
    </row>
    <row r="89" spans="1:15">
      <c r="A89" s="375">
        <v>69</v>
      </c>
      <c r="B89" s="35" t="s">
        <v>163</v>
      </c>
      <c r="C89" s="376">
        <v>10</v>
      </c>
      <c r="D89">
        <f t="shared" si="10"/>
        <v>11.8</v>
      </c>
      <c r="E89">
        <f t="shared" si="8"/>
        <v>22656</v>
      </c>
      <c r="F89">
        <f t="shared" si="11"/>
        <v>3851.5200000000004</v>
      </c>
      <c r="G89">
        <f t="shared" si="12"/>
        <v>3697.4592000000002</v>
      </c>
      <c r="H89" s="35">
        <f>'More accurate Energy (Solar)'!N84</f>
        <v>7813618.2510619583</v>
      </c>
      <c r="I89">
        <f t="shared" si="9"/>
        <v>2170.4495141838775</v>
      </c>
      <c r="J89">
        <f t="shared" si="13"/>
        <v>1527.0096858161228</v>
      </c>
      <c r="K89">
        <f t="shared" si="14"/>
        <v>6000</v>
      </c>
      <c r="L89" t="str">
        <f t="shared" si="15"/>
        <v/>
      </c>
      <c r="O89" s="352"/>
    </row>
    <row r="90" spans="1:15">
      <c r="A90" s="375">
        <v>70</v>
      </c>
      <c r="B90" s="35" t="s">
        <v>163</v>
      </c>
      <c r="C90" s="376">
        <v>11</v>
      </c>
      <c r="D90">
        <f t="shared" si="10"/>
        <v>11.8</v>
      </c>
      <c r="E90">
        <f t="shared" si="8"/>
        <v>22656</v>
      </c>
      <c r="F90">
        <f t="shared" si="11"/>
        <v>3851.5200000000004</v>
      </c>
      <c r="G90">
        <f t="shared" si="12"/>
        <v>3697.4592000000002</v>
      </c>
      <c r="H90" s="35">
        <f>'More accurate Energy (Solar)'!N85</f>
        <v>12316618.535820922</v>
      </c>
      <c r="I90">
        <f t="shared" si="9"/>
        <v>3421.2829266169229</v>
      </c>
      <c r="J90">
        <f t="shared" si="13"/>
        <v>276.17627338307739</v>
      </c>
      <c r="K90">
        <f t="shared" si="14"/>
        <v>6000</v>
      </c>
      <c r="L90" t="str">
        <f t="shared" si="15"/>
        <v/>
      </c>
      <c r="O90" s="352"/>
    </row>
    <row r="91" spans="1:15">
      <c r="A91" s="375">
        <v>71</v>
      </c>
      <c r="B91" s="35" t="s">
        <v>163</v>
      </c>
      <c r="C91" s="376">
        <v>12</v>
      </c>
      <c r="D91">
        <f t="shared" si="10"/>
        <v>11.8</v>
      </c>
      <c r="E91">
        <f t="shared" si="8"/>
        <v>22656</v>
      </c>
      <c r="F91">
        <f t="shared" si="11"/>
        <v>3851.5200000000004</v>
      </c>
      <c r="G91">
        <f t="shared" si="12"/>
        <v>3697.4592000000002</v>
      </c>
      <c r="H91" s="35">
        <f>'More accurate Energy (Solar)'!N86</f>
        <v>10670393.417116597</v>
      </c>
      <c r="I91">
        <f t="shared" si="9"/>
        <v>2963.9981714212772</v>
      </c>
      <c r="J91">
        <f t="shared" si="13"/>
        <v>733.46102857872302</v>
      </c>
      <c r="K91">
        <f t="shared" si="14"/>
        <v>6000</v>
      </c>
      <c r="L91" t="str">
        <f t="shared" si="15"/>
        <v/>
      </c>
      <c r="O91" s="352"/>
    </row>
    <row r="92" spans="1:15">
      <c r="A92" s="375">
        <v>72</v>
      </c>
      <c r="B92" s="35" t="s">
        <v>163</v>
      </c>
      <c r="C92" s="376">
        <v>13</v>
      </c>
      <c r="D92">
        <f t="shared" si="10"/>
        <v>11.8</v>
      </c>
      <c r="E92">
        <f t="shared" si="8"/>
        <v>22656</v>
      </c>
      <c r="F92">
        <f t="shared" si="11"/>
        <v>3851.5200000000004</v>
      </c>
      <c r="G92">
        <f t="shared" si="12"/>
        <v>3697.4592000000002</v>
      </c>
      <c r="H92" s="35">
        <f>'More accurate Energy (Solar)'!N87</f>
        <v>12714219.561755959</v>
      </c>
      <c r="I92">
        <f t="shared" si="9"/>
        <v>3531.727656043322</v>
      </c>
      <c r="J92">
        <f t="shared" si="13"/>
        <v>165.73154395667825</v>
      </c>
      <c r="K92">
        <f t="shared" si="14"/>
        <v>6000</v>
      </c>
      <c r="L92" t="str">
        <f t="shared" si="15"/>
        <v/>
      </c>
      <c r="O92" s="352"/>
    </row>
    <row r="93" spans="1:15">
      <c r="A93" s="375">
        <v>73</v>
      </c>
      <c r="B93" s="35" t="s">
        <v>163</v>
      </c>
      <c r="C93" s="376">
        <v>14</v>
      </c>
      <c r="D93">
        <f t="shared" si="10"/>
        <v>11.8</v>
      </c>
      <c r="E93">
        <f t="shared" si="8"/>
        <v>22656</v>
      </c>
      <c r="F93">
        <f t="shared" si="11"/>
        <v>3851.5200000000004</v>
      </c>
      <c r="G93">
        <f t="shared" si="12"/>
        <v>3697.4592000000002</v>
      </c>
      <c r="H93" s="35">
        <f>'More accurate Energy (Solar)'!N88</f>
        <v>5635364.2431826424</v>
      </c>
      <c r="I93">
        <f t="shared" si="9"/>
        <v>1565.3789564396229</v>
      </c>
      <c r="J93">
        <f t="shared" si="13"/>
        <v>2132.0802435603773</v>
      </c>
      <c r="K93">
        <f t="shared" si="14"/>
        <v>6000</v>
      </c>
      <c r="L93" t="str">
        <f t="shared" si="15"/>
        <v/>
      </c>
      <c r="O93" s="352"/>
    </row>
    <row r="94" spans="1:15">
      <c r="A94" s="375">
        <v>74</v>
      </c>
      <c r="B94" s="35" t="s">
        <v>163</v>
      </c>
      <c r="C94" s="376">
        <v>15</v>
      </c>
      <c r="D94">
        <f t="shared" si="10"/>
        <v>11.8</v>
      </c>
      <c r="E94">
        <f t="shared" si="8"/>
        <v>22656</v>
      </c>
      <c r="F94">
        <f t="shared" si="11"/>
        <v>3851.5200000000004</v>
      </c>
      <c r="G94">
        <f t="shared" si="12"/>
        <v>3697.4592000000002</v>
      </c>
      <c r="H94" s="35">
        <f>'More accurate Energy (Solar)'!N89</f>
        <v>3456000</v>
      </c>
      <c r="I94">
        <f t="shared" si="9"/>
        <v>960</v>
      </c>
      <c r="J94">
        <f t="shared" si="13"/>
        <v>2737.4592000000002</v>
      </c>
      <c r="K94">
        <f t="shared" si="14"/>
        <v>6000</v>
      </c>
      <c r="L94" t="str">
        <f t="shared" si="15"/>
        <v/>
      </c>
      <c r="O94" s="352"/>
    </row>
    <row r="95" spans="1:15">
      <c r="A95" s="375">
        <v>75</v>
      </c>
      <c r="B95" s="35" t="s">
        <v>163</v>
      </c>
      <c r="C95" s="376">
        <v>16</v>
      </c>
      <c r="D95">
        <f t="shared" si="10"/>
        <v>11.8</v>
      </c>
      <c r="E95">
        <f t="shared" si="8"/>
        <v>22656</v>
      </c>
      <c r="F95">
        <f t="shared" si="11"/>
        <v>3851.5200000000004</v>
      </c>
      <c r="G95">
        <f t="shared" si="12"/>
        <v>3697.4592000000002</v>
      </c>
      <c r="H95" s="35">
        <f>'More accurate Energy (Solar)'!N90</f>
        <v>3456000</v>
      </c>
      <c r="I95">
        <f t="shared" si="9"/>
        <v>960</v>
      </c>
      <c r="J95">
        <f t="shared" si="13"/>
        <v>2737.4592000000002</v>
      </c>
      <c r="K95">
        <f t="shared" si="14"/>
        <v>6000</v>
      </c>
      <c r="L95" t="str">
        <f t="shared" si="15"/>
        <v/>
      </c>
      <c r="O95" s="352"/>
    </row>
    <row r="96" spans="1:15">
      <c r="A96" s="375">
        <v>76</v>
      </c>
      <c r="B96" s="35" t="s">
        <v>163</v>
      </c>
      <c r="C96" s="376">
        <v>17</v>
      </c>
      <c r="D96">
        <f t="shared" si="10"/>
        <v>11.8</v>
      </c>
      <c r="E96">
        <f t="shared" si="8"/>
        <v>22656</v>
      </c>
      <c r="F96">
        <f t="shared" si="11"/>
        <v>3851.5200000000004</v>
      </c>
      <c r="G96">
        <f t="shared" si="12"/>
        <v>3697.4592000000002</v>
      </c>
      <c r="H96" s="35">
        <f>'More accurate Energy (Solar)'!N91</f>
        <v>3456000</v>
      </c>
      <c r="I96">
        <f t="shared" si="9"/>
        <v>960</v>
      </c>
      <c r="J96">
        <f t="shared" si="13"/>
        <v>2737.4592000000002</v>
      </c>
      <c r="K96">
        <f t="shared" si="14"/>
        <v>6000</v>
      </c>
      <c r="L96" t="str">
        <f t="shared" si="15"/>
        <v/>
      </c>
      <c r="O96" s="352"/>
    </row>
    <row r="97" spans="1:15">
      <c r="A97" s="375">
        <v>77</v>
      </c>
      <c r="B97" s="35" t="s">
        <v>163</v>
      </c>
      <c r="C97" s="376">
        <v>18</v>
      </c>
      <c r="D97">
        <f t="shared" si="10"/>
        <v>11.8</v>
      </c>
      <c r="E97">
        <f t="shared" si="8"/>
        <v>22656</v>
      </c>
      <c r="F97">
        <f t="shared" si="11"/>
        <v>3851.5200000000004</v>
      </c>
      <c r="G97">
        <f t="shared" si="12"/>
        <v>3697.4592000000002</v>
      </c>
      <c r="H97" s="35">
        <f>'More accurate Energy (Solar)'!N92</f>
        <v>12714219.561755959</v>
      </c>
      <c r="I97">
        <f t="shared" si="9"/>
        <v>3531.727656043322</v>
      </c>
      <c r="J97">
        <f t="shared" si="13"/>
        <v>165.73154395667825</v>
      </c>
      <c r="K97">
        <f t="shared" si="14"/>
        <v>6000</v>
      </c>
      <c r="L97" t="str">
        <f t="shared" si="15"/>
        <v/>
      </c>
      <c r="O97" s="352"/>
    </row>
    <row r="98" spans="1:15">
      <c r="A98" s="375">
        <v>78</v>
      </c>
      <c r="B98" s="35" t="s">
        <v>163</v>
      </c>
      <c r="C98" s="376">
        <v>19</v>
      </c>
      <c r="D98">
        <f t="shared" si="10"/>
        <v>11.8</v>
      </c>
      <c r="E98">
        <f t="shared" si="8"/>
        <v>22656</v>
      </c>
      <c r="F98">
        <f t="shared" si="11"/>
        <v>3851.5200000000004</v>
      </c>
      <c r="G98">
        <f t="shared" si="12"/>
        <v>3697.4592000000002</v>
      </c>
      <c r="H98" s="35">
        <f>'More accurate Energy (Solar)'!N93</f>
        <v>12714219.561755959</v>
      </c>
      <c r="I98">
        <f t="shared" si="9"/>
        <v>3531.727656043322</v>
      </c>
      <c r="J98">
        <f t="shared" si="13"/>
        <v>165.73154395667825</v>
      </c>
      <c r="K98">
        <f t="shared" si="14"/>
        <v>6000</v>
      </c>
      <c r="L98" t="str">
        <f t="shared" si="15"/>
        <v/>
      </c>
      <c r="O98" s="352"/>
    </row>
    <row r="99" spans="1:15">
      <c r="A99" s="375">
        <v>79</v>
      </c>
      <c r="B99" s="35" t="s">
        <v>163</v>
      </c>
      <c r="C99" s="376">
        <v>20</v>
      </c>
      <c r="D99">
        <f t="shared" si="10"/>
        <v>11.8</v>
      </c>
      <c r="E99">
        <f t="shared" si="8"/>
        <v>22656</v>
      </c>
      <c r="F99">
        <f t="shared" si="11"/>
        <v>3851.5200000000004</v>
      </c>
      <c r="G99">
        <f t="shared" si="12"/>
        <v>3697.4592000000002</v>
      </c>
      <c r="H99" s="35">
        <f>'More accurate Energy (Solar)'!N94</f>
        <v>12714219.561755959</v>
      </c>
      <c r="I99">
        <f t="shared" si="9"/>
        <v>3531.727656043322</v>
      </c>
      <c r="J99">
        <f t="shared" si="13"/>
        <v>165.73154395667825</v>
      </c>
      <c r="K99">
        <f t="shared" si="14"/>
        <v>6000</v>
      </c>
      <c r="L99" t="str">
        <f t="shared" si="15"/>
        <v/>
      </c>
      <c r="O99" s="352"/>
    </row>
    <row r="100" spans="1:15">
      <c r="A100" s="375">
        <v>80</v>
      </c>
      <c r="B100" s="35" t="s">
        <v>163</v>
      </c>
      <c r="C100" s="376">
        <v>21</v>
      </c>
      <c r="D100">
        <f t="shared" si="10"/>
        <v>11.8</v>
      </c>
      <c r="E100">
        <f t="shared" si="8"/>
        <v>22656</v>
      </c>
      <c r="F100">
        <f t="shared" si="11"/>
        <v>3851.5200000000004</v>
      </c>
      <c r="G100">
        <f t="shared" si="12"/>
        <v>3697.4592000000002</v>
      </c>
      <c r="H100" s="35">
        <f>'More accurate Energy (Solar)'!N95</f>
        <v>3456000</v>
      </c>
      <c r="I100">
        <f t="shared" si="9"/>
        <v>960</v>
      </c>
      <c r="J100">
        <f t="shared" si="13"/>
        <v>2737.4592000000002</v>
      </c>
      <c r="K100">
        <f t="shared" si="14"/>
        <v>6000</v>
      </c>
      <c r="L100" t="str">
        <f t="shared" si="15"/>
        <v/>
      </c>
      <c r="O100" s="352"/>
    </row>
    <row r="101" spans="1:15">
      <c r="A101" s="375">
        <v>81</v>
      </c>
      <c r="B101" s="35" t="s">
        <v>163</v>
      </c>
      <c r="C101" s="376">
        <v>22</v>
      </c>
      <c r="D101">
        <f t="shared" si="10"/>
        <v>11.8</v>
      </c>
      <c r="E101">
        <f t="shared" si="8"/>
        <v>22656</v>
      </c>
      <c r="F101">
        <f t="shared" si="11"/>
        <v>3851.5200000000004</v>
      </c>
      <c r="G101">
        <f t="shared" si="12"/>
        <v>3697.4592000000002</v>
      </c>
      <c r="H101" s="35">
        <f>'More accurate Energy (Solar)'!N96</f>
        <v>10033591.557861375</v>
      </c>
      <c r="I101">
        <f t="shared" si="9"/>
        <v>2787.1087660726039</v>
      </c>
      <c r="J101">
        <f t="shared" si="13"/>
        <v>910.35043392739635</v>
      </c>
      <c r="K101">
        <f t="shared" si="14"/>
        <v>6000</v>
      </c>
      <c r="L101" t="str">
        <f t="shared" si="15"/>
        <v/>
      </c>
      <c r="O101" s="352"/>
    </row>
    <row r="102" spans="1:15">
      <c r="A102" s="375">
        <v>82</v>
      </c>
      <c r="B102" s="35" t="s">
        <v>163</v>
      </c>
      <c r="C102" s="376">
        <v>23</v>
      </c>
      <c r="D102">
        <f t="shared" si="10"/>
        <v>11.8</v>
      </c>
      <c r="E102">
        <f t="shared" si="8"/>
        <v>22656</v>
      </c>
      <c r="F102">
        <f t="shared" si="11"/>
        <v>3851.5200000000004</v>
      </c>
      <c r="G102">
        <f t="shared" si="12"/>
        <v>3697.4592000000002</v>
      </c>
      <c r="H102" s="35">
        <f>'More accurate Energy (Solar)'!N97</f>
        <v>11035434.067640014</v>
      </c>
      <c r="I102">
        <f t="shared" si="9"/>
        <v>3065.3983521222262</v>
      </c>
      <c r="J102">
        <f t="shared" si="13"/>
        <v>632.06084787777399</v>
      </c>
      <c r="K102">
        <f t="shared" si="14"/>
        <v>6000</v>
      </c>
      <c r="L102" t="str">
        <f t="shared" si="15"/>
        <v/>
      </c>
      <c r="O102" s="352"/>
    </row>
    <row r="103" spans="1:15">
      <c r="A103" s="375">
        <v>83</v>
      </c>
      <c r="B103" s="35" t="s">
        <v>163</v>
      </c>
      <c r="C103" s="376">
        <v>24</v>
      </c>
      <c r="D103">
        <f t="shared" si="10"/>
        <v>11.8</v>
      </c>
      <c r="E103">
        <f t="shared" si="8"/>
        <v>22656</v>
      </c>
      <c r="F103">
        <f t="shared" si="11"/>
        <v>3851.5200000000004</v>
      </c>
      <c r="G103">
        <f t="shared" si="12"/>
        <v>3697.4592000000002</v>
      </c>
      <c r="H103" s="35">
        <f>'More accurate Energy (Solar)'!N98</f>
        <v>12714219.561755959</v>
      </c>
      <c r="I103">
        <f t="shared" si="9"/>
        <v>3531.727656043322</v>
      </c>
      <c r="J103">
        <f t="shared" si="13"/>
        <v>165.73154395667825</v>
      </c>
      <c r="K103">
        <f t="shared" si="14"/>
        <v>6000</v>
      </c>
      <c r="L103" t="str">
        <f t="shared" si="15"/>
        <v/>
      </c>
      <c r="O103" s="352"/>
    </row>
    <row r="104" spans="1:15">
      <c r="A104" s="375">
        <v>84</v>
      </c>
      <c r="B104" s="35" t="s">
        <v>163</v>
      </c>
      <c r="C104" s="376">
        <v>25</v>
      </c>
      <c r="D104">
        <f t="shared" si="10"/>
        <v>11.8</v>
      </c>
      <c r="E104">
        <f t="shared" si="8"/>
        <v>22656</v>
      </c>
      <c r="F104">
        <f t="shared" si="11"/>
        <v>3851.5200000000004</v>
      </c>
      <c r="G104">
        <f t="shared" si="12"/>
        <v>3697.4592000000002</v>
      </c>
      <c r="H104" s="35">
        <f>'More accurate Energy (Solar)'!N99</f>
        <v>12714219.561755959</v>
      </c>
      <c r="I104">
        <f t="shared" si="9"/>
        <v>3531.727656043322</v>
      </c>
      <c r="J104">
        <f t="shared" si="13"/>
        <v>165.73154395667825</v>
      </c>
      <c r="K104">
        <f t="shared" si="14"/>
        <v>6000</v>
      </c>
      <c r="L104" t="str">
        <f t="shared" si="15"/>
        <v/>
      </c>
      <c r="O104" s="352"/>
    </row>
    <row r="105" spans="1:15">
      <c r="A105" s="375">
        <v>85</v>
      </c>
      <c r="B105" s="35" t="s">
        <v>163</v>
      </c>
      <c r="C105" s="376">
        <v>26</v>
      </c>
      <c r="D105">
        <f t="shared" si="10"/>
        <v>11.8</v>
      </c>
      <c r="E105">
        <f t="shared" si="8"/>
        <v>22656</v>
      </c>
      <c r="F105">
        <f t="shared" si="11"/>
        <v>3851.5200000000004</v>
      </c>
      <c r="G105">
        <f t="shared" si="12"/>
        <v>3697.4592000000002</v>
      </c>
      <c r="H105" s="35">
        <f>'More accurate Energy (Solar)'!N100</f>
        <v>12714219.561755959</v>
      </c>
      <c r="I105">
        <f t="shared" si="9"/>
        <v>3531.727656043322</v>
      </c>
      <c r="J105">
        <f t="shared" si="13"/>
        <v>165.73154395667825</v>
      </c>
      <c r="K105">
        <f t="shared" si="14"/>
        <v>6000</v>
      </c>
      <c r="L105" t="str">
        <f t="shared" si="15"/>
        <v/>
      </c>
      <c r="O105" s="352"/>
    </row>
    <row r="106" spans="1:15">
      <c r="A106" s="375">
        <v>86</v>
      </c>
      <c r="B106" s="35" t="s">
        <v>163</v>
      </c>
      <c r="C106" s="376">
        <v>27</v>
      </c>
      <c r="D106">
        <f t="shared" si="10"/>
        <v>11.8</v>
      </c>
      <c r="E106">
        <f t="shared" si="8"/>
        <v>22656</v>
      </c>
      <c r="F106">
        <f t="shared" si="11"/>
        <v>3851.5200000000004</v>
      </c>
      <c r="G106">
        <f t="shared" si="12"/>
        <v>3697.4592000000002</v>
      </c>
      <c r="H106" s="35">
        <f>'More accurate Energy (Solar)'!N101</f>
        <v>12714219.561755959</v>
      </c>
      <c r="I106">
        <f t="shared" si="9"/>
        <v>3531.727656043322</v>
      </c>
      <c r="J106">
        <f t="shared" si="13"/>
        <v>165.73154395667825</v>
      </c>
      <c r="K106">
        <f t="shared" si="14"/>
        <v>6000</v>
      </c>
      <c r="L106" t="str">
        <f t="shared" si="15"/>
        <v/>
      </c>
      <c r="O106" s="352"/>
    </row>
    <row r="107" spans="1:15">
      <c r="A107" s="375">
        <v>87</v>
      </c>
      <c r="B107" s="35" t="s">
        <v>163</v>
      </c>
      <c r="C107" s="376">
        <v>28</v>
      </c>
      <c r="D107">
        <f t="shared" si="10"/>
        <v>11.8</v>
      </c>
      <c r="E107">
        <f t="shared" si="8"/>
        <v>22656</v>
      </c>
      <c r="F107">
        <f t="shared" si="11"/>
        <v>3851.5200000000004</v>
      </c>
      <c r="G107">
        <f t="shared" si="12"/>
        <v>3697.4592000000002</v>
      </c>
      <c r="H107" s="35">
        <f>'More accurate Energy (Solar)'!N102</f>
        <v>12714219.561755959</v>
      </c>
      <c r="I107">
        <f t="shared" si="9"/>
        <v>3531.727656043322</v>
      </c>
      <c r="J107">
        <f t="shared" si="13"/>
        <v>165.73154395667825</v>
      </c>
      <c r="K107">
        <f t="shared" si="14"/>
        <v>6000</v>
      </c>
      <c r="L107" t="str">
        <f t="shared" si="15"/>
        <v/>
      </c>
      <c r="O107" s="352"/>
    </row>
    <row r="108" spans="1:15">
      <c r="A108" s="375">
        <v>88</v>
      </c>
      <c r="B108" s="35" t="s">
        <v>163</v>
      </c>
      <c r="C108" s="376">
        <v>29</v>
      </c>
      <c r="D108">
        <f t="shared" si="10"/>
        <v>11.8</v>
      </c>
      <c r="E108">
        <f t="shared" si="8"/>
        <v>22656</v>
      </c>
      <c r="F108">
        <f t="shared" si="11"/>
        <v>3851.5200000000004</v>
      </c>
      <c r="G108">
        <f t="shared" si="12"/>
        <v>3697.4592000000002</v>
      </c>
      <c r="H108" s="35">
        <f>'More accurate Energy (Solar)'!N103</f>
        <v>11175521.948823795</v>
      </c>
      <c r="I108">
        <f t="shared" si="9"/>
        <v>3104.3116524510542</v>
      </c>
      <c r="J108">
        <f t="shared" si="13"/>
        <v>593.14754754894602</v>
      </c>
      <c r="K108">
        <f t="shared" si="14"/>
        <v>6000</v>
      </c>
      <c r="L108" t="str">
        <f t="shared" si="15"/>
        <v/>
      </c>
      <c r="O108" s="352"/>
    </row>
    <row r="109" spans="1:15">
      <c r="A109" s="375">
        <v>89</v>
      </c>
      <c r="B109" s="35" t="s">
        <v>163</v>
      </c>
      <c r="C109" s="376">
        <v>30</v>
      </c>
      <c r="D109">
        <f t="shared" si="10"/>
        <v>11.8</v>
      </c>
      <c r="E109">
        <f t="shared" si="8"/>
        <v>22656</v>
      </c>
      <c r="F109">
        <f t="shared" si="11"/>
        <v>3851.5200000000004</v>
      </c>
      <c r="G109">
        <f t="shared" si="12"/>
        <v>3697.4592000000002</v>
      </c>
      <c r="H109" s="35">
        <f>'More accurate Energy (Solar)'!N104</f>
        <v>12714219.561755959</v>
      </c>
      <c r="I109">
        <f t="shared" si="9"/>
        <v>3531.727656043322</v>
      </c>
      <c r="J109">
        <f t="shared" si="13"/>
        <v>165.73154395667825</v>
      </c>
      <c r="K109">
        <f t="shared" si="14"/>
        <v>6000</v>
      </c>
      <c r="L109" t="str">
        <f t="shared" si="15"/>
        <v/>
      </c>
      <c r="O109" s="352"/>
    </row>
    <row r="110" spans="1:15">
      <c r="A110" s="375">
        <v>90</v>
      </c>
      <c r="B110" s="35" t="s">
        <v>163</v>
      </c>
      <c r="C110" s="376">
        <v>31</v>
      </c>
      <c r="D110">
        <f t="shared" si="10"/>
        <v>11.8</v>
      </c>
      <c r="E110">
        <f t="shared" si="8"/>
        <v>22656</v>
      </c>
      <c r="F110">
        <f t="shared" si="11"/>
        <v>3851.5200000000004</v>
      </c>
      <c r="G110">
        <f t="shared" si="12"/>
        <v>3697.4592000000002</v>
      </c>
      <c r="H110" s="35">
        <f>'More accurate Energy (Solar)'!N105</f>
        <v>11706860.146496685</v>
      </c>
      <c r="I110">
        <f t="shared" si="9"/>
        <v>3251.9055962490793</v>
      </c>
      <c r="J110">
        <f t="shared" si="13"/>
        <v>445.55360375092096</v>
      </c>
      <c r="K110">
        <f t="shared" si="14"/>
        <v>6000</v>
      </c>
      <c r="L110" t="str">
        <f t="shared" si="15"/>
        <v/>
      </c>
      <c r="O110" s="352"/>
    </row>
    <row r="111" spans="1:15">
      <c r="A111" s="375">
        <v>91</v>
      </c>
      <c r="B111" s="35" t="s">
        <v>164</v>
      </c>
      <c r="C111" s="376">
        <v>1</v>
      </c>
      <c r="D111">
        <f t="shared" si="10"/>
        <v>13.6</v>
      </c>
      <c r="E111">
        <f t="shared" si="8"/>
        <v>26112</v>
      </c>
      <c r="F111">
        <f t="shared" si="11"/>
        <v>4439.04</v>
      </c>
      <c r="G111">
        <f t="shared" si="12"/>
        <v>4261.4784</v>
      </c>
      <c r="H111" s="35">
        <f>'More accurate Energy (Solar)'!N106</f>
        <v>3456000</v>
      </c>
      <c r="I111">
        <f t="shared" si="9"/>
        <v>960</v>
      </c>
      <c r="J111">
        <f t="shared" si="13"/>
        <v>3301.4784</v>
      </c>
      <c r="K111">
        <f t="shared" si="14"/>
        <v>6000</v>
      </c>
      <c r="L111" t="str">
        <f t="shared" si="15"/>
        <v/>
      </c>
      <c r="O111" s="352"/>
    </row>
    <row r="112" spans="1:15">
      <c r="A112" s="375">
        <v>92</v>
      </c>
      <c r="B112" s="35" t="s">
        <v>164</v>
      </c>
      <c r="C112" s="376">
        <v>2</v>
      </c>
      <c r="D112">
        <f t="shared" si="10"/>
        <v>13.6</v>
      </c>
      <c r="E112">
        <f t="shared" si="8"/>
        <v>26112</v>
      </c>
      <c r="F112">
        <f t="shared" si="11"/>
        <v>4439.04</v>
      </c>
      <c r="G112">
        <f t="shared" si="12"/>
        <v>4261.4784</v>
      </c>
      <c r="H112" s="35">
        <f>'More accurate Energy (Solar)'!N107</f>
        <v>12714219.561755959</v>
      </c>
      <c r="I112">
        <f t="shared" si="9"/>
        <v>3531.727656043322</v>
      </c>
      <c r="J112">
        <f t="shared" si="13"/>
        <v>729.75074395667798</v>
      </c>
      <c r="K112">
        <f t="shared" si="14"/>
        <v>6000</v>
      </c>
      <c r="L112" t="str">
        <f t="shared" si="15"/>
        <v/>
      </c>
      <c r="O112" s="352"/>
    </row>
    <row r="113" spans="1:15">
      <c r="A113" s="375">
        <v>93</v>
      </c>
      <c r="B113" s="35" t="s">
        <v>164</v>
      </c>
      <c r="C113" s="376">
        <v>3</v>
      </c>
      <c r="D113">
        <f t="shared" si="10"/>
        <v>13.6</v>
      </c>
      <c r="E113">
        <f t="shared" si="8"/>
        <v>26112</v>
      </c>
      <c r="F113">
        <f t="shared" si="11"/>
        <v>4439.04</v>
      </c>
      <c r="G113">
        <f t="shared" si="12"/>
        <v>4261.4784</v>
      </c>
      <c r="H113" s="35">
        <f>'More accurate Energy (Solar)'!N108</f>
        <v>10819093.756604306</v>
      </c>
      <c r="I113">
        <f t="shared" si="9"/>
        <v>3005.3038212789738</v>
      </c>
      <c r="J113">
        <f t="shared" si="13"/>
        <v>1256.1745787210261</v>
      </c>
      <c r="K113">
        <f t="shared" si="14"/>
        <v>6000</v>
      </c>
      <c r="L113" t="str">
        <f t="shared" si="15"/>
        <v/>
      </c>
      <c r="O113" s="352"/>
    </row>
    <row r="114" spans="1:15">
      <c r="A114" s="375">
        <v>94</v>
      </c>
      <c r="B114" s="35" t="s">
        <v>164</v>
      </c>
      <c r="C114" s="376">
        <v>4</v>
      </c>
      <c r="D114">
        <f t="shared" si="10"/>
        <v>13.6</v>
      </c>
      <c r="E114">
        <f t="shared" si="8"/>
        <v>26112</v>
      </c>
      <c r="F114">
        <f t="shared" si="11"/>
        <v>4439.04</v>
      </c>
      <c r="G114">
        <f t="shared" si="12"/>
        <v>4261.4784</v>
      </c>
      <c r="H114" s="35">
        <f>'More accurate Energy (Solar)'!N109</f>
        <v>10594605.066631939</v>
      </c>
      <c r="I114">
        <f t="shared" si="9"/>
        <v>2942.9458518422052</v>
      </c>
      <c r="J114">
        <f t="shared" si="13"/>
        <v>1318.5325481577947</v>
      </c>
      <c r="K114">
        <f t="shared" si="14"/>
        <v>6000</v>
      </c>
      <c r="L114" t="str">
        <f t="shared" si="15"/>
        <v/>
      </c>
      <c r="O114" s="352"/>
    </row>
    <row r="115" spans="1:15">
      <c r="A115" s="375">
        <v>95</v>
      </c>
      <c r="B115" s="35" t="s">
        <v>164</v>
      </c>
      <c r="C115" s="376">
        <v>5</v>
      </c>
      <c r="D115">
        <f t="shared" si="10"/>
        <v>13.6</v>
      </c>
      <c r="E115">
        <f t="shared" si="8"/>
        <v>26112</v>
      </c>
      <c r="F115">
        <f t="shared" si="11"/>
        <v>4439.04</v>
      </c>
      <c r="G115">
        <f t="shared" si="12"/>
        <v>4261.4784</v>
      </c>
      <c r="H115" s="35">
        <f>'More accurate Energy (Solar)'!N110</f>
        <v>5635364.2431826424</v>
      </c>
      <c r="I115">
        <f t="shared" si="9"/>
        <v>1565.3789564396229</v>
      </c>
      <c r="J115">
        <f t="shared" si="13"/>
        <v>2696.099443560377</v>
      </c>
      <c r="K115">
        <f t="shared" si="14"/>
        <v>6000</v>
      </c>
      <c r="L115" t="str">
        <f t="shared" si="15"/>
        <v/>
      </c>
      <c r="O115" s="352"/>
    </row>
    <row r="116" spans="1:15">
      <c r="A116" s="375">
        <v>96</v>
      </c>
      <c r="B116" s="35" t="s">
        <v>164</v>
      </c>
      <c r="C116" s="376">
        <v>6</v>
      </c>
      <c r="D116">
        <f t="shared" si="10"/>
        <v>13.6</v>
      </c>
      <c r="E116">
        <f t="shared" si="8"/>
        <v>26112</v>
      </c>
      <c r="F116">
        <f t="shared" si="11"/>
        <v>4439.04</v>
      </c>
      <c r="G116">
        <f t="shared" si="12"/>
        <v>4261.4784</v>
      </c>
      <c r="H116" s="35">
        <f>'More accurate Energy (Solar)'!N111</f>
        <v>3456000</v>
      </c>
      <c r="I116">
        <f t="shared" si="9"/>
        <v>960</v>
      </c>
      <c r="J116">
        <f t="shared" si="13"/>
        <v>3301.4784</v>
      </c>
      <c r="K116">
        <f t="shared" si="14"/>
        <v>6000</v>
      </c>
      <c r="L116" t="str">
        <f t="shared" si="15"/>
        <v/>
      </c>
      <c r="O116" s="352"/>
    </row>
    <row r="117" spans="1:15">
      <c r="A117" s="375">
        <v>97</v>
      </c>
      <c r="B117" s="35" t="s">
        <v>164</v>
      </c>
      <c r="C117" s="376">
        <v>7</v>
      </c>
      <c r="D117">
        <f t="shared" si="10"/>
        <v>13.6</v>
      </c>
      <c r="E117">
        <f t="shared" si="8"/>
        <v>26112</v>
      </c>
      <c r="F117">
        <f t="shared" si="11"/>
        <v>4439.04</v>
      </c>
      <c r="G117">
        <f t="shared" si="12"/>
        <v>4261.4784</v>
      </c>
      <c r="H117" s="35">
        <f>'More accurate Energy (Solar)'!N112</f>
        <v>3456000</v>
      </c>
      <c r="I117">
        <f t="shared" si="9"/>
        <v>960</v>
      </c>
      <c r="J117">
        <f t="shared" si="13"/>
        <v>3301.4784</v>
      </c>
      <c r="K117">
        <f t="shared" si="14"/>
        <v>6000</v>
      </c>
      <c r="L117" t="str">
        <f t="shared" si="15"/>
        <v/>
      </c>
      <c r="O117" s="352"/>
    </row>
    <row r="118" spans="1:15">
      <c r="A118" s="375">
        <v>98</v>
      </c>
      <c r="B118" s="35" t="s">
        <v>164</v>
      </c>
      <c r="C118" s="376">
        <v>8</v>
      </c>
      <c r="D118">
        <f t="shared" si="10"/>
        <v>13.6</v>
      </c>
      <c r="E118">
        <f t="shared" si="8"/>
        <v>26112</v>
      </c>
      <c r="F118">
        <f t="shared" si="11"/>
        <v>4439.04</v>
      </c>
      <c r="G118">
        <f t="shared" si="12"/>
        <v>4261.4784</v>
      </c>
      <c r="H118" s="35">
        <f>'More accurate Energy (Solar)'!N113</f>
        <v>3456000</v>
      </c>
      <c r="I118">
        <f t="shared" si="9"/>
        <v>960</v>
      </c>
      <c r="J118">
        <f t="shared" si="13"/>
        <v>3301.4784</v>
      </c>
      <c r="K118">
        <f t="shared" si="14"/>
        <v>6000</v>
      </c>
      <c r="L118" t="str">
        <f t="shared" si="15"/>
        <v/>
      </c>
      <c r="O118" s="352"/>
    </row>
    <row r="119" spans="1:15">
      <c r="A119" s="375">
        <v>99</v>
      </c>
      <c r="B119" s="35" t="s">
        <v>164</v>
      </c>
      <c r="C119" s="376">
        <v>9</v>
      </c>
      <c r="D119">
        <f t="shared" si="10"/>
        <v>13.6</v>
      </c>
      <c r="E119">
        <f t="shared" si="8"/>
        <v>26112</v>
      </c>
      <c r="F119">
        <f t="shared" si="11"/>
        <v>4439.04</v>
      </c>
      <c r="G119">
        <f t="shared" si="12"/>
        <v>4261.4784</v>
      </c>
      <c r="H119" s="35">
        <f>'More accurate Energy (Solar)'!N114</f>
        <v>8083231.7107762471</v>
      </c>
      <c r="I119">
        <f t="shared" si="9"/>
        <v>2245.3421418822909</v>
      </c>
      <c r="J119">
        <f t="shared" si="13"/>
        <v>2016.1362581177091</v>
      </c>
      <c r="K119">
        <f t="shared" si="14"/>
        <v>6000</v>
      </c>
      <c r="L119" t="str">
        <f t="shared" si="15"/>
        <v/>
      </c>
      <c r="O119" s="352"/>
    </row>
    <row r="120" spans="1:15">
      <c r="A120" s="375">
        <v>100</v>
      </c>
      <c r="B120" s="35" t="s">
        <v>164</v>
      </c>
      <c r="C120" s="376">
        <v>10</v>
      </c>
      <c r="D120">
        <f t="shared" si="10"/>
        <v>13.6</v>
      </c>
      <c r="E120">
        <f t="shared" si="8"/>
        <v>26112</v>
      </c>
      <c r="F120">
        <f t="shared" si="11"/>
        <v>4439.04</v>
      </c>
      <c r="G120">
        <f t="shared" si="12"/>
        <v>4261.4784</v>
      </c>
      <c r="H120" s="35">
        <f>'More accurate Energy (Solar)'!N115</f>
        <v>12714219.561755959</v>
      </c>
      <c r="I120">
        <f t="shared" si="9"/>
        <v>3531.727656043322</v>
      </c>
      <c r="J120">
        <f t="shared" si="13"/>
        <v>729.75074395667798</v>
      </c>
      <c r="K120">
        <f t="shared" si="14"/>
        <v>6000</v>
      </c>
      <c r="L120" t="str">
        <f t="shared" si="15"/>
        <v/>
      </c>
      <c r="O120" s="352"/>
    </row>
    <row r="121" spans="1:15">
      <c r="A121" s="375">
        <v>101</v>
      </c>
      <c r="B121" s="35" t="s">
        <v>164</v>
      </c>
      <c r="C121" s="376">
        <v>11</v>
      </c>
      <c r="D121">
        <f t="shared" si="10"/>
        <v>13.6</v>
      </c>
      <c r="E121">
        <f t="shared" si="8"/>
        <v>26112</v>
      </c>
      <c r="F121">
        <f t="shared" si="11"/>
        <v>4439.04</v>
      </c>
      <c r="G121">
        <f t="shared" si="12"/>
        <v>4261.4784</v>
      </c>
      <c r="H121" s="35">
        <f>'More accurate Energy (Solar)'!N116</f>
        <v>10892071.633195836</v>
      </c>
      <c r="I121">
        <f t="shared" si="9"/>
        <v>3025.5754536655099</v>
      </c>
      <c r="J121">
        <f t="shared" si="13"/>
        <v>1235.90294633449</v>
      </c>
      <c r="K121">
        <f t="shared" si="14"/>
        <v>6000</v>
      </c>
      <c r="L121" t="str">
        <f t="shared" si="15"/>
        <v/>
      </c>
      <c r="O121" s="352"/>
    </row>
    <row r="122" spans="1:15">
      <c r="A122" s="375">
        <v>102</v>
      </c>
      <c r="B122" s="35" t="s">
        <v>164</v>
      </c>
      <c r="C122" s="376">
        <v>12</v>
      </c>
      <c r="D122">
        <f t="shared" si="10"/>
        <v>13.6</v>
      </c>
      <c r="E122">
        <f t="shared" si="8"/>
        <v>26112</v>
      </c>
      <c r="F122">
        <f t="shared" si="11"/>
        <v>4439.04</v>
      </c>
      <c r="G122">
        <f t="shared" si="12"/>
        <v>4261.4784</v>
      </c>
      <c r="H122" s="35">
        <f>'More accurate Energy (Solar)'!N117</f>
        <v>12714219.561755959</v>
      </c>
      <c r="I122">
        <f t="shared" si="9"/>
        <v>3531.727656043322</v>
      </c>
      <c r="J122">
        <f t="shared" si="13"/>
        <v>729.75074395667798</v>
      </c>
      <c r="K122">
        <f t="shared" si="14"/>
        <v>6000</v>
      </c>
      <c r="L122" t="str">
        <f t="shared" si="15"/>
        <v/>
      </c>
      <c r="O122" s="352"/>
    </row>
    <row r="123" spans="1:15">
      <c r="A123" s="375">
        <v>103</v>
      </c>
      <c r="B123" s="35" t="s">
        <v>164</v>
      </c>
      <c r="C123" s="376">
        <v>13</v>
      </c>
      <c r="D123">
        <f t="shared" si="10"/>
        <v>13.6</v>
      </c>
      <c r="E123">
        <f t="shared" si="8"/>
        <v>26112</v>
      </c>
      <c r="F123">
        <f t="shared" si="11"/>
        <v>4439.04</v>
      </c>
      <c r="G123">
        <f t="shared" si="12"/>
        <v>4261.4784</v>
      </c>
      <c r="H123" s="35">
        <f>'More accurate Energy (Solar)'!N118</f>
        <v>12714219.561755959</v>
      </c>
      <c r="I123">
        <f t="shared" si="9"/>
        <v>3531.727656043322</v>
      </c>
      <c r="J123">
        <f t="shared" si="13"/>
        <v>729.75074395667798</v>
      </c>
      <c r="K123">
        <f t="shared" si="14"/>
        <v>6000</v>
      </c>
      <c r="L123" t="str">
        <f t="shared" si="15"/>
        <v/>
      </c>
      <c r="O123" s="352"/>
    </row>
    <row r="124" spans="1:15">
      <c r="A124" s="375">
        <v>104</v>
      </c>
      <c r="B124" s="35" t="s">
        <v>164</v>
      </c>
      <c r="C124" s="376">
        <v>14</v>
      </c>
      <c r="D124">
        <f t="shared" si="10"/>
        <v>13.6</v>
      </c>
      <c r="E124">
        <f t="shared" si="8"/>
        <v>26112</v>
      </c>
      <c r="F124">
        <f t="shared" si="11"/>
        <v>4439.04</v>
      </c>
      <c r="G124">
        <f t="shared" si="12"/>
        <v>4261.4784</v>
      </c>
      <c r="H124" s="35">
        <f>'More accurate Energy (Solar)'!N119</f>
        <v>6747153.481057724</v>
      </c>
      <c r="I124">
        <f t="shared" si="9"/>
        <v>1874.2093002938122</v>
      </c>
      <c r="J124">
        <f t="shared" si="13"/>
        <v>2387.2690997061877</v>
      </c>
      <c r="K124">
        <f t="shared" si="14"/>
        <v>6000</v>
      </c>
      <c r="L124" t="str">
        <f t="shared" si="15"/>
        <v/>
      </c>
      <c r="O124" s="352"/>
    </row>
    <row r="125" spans="1:15">
      <c r="A125" s="375">
        <v>105</v>
      </c>
      <c r="B125" s="35" t="s">
        <v>164</v>
      </c>
      <c r="C125" s="376">
        <v>15</v>
      </c>
      <c r="D125">
        <f t="shared" si="10"/>
        <v>13.6</v>
      </c>
      <c r="E125">
        <f t="shared" si="8"/>
        <v>26112</v>
      </c>
      <c r="F125">
        <f t="shared" si="11"/>
        <v>4439.04</v>
      </c>
      <c r="G125">
        <f t="shared" si="12"/>
        <v>4261.4784</v>
      </c>
      <c r="H125" s="35">
        <f>'More accurate Energy (Solar)'!N120</f>
        <v>12714219.561755959</v>
      </c>
      <c r="I125">
        <f t="shared" si="9"/>
        <v>3531.727656043322</v>
      </c>
      <c r="J125">
        <f t="shared" si="13"/>
        <v>729.75074395667798</v>
      </c>
      <c r="K125">
        <f t="shared" si="14"/>
        <v>6000</v>
      </c>
      <c r="L125" t="str">
        <f t="shared" si="15"/>
        <v/>
      </c>
      <c r="O125" s="352"/>
    </row>
    <row r="126" spans="1:15">
      <c r="A126" s="375">
        <v>106</v>
      </c>
      <c r="B126" s="35" t="s">
        <v>164</v>
      </c>
      <c r="C126" s="376">
        <v>16</v>
      </c>
      <c r="D126">
        <f t="shared" si="10"/>
        <v>13.6</v>
      </c>
      <c r="E126">
        <f t="shared" si="8"/>
        <v>26112</v>
      </c>
      <c r="F126">
        <f t="shared" si="11"/>
        <v>4439.04</v>
      </c>
      <c r="G126">
        <f t="shared" si="12"/>
        <v>4261.4784</v>
      </c>
      <c r="H126" s="35">
        <f>'More accurate Energy (Solar)'!N121</f>
        <v>7950904.5817043055</v>
      </c>
      <c r="I126">
        <f t="shared" si="9"/>
        <v>2208.5846060289737</v>
      </c>
      <c r="J126">
        <f t="shared" si="13"/>
        <v>2052.8937939710263</v>
      </c>
      <c r="K126">
        <f t="shared" si="14"/>
        <v>6000</v>
      </c>
      <c r="L126" t="str">
        <f t="shared" si="15"/>
        <v/>
      </c>
      <c r="O126" s="352"/>
    </row>
    <row r="127" spans="1:15">
      <c r="A127" s="375">
        <v>107</v>
      </c>
      <c r="B127" s="35" t="s">
        <v>164</v>
      </c>
      <c r="C127" s="376">
        <v>17</v>
      </c>
      <c r="D127">
        <f t="shared" si="10"/>
        <v>13.6</v>
      </c>
      <c r="E127">
        <f t="shared" si="8"/>
        <v>26112</v>
      </c>
      <c r="F127">
        <f t="shared" si="11"/>
        <v>4439.04</v>
      </c>
      <c r="G127">
        <f t="shared" si="12"/>
        <v>4261.4784</v>
      </c>
      <c r="H127" s="35">
        <f>'More accurate Energy (Solar)'!N122</f>
        <v>3456000</v>
      </c>
      <c r="I127">
        <f t="shared" si="9"/>
        <v>960</v>
      </c>
      <c r="J127">
        <f t="shared" si="13"/>
        <v>3301.4784</v>
      </c>
      <c r="K127">
        <f t="shared" si="14"/>
        <v>6000</v>
      </c>
      <c r="L127" t="str">
        <f t="shared" si="15"/>
        <v/>
      </c>
      <c r="O127" s="352"/>
    </row>
    <row r="128" spans="1:15">
      <c r="A128" s="375">
        <v>108</v>
      </c>
      <c r="B128" s="35" t="s">
        <v>164</v>
      </c>
      <c r="C128" s="376">
        <v>18</v>
      </c>
      <c r="D128">
        <f t="shared" si="10"/>
        <v>13.6</v>
      </c>
      <c r="E128">
        <f t="shared" si="8"/>
        <v>26112</v>
      </c>
      <c r="F128">
        <f t="shared" si="11"/>
        <v>4439.04</v>
      </c>
      <c r="G128">
        <f t="shared" si="12"/>
        <v>4261.4784</v>
      </c>
      <c r="H128" s="35">
        <f>'More accurate Energy (Solar)'!N123</f>
        <v>3456000</v>
      </c>
      <c r="I128">
        <f t="shared" si="9"/>
        <v>960</v>
      </c>
      <c r="J128">
        <f t="shared" si="13"/>
        <v>3301.4784</v>
      </c>
      <c r="K128">
        <f t="shared" si="14"/>
        <v>6000</v>
      </c>
      <c r="L128" t="str">
        <f t="shared" si="15"/>
        <v/>
      </c>
      <c r="O128" s="352"/>
    </row>
    <row r="129" spans="1:15">
      <c r="A129" s="375">
        <v>109</v>
      </c>
      <c r="B129" s="35" t="s">
        <v>164</v>
      </c>
      <c r="C129" s="376">
        <v>19</v>
      </c>
      <c r="D129">
        <f t="shared" si="10"/>
        <v>13.6</v>
      </c>
      <c r="E129">
        <f t="shared" si="8"/>
        <v>26112</v>
      </c>
      <c r="F129">
        <f t="shared" si="11"/>
        <v>4439.04</v>
      </c>
      <c r="G129">
        <f t="shared" si="12"/>
        <v>4261.4784</v>
      </c>
      <c r="H129" s="35">
        <f>'More accurate Energy (Solar)'!N124</f>
        <v>3456000</v>
      </c>
      <c r="I129">
        <f t="shared" si="9"/>
        <v>960</v>
      </c>
      <c r="J129">
        <f t="shared" si="13"/>
        <v>3301.4784</v>
      </c>
      <c r="K129">
        <f t="shared" si="14"/>
        <v>6000</v>
      </c>
      <c r="L129" t="str">
        <f t="shared" si="15"/>
        <v/>
      </c>
      <c r="O129" s="352"/>
    </row>
    <row r="130" spans="1:15">
      <c r="A130" s="375">
        <v>110</v>
      </c>
      <c r="B130" s="35" t="s">
        <v>164</v>
      </c>
      <c r="C130" s="376">
        <v>20</v>
      </c>
      <c r="D130">
        <f t="shared" si="10"/>
        <v>13.6</v>
      </c>
      <c r="E130">
        <f t="shared" si="8"/>
        <v>26112</v>
      </c>
      <c r="F130">
        <f t="shared" si="11"/>
        <v>4439.04</v>
      </c>
      <c r="G130">
        <f t="shared" si="12"/>
        <v>4261.4784</v>
      </c>
      <c r="H130" s="35">
        <f>'More accurate Energy (Solar)'!N125</f>
        <v>6318582.9774320107</v>
      </c>
      <c r="I130">
        <f t="shared" si="9"/>
        <v>1755.1619381755586</v>
      </c>
      <c r="J130">
        <f t="shared" si="13"/>
        <v>2506.3164618244414</v>
      </c>
      <c r="K130">
        <f t="shared" si="14"/>
        <v>6000</v>
      </c>
      <c r="L130" t="str">
        <f t="shared" si="15"/>
        <v/>
      </c>
      <c r="O130" s="352"/>
    </row>
    <row r="131" spans="1:15">
      <c r="A131" s="375">
        <v>111</v>
      </c>
      <c r="B131" s="35" t="s">
        <v>164</v>
      </c>
      <c r="C131" s="376">
        <v>21</v>
      </c>
      <c r="D131">
        <f t="shared" si="10"/>
        <v>13.6</v>
      </c>
      <c r="E131">
        <f t="shared" si="8"/>
        <v>26112</v>
      </c>
      <c r="F131">
        <f t="shared" si="11"/>
        <v>4439.04</v>
      </c>
      <c r="G131">
        <f t="shared" si="12"/>
        <v>4261.4784</v>
      </c>
      <c r="H131" s="35">
        <f>'More accurate Energy (Solar)'!N126</f>
        <v>5271937.5421474604</v>
      </c>
      <c r="I131">
        <f t="shared" si="9"/>
        <v>1464.4270950409611</v>
      </c>
      <c r="J131">
        <f t="shared" si="13"/>
        <v>2797.051304959039</v>
      </c>
      <c r="K131">
        <f t="shared" si="14"/>
        <v>6000</v>
      </c>
      <c r="L131" t="str">
        <f t="shared" si="15"/>
        <v/>
      </c>
      <c r="O131" s="352"/>
    </row>
    <row r="132" spans="1:15">
      <c r="A132" s="375">
        <v>112</v>
      </c>
      <c r="B132" s="35" t="s">
        <v>164</v>
      </c>
      <c r="C132" s="376">
        <v>22</v>
      </c>
      <c r="D132">
        <f t="shared" si="10"/>
        <v>13.6</v>
      </c>
      <c r="E132">
        <f t="shared" si="8"/>
        <v>26112</v>
      </c>
      <c r="F132">
        <f t="shared" si="11"/>
        <v>4439.04</v>
      </c>
      <c r="G132">
        <f t="shared" si="12"/>
        <v>4261.4784</v>
      </c>
      <c r="H132" s="35">
        <f>'More accurate Energy (Solar)'!N127</f>
        <v>10517810.660180405</v>
      </c>
      <c r="I132">
        <f t="shared" si="9"/>
        <v>2921.6140722723349</v>
      </c>
      <c r="J132">
        <f t="shared" si="13"/>
        <v>1339.8643277276651</v>
      </c>
      <c r="K132">
        <f t="shared" si="14"/>
        <v>6000</v>
      </c>
      <c r="L132" t="str">
        <f t="shared" si="15"/>
        <v/>
      </c>
      <c r="O132" s="352"/>
    </row>
    <row r="133" spans="1:15">
      <c r="A133" s="375">
        <v>113</v>
      </c>
      <c r="B133" s="35" t="s">
        <v>164</v>
      </c>
      <c r="C133" s="376">
        <v>23</v>
      </c>
      <c r="D133">
        <f t="shared" si="10"/>
        <v>13.6</v>
      </c>
      <c r="E133">
        <f t="shared" si="8"/>
        <v>26112</v>
      </c>
      <c r="F133">
        <f t="shared" si="11"/>
        <v>4439.04</v>
      </c>
      <c r="G133">
        <f t="shared" si="12"/>
        <v>4261.4784</v>
      </c>
      <c r="H133" s="35">
        <f>'More accurate Energy (Solar)'!N128</f>
        <v>10594605.066631939</v>
      </c>
      <c r="I133">
        <f t="shared" si="9"/>
        <v>2942.9458518422052</v>
      </c>
      <c r="J133">
        <f t="shared" si="13"/>
        <v>1318.5325481577947</v>
      </c>
      <c r="K133">
        <f t="shared" si="14"/>
        <v>6000</v>
      </c>
      <c r="L133" t="str">
        <f t="shared" si="15"/>
        <v/>
      </c>
      <c r="O133" s="352"/>
    </row>
    <row r="134" spans="1:15">
      <c r="A134" s="375">
        <v>114</v>
      </c>
      <c r="B134" s="35" t="s">
        <v>164</v>
      </c>
      <c r="C134" s="376">
        <v>24</v>
      </c>
      <c r="D134">
        <f t="shared" si="10"/>
        <v>13.6</v>
      </c>
      <c r="E134">
        <f t="shared" si="8"/>
        <v>26112</v>
      </c>
      <c r="F134">
        <f t="shared" si="11"/>
        <v>4439.04</v>
      </c>
      <c r="G134">
        <f t="shared" si="12"/>
        <v>4261.4784</v>
      </c>
      <c r="H134" s="35">
        <f>'More accurate Energy (Solar)'!N129</f>
        <v>7028411.3949824264</v>
      </c>
      <c r="I134">
        <f t="shared" si="9"/>
        <v>1952.3364986062295</v>
      </c>
      <c r="J134">
        <f t="shared" si="13"/>
        <v>2309.1419013937702</v>
      </c>
      <c r="K134">
        <f t="shared" si="14"/>
        <v>6000</v>
      </c>
      <c r="L134" t="str">
        <f t="shared" si="15"/>
        <v/>
      </c>
      <c r="O134" s="352"/>
    </row>
    <row r="135" spans="1:15">
      <c r="A135" s="375">
        <v>115</v>
      </c>
      <c r="B135" s="35" t="s">
        <v>164</v>
      </c>
      <c r="C135" s="376">
        <v>25</v>
      </c>
      <c r="D135">
        <f t="shared" si="10"/>
        <v>13.6</v>
      </c>
      <c r="E135">
        <f t="shared" si="8"/>
        <v>26112</v>
      </c>
      <c r="F135">
        <f t="shared" si="11"/>
        <v>4439.04</v>
      </c>
      <c r="G135">
        <f t="shared" si="12"/>
        <v>4261.4784</v>
      </c>
      <c r="H135" s="35">
        <f>'More accurate Energy (Solar)'!N130</f>
        <v>3456000</v>
      </c>
      <c r="I135">
        <f t="shared" si="9"/>
        <v>960</v>
      </c>
      <c r="J135">
        <f t="shared" si="13"/>
        <v>3301.4784</v>
      </c>
      <c r="K135">
        <f t="shared" si="14"/>
        <v>6000</v>
      </c>
      <c r="L135" t="str">
        <f t="shared" si="15"/>
        <v/>
      </c>
      <c r="O135" s="352"/>
    </row>
    <row r="136" spans="1:15">
      <c r="A136" s="375">
        <v>116</v>
      </c>
      <c r="B136" s="35" t="s">
        <v>164</v>
      </c>
      <c r="C136" s="376">
        <v>26</v>
      </c>
      <c r="D136">
        <f t="shared" si="10"/>
        <v>13.6</v>
      </c>
      <c r="E136">
        <f t="shared" si="8"/>
        <v>26112</v>
      </c>
      <c r="F136">
        <f t="shared" si="11"/>
        <v>4439.04</v>
      </c>
      <c r="G136">
        <f t="shared" si="12"/>
        <v>4261.4784</v>
      </c>
      <c r="H136" s="35">
        <f>'More accurate Energy (Solar)'!N131</f>
        <v>8684837.6852740273</v>
      </c>
      <c r="I136">
        <f t="shared" si="9"/>
        <v>2412.4549125761187</v>
      </c>
      <c r="J136">
        <f t="shared" si="13"/>
        <v>1849.0234874238813</v>
      </c>
      <c r="K136">
        <f t="shared" si="14"/>
        <v>6000</v>
      </c>
      <c r="L136" t="str">
        <f t="shared" si="15"/>
        <v/>
      </c>
      <c r="O136" s="352"/>
    </row>
    <row r="137" spans="1:15">
      <c r="A137" s="375">
        <v>117</v>
      </c>
      <c r="B137" s="35" t="s">
        <v>164</v>
      </c>
      <c r="C137" s="376">
        <v>27</v>
      </c>
      <c r="D137">
        <f t="shared" si="10"/>
        <v>13.6</v>
      </c>
      <c r="E137">
        <f t="shared" si="8"/>
        <v>26112</v>
      </c>
      <c r="F137">
        <f t="shared" si="11"/>
        <v>4439.04</v>
      </c>
      <c r="G137">
        <f t="shared" si="12"/>
        <v>4261.4784</v>
      </c>
      <c r="H137" s="35">
        <f>'More accurate Energy (Solar)'!N132</f>
        <v>12714219.561755959</v>
      </c>
      <c r="I137">
        <f t="shared" si="9"/>
        <v>3531.727656043322</v>
      </c>
      <c r="J137">
        <f t="shared" si="13"/>
        <v>729.75074395667798</v>
      </c>
      <c r="K137">
        <f t="shared" si="14"/>
        <v>6000</v>
      </c>
      <c r="L137" t="str">
        <f t="shared" si="15"/>
        <v/>
      </c>
      <c r="O137" s="352"/>
    </row>
    <row r="138" spans="1:15">
      <c r="A138" s="375">
        <v>118</v>
      </c>
      <c r="B138" s="35" t="s">
        <v>164</v>
      </c>
      <c r="C138" s="376">
        <v>28</v>
      </c>
      <c r="D138">
        <f t="shared" si="10"/>
        <v>13.6</v>
      </c>
      <c r="E138">
        <f t="shared" si="8"/>
        <v>26112</v>
      </c>
      <c r="F138">
        <f t="shared" si="11"/>
        <v>4439.04</v>
      </c>
      <c r="G138">
        <f t="shared" si="12"/>
        <v>4261.4784</v>
      </c>
      <c r="H138" s="35">
        <f>'More accurate Energy (Solar)'!N133</f>
        <v>12714219.561755959</v>
      </c>
      <c r="I138">
        <f t="shared" si="9"/>
        <v>3531.727656043322</v>
      </c>
      <c r="J138">
        <f t="shared" si="13"/>
        <v>729.75074395667798</v>
      </c>
      <c r="K138">
        <f t="shared" si="14"/>
        <v>6000</v>
      </c>
      <c r="L138" t="str">
        <f t="shared" si="15"/>
        <v/>
      </c>
      <c r="O138" s="352"/>
    </row>
    <row r="139" spans="1:15">
      <c r="A139" s="375">
        <v>119</v>
      </c>
      <c r="B139" s="35" t="s">
        <v>164</v>
      </c>
      <c r="C139" s="376">
        <v>29</v>
      </c>
      <c r="D139">
        <f t="shared" si="10"/>
        <v>13.6</v>
      </c>
      <c r="E139">
        <f t="shared" si="8"/>
        <v>26112</v>
      </c>
      <c r="F139">
        <f t="shared" si="11"/>
        <v>4439.04</v>
      </c>
      <c r="G139">
        <f t="shared" si="12"/>
        <v>4261.4784</v>
      </c>
      <c r="H139" s="35">
        <f>'More accurate Energy (Solar)'!N134</f>
        <v>12714219.561755959</v>
      </c>
      <c r="I139">
        <f t="shared" si="9"/>
        <v>3531.727656043322</v>
      </c>
      <c r="J139">
        <f t="shared" si="13"/>
        <v>729.75074395667798</v>
      </c>
      <c r="K139">
        <f t="shared" si="14"/>
        <v>6000</v>
      </c>
      <c r="L139" t="str">
        <f t="shared" si="15"/>
        <v/>
      </c>
      <c r="O139" s="352"/>
    </row>
    <row r="140" spans="1:15">
      <c r="A140" s="375">
        <v>120</v>
      </c>
      <c r="B140" s="35" t="s">
        <v>164</v>
      </c>
      <c r="C140" s="376">
        <v>30</v>
      </c>
      <c r="D140">
        <f t="shared" si="10"/>
        <v>13.6</v>
      </c>
      <c r="E140">
        <f t="shared" si="8"/>
        <v>26112</v>
      </c>
      <c r="F140">
        <f t="shared" si="11"/>
        <v>4439.04</v>
      </c>
      <c r="G140">
        <f t="shared" si="12"/>
        <v>4261.4784</v>
      </c>
      <c r="H140" s="35">
        <f>'More accurate Energy (Solar)'!N135</f>
        <v>9008199.5736775883</v>
      </c>
      <c r="I140">
        <f t="shared" si="9"/>
        <v>2502.2776593548856</v>
      </c>
      <c r="J140">
        <f t="shared" si="13"/>
        <v>1759.2007406451144</v>
      </c>
      <c r="K140">
        <f t="shared" si="14"/>
        <v>6000</v>
      </c>
      <c r="L140" t="str">
        <f t="shared" si="15"/>
        <v/>
      </c>
      <c r="O140" s="352"/>
    </row>
    <row r="141" spans="1:15">
      <c r="A141" s="375">
        <v>121</v>
      </c>
      <c r="B141" s="35" t="s">
        <v>165</v>
      </c>
      <c r="C141" s="376">
        <v>1</v>
      </c>
      <c r="D141">
        <f t="shared" si="10"/>
        <v>15.3</v>
      </c>
      <c r="E141">
        <f t="shared" si="8"/>
        <v>29376</v>
      </c>
      <c r="F141">
        <f t="shared" si="11"/>
        <v>4993.92</v>
      </c>
      <c r="G141">
        <f t="shared" si="12"/>
        <v>4794.1632</v>
      </c>
      <c r="H141" s="35">
        <f>'More accurate Energy (Solar)'!N136</f>
        <v>5936504.960119551</v>
      </c>
      <c r="I141">
        <f t="shared" si="9"/>
        <v>1649.0291555887641</v>
      </c>
      <c r="J141">
        <f t="shared" si="13"/>
        <v>3145.1340444112357</v>
      </c>
      <c r="K141">
        <f t="shared" si="14"/>
        <v>6000</v>
      </c>
      <c r="L141" t="str">
        <f t="shared" si="15"/>
        <v/>
      </c>
      <c r="O141" s="352"/>
    </row>
    <row r="142" spans="1:15">
      <c r="A142" s="375">
        <v>122</v>
      </c>
      <c r="B142" s="35" t="s">
        <v>165</v>
      </c>
      <c r="C142" s="376">
        <v>2</v>
      </c>
      <c r="D142">
        <f t="shared" si="10"/>
        <v>15.3</v>
      </c>
      <c r="E142">
        <f t="shared" si="8"/>
        <v>29376</v>
      </c>
      <c r="F142">
        <f t="shared" si="11"/>
        <v>4993.92</v>
      </c>
      <c r="G142">
        <f t="shared" si="12"/>
        <v>4794.1632</v>
      </c>
      <c r="H142" s="35">
        <f>'More accurate Energy (Solar)'!N137</f>
        <v>3456000</v>
      </c>
      <c r="I142">
        <f t="shared" si="9"/>
        <v>960</v>
      </c>
      <c r="J142">
        <f t="shared" si="13"/>
        <v>3834.1632</v>
      </c>
      <c r="K142">
        <f t="shared" si="14"/>
        <v>6000</v>
      </c>
      <c r="L142" t="str">
        <f t="shared" si="15"/>
        <v/>
      </c>
      <c r="O142" s="352"/>
    </row>
    <row r="143" spans="1:15">
      <c r="A143" s="375">
        <v>123</v>
      </c>
      <c r="B143" s="35" t="s">
        <v>165</v>
      </c>
      <c r="C143" s="376">
        <v>3</v>
      </c>
      <c r="D143">
        <f t="shared" si="10"/>
        <v>15.3</v>
      </c>
      <c r="E143">
        <f t="shared" si="8"/>
        <v>29376</v>
      </c>
      <c r="F143">
        <f t="shared" si="11"/>
        <v>4993.92</v>
      </c>
      <c r="G143">
        <f t="shared" si="12"/>
        <v>4794.1632</v>
      </c>
      <c r="H143" s="35">
        <f>'More accurate Energy (Solar)'!N138</f>
        <v>3456000</v>
      </c>
      <c r="I143">
        <f t="shared" si="9"/>
        <v>960</v>
      </c>
      <c r="J143">
        <f t="shared" si="13"/>
        <v>3834.1632</v>
      </c>
      <c r="K143">
        <f t="shared" si="14"/>
        <v>6000</v>
      </c>
      <c r="L143" t="str">
        <f t="shared" si="15"/>
        <v/>
      </c>
      <c r="O143" s="352"/>
    </row>
    <row r="144" spans="1:15">
      <c r="A144" s="375">
        <v>124</v>
      </c>
      <c r="B144" s="35" t="s">
        <v>165</v>
      </c>
      <c r="C144" s="376">
        <v>4</v>
      </c>
      <c r="D144">
        <f t="shared" si="10"/>
        <v>15.3</v>
      </c>
      <c r="E144">
        <f t="shared" si="8"/>
        <v>29376</v>
      </c>
      <c r="F144">
        <f t="shared" si="11"/>
        <v>4993.92</v>
      </c>
      <c r="G144">
        <f t="shared" si="12"/>
        <v>4794.1632</v>
      </c>
      <c r="H144" s="35">
        <f>'More accurate Energy (Solar)'!N139</f>
        <v>12714219.561755959</v>
      </c>
      <c r="I144">
        <f t="shared" si="9"/>
        <v>3531.727656043322</v>
      </c>
      <c r="J144">
        <f t="shared" si="13"/>
        <v>1262.435543956678</v>
      </c>
      <c r="K144">
        <f t="shared" si="14"/>
        <v>6000</v>
      </c>
      <c r="L144" t="str">
        <f t="shared" si="15"/>
        <v/>
      </c>
      <c r="O144" s="352"/>
    </row>
    <row r="145" spans="1:15">
      <c r="A145" s="375">
        <v>125</v>
      </c>
      <c r="B145" s="35" t="s">
        <v>165</v>
      </c>
      <c r="C145" s="376">
        <v>5</v>
      </c>
      <c r="D145">
        <f t="shared" si="10"/>
        <v>15.3</v>
      </c>
      <c r="E145">
        <f t="shared" si="8"/>
        <v>29376</v>
      </c>
      <c r="F145">
        <f t="shared" si="11"/>
        <v>4993.92</v>
      </c>
      <c r="G145">
        <f t="shared" si="12"/>
        <v>4794.1632</v>
      </c>
      <c r="H145" s="35">
        <f>'More accurate Energy (Solar)'!N140</f>
        <v>5271937.5421474604</v>
      </c>
      <c r="I145">
        <f t="shared" si="9"/>
        <v>1464.4270950409611</v>
      </c>
      <c r="J145">
        <f t="shared" si="13"/>
        <v>3329.736104959039</v>
      </c>
      <c r="K145">
        <f t="shared" si="14"/>
        <v>6000</v>
      </c>
      <c r="L145" t="str">
        <f t="shared" si="15"/>
        <v/>
      </c>
      <c r="O145" s="352"/>
    </row>
    <row r="146" spans="1:15">
      <c r="A146" s="375">
        <v>126</v>
      </c>
      <c r="B146" s="35" t="s">
        <v>165</v>
      </c>
      <c r="C146" s="376">
        <v>6</v>
      </c>
      <c r="D146">
        <f t="shared" si="10"/>
        <v>15.3</v>
      </c>
      <c r="E146">
        <f t="shared" si="8"/>
        <v>29376</v>
      </c>
      <c r="F146">
        <f t="shared" si="11"/>
        <v>4993.92</v>
      </c>
      <c r="G146">
        <f t="shared" si="12"/>
        <v>4794.1632</v>
      </c>
      <c r="H146" s="35">
        <f>'More accurate Energy (Solar)'!N141</f>
        <v>3456000</v>
      </c>
      <c r="I146">
        <f t="shared" si="9"/>
        <v>960</v>
      </c>
      <c r="J146">
        <f t="shared" si="13"/>
        <v>3834.1632</v>
      </c>
      <c r="K146">
        <f t="shared" si="14"/>
        <v>6000</v>
      </c>
      <c r="L146" t="str">
        <f t="shared" si="15"/>
        <v/>
      </c>
      <c r="O146" s="352"/>
    </row>
    <row r="147" spans="1:15">
      <c r="A147" s="375">
        <v>127</v>
      </c>
      <c r="B147" s="35" t="s">
        <v>165</v>
      </c>
      <c r="C147" s="376">
        <v>7</v>
      </c>
      <c r="D147">
        <f t="shared" si="10"/>
        <v>15.3</v>
      </c>
      <c r="E147">
        <f t="shared" si="8"/>
        <v>29376</v>
      </c>
      <c r="F147">
        <f t="shared" si="11"/>
        <v>4993.92</v>
      </c>
      <c r="G147">
        <f t="shared" si="12"/>
        <v>4794.1632</v>
      </c>
      <c r="H147" s="35">
        <f>'More accurate Energy (Solar)'!N142</f>
        <v>3456000</v>
      </c>
      <c r="I147">
        <f t="shared" si="9"/>
        <v>960</v>
      </c>
      <c r="J147">
        <f t="shared" si="13"/>
        <v>3834.1632</v>
      </c>
      <c r="K147">
        <f t="shared" si="14"/>
        <v>6000</v>
      </c>
      <c r="L147" t="str">
        <f t="shared" si="15"/>
        <v/>
      </c>
      <c r="O147" s="352"/>
    </row>
    <row r="148" spans="1:15">
      <c r="A148" s="375">
        <v>128</v>
      </c>
      <c r="B148" s="35" t="s">
        <v>165</v>
      </c>
      <c r="C148" s="376">
        <v>8</v>
      </c>
      <c r="D148">
        <f t="shared" si="10"/>
        <v>15.3</v>
      </c>
      <c r="E148">
        <f t="shared" si="8"/>
        <v>29376</v>
      </c>
      <c r="F148">
        <f t="shared" si="11"/>
        <v>4993.92</v>
      </c>
      <c r="G148">
        <f t="shared" si="12"/>
        <v>4794.1632</v>
      </c>
      <c r="H148" s="35">
        <f>'More accurate Energy (Solar)'!N143</f>
        <v>3456000</v>
      </c>
      <c r="I148">
        <f t="shared" si="9"/>
        <v>960</v>
      </c>
      <c r="J148">
        <f t="shared" si="13"/>
        <v>3834.1632</v>
      </c>
      <c r="K148">
        <f t="shared" si="14"/>
        <v>6000</v>
      </c>
      <c r="L148" t="str">
        <f t="shared" si="15"/>
        <v/>
      </c>
      <c r="O148" s="352"/>
    </row>
    <row r="149" spans="1:15">
      <c r="A149" s="375">
        <v>129</v>
      </c>
      <c r="B149" s="35" t="s">
        <v>165</v>
      </c>
      <c r="C149" s="376">
        <v>9</v>
      </c>
      <c r="D149">
        <f t="shared" si="10"/>
        <v>15.3</v>
      </c>
      <c r="E149">
        <f t="shared" ref="E149:E212" si="16">$B$3*$H$1*$B$8*D149</f>
        <v>29376</v>
      </c>
      <c r="F149">
        <f t="shared" si="11"/>
        <v>4993.92</v>
      </c>
      <c r="G149">
        <f t="shared" si="12"/>
        <v>4794.1632</v>
      </c>
      <c r="H149" s="35">
        <f>'More accurate Energy (Solar)'!N144</f>
        <v>3456000</v>
      </c>
      <c r="I149">
        <f t="shared" ref="I149:I212" si="17">H149/3600</f>
        <v>960</v>
      </c>
      <c r="J149">
        <f t="shared" si="13"/>
        <v>3834.1632</v>
      </c>
      <c r="K149">
        <f t="shared" si="14"/>
        <v>6000</v>
      </c>
      <c r="L149" t="str">
        <f t="shared" si="15"/>
        <v/>
      </c>
      <c r="O149" s="352"/>
    </row>
    <row r="150" spans="1:15">
      <c r="A150" s="375">
        <v>130</v>
      </c>
      <c r="B150" s="35" t="s">
        <v>165</v>
      </c>
      <c r="C150" s="376">
        <v>10</v>
      </c>
      <c r="D150">
        <f t="shared" ref="D150:D213" si="18">INDEX($M$4:$M$15,MATCH(B150,$L$4:$L$15,0))</f>
        <v>15.3</v>
      </c>
      <c r="E150">
        <f t="shared" si="16"/>
        <v>29376</v>
      </c>
      <c r="F150">
        <f t="shared" ref="F150:F213" si="19">E150*$B$5</f>
        <v>4993.92</v>
      </c>
      <c r="G150">
        <f t="shared" ref="G150:G213" si="20">F150*$F$4</f>
        <v>4794.1632</v>
      </c>
      <c r="H150" s="35">
        <f>'More accurate Energy (Solar)'!N145</f>
        <v>5271937.5421474604</v>
      </c>
      <c r="I150">
        <f t="shared" si="17"/>
        <v>1464.4270950409611</v>
      </c>
      <c r="J150">
        <f t="shared" ref="J150:J213" si="21">G150-I150</f>
        <v>3329.736104959039</v>
      </c>
      <c r="K150">
        <f t="shared" ref="K150:K213" si="22">MIN(MAX(K149+J149,0),$F$3*$F$6)</f>
        <v>6000</v>
      </c>
      <c r="L150" t="str">
        <f t="shared" ref="L150:L213" si="23">IF(K150 = 0, 1, "")</f>
        <v/>
      </c>
      <c r="O150" s="352"/>
    </row>
    <row r="151" spans="1:15">
      <c r="A151" s="375">
        <v>131</v>
      </c>
      <c r="B151" s="35" t="s">
        <v>165</v>
      </c>
      <c r="C151" s="376">
        <v>11</v>
      </c>
      <c r="D151">
        <f t="shared" si="18"/>
        <v>15.3</v>
      </c>
      <c r="E151">
        <f t="shared" si="16"/>
        <v>29376</v>
      </c>
      <c r="F151">
        <f t="shared" si="19"/>
        <v>4993.92</v>
      </c>
      <c r="G151">
        <f t="shared" si="20"/>
        <v>4794.1632</v>
      </c>
      <c r="H151" s="35">
        <f>'More accurate Energy (Solar)'!N146</f>
        <v>3456000</v>
      </c>
      <c r="I151">
        <f t="shared" si="17"/>
        <v>960</v>
      </c>
      <c r="J151">
        <f t="shared" si="21"/>
        <v>3834.1632</v>
      </c>
      <c r="K151">
        <f t="shared" si="22"/>
        <v>6000</v>
      </c>
      <c r="L151" t="str">
        <f t="shared" si="23"/>
        <v/>
      </c>
      <c r="O151" s="352"/>
    </row>
    <row r="152" spans="1:15">
      <c r="A152" s="375">
        <v>132</v>
      </c>
      <c r="B152" s="35" t="s">
        <v>165</v>
      </c>
      <c r="C152" s="376">
        <v>12</v>
      </c>
      <c r="D152">
        <f t="shared" si="18"/>
        <v>15.3</v>
      </c>
      <c r="E152">
        <f t="shared" si="16"/>
        <v>29376</v>
      </c>
      <c r="F152">
        <f t="shared" si="19"/>
        <v>4993.92</v>
      </c>
      <c r="G152">
        <f t="shared" si="20"/>
        <v>4794.1632</v>
      </c>
      <c r="H152" s="35">
        <f>'More accurate Energy (Solar)'!N147</f>
        <v>3456000</v>
      </c>
      <c r="I152">
        <f t="shared" si="17"/>
        <v>960</v>
      </c>
      <c r="J152">
        <f t="shared" si="21"/>
        <v>3834.1632</v>
      </c>
      <c r="K152">
        <f t="shared" si="22"/>
        <v>6000</v>
      </c>
      <c r="L152" t="str">
        <f t="shared" si="23"/>
        <v/>
      </c>
      <c r="O152" s="352"/>
    </row>
    <row r="153" spans="1:15">
      <c r="A153" s="375">
        <v>133</v>
      </c>
      <c r="B153" s="35" t="s">
        <v>165</v>
      </c>
      <c r="C153" s="376">
        <v>13</v>
      </c>
      <c r="D153">
        <f t="shared" si="18"/>
        <v>15.3</v>
      </c>
      <c r="E153">
        <f t="shared" si="16"/>
        <v>29376</v>
      </c>
      <c r="F153">
        <f t="shared" si="19"/>
        <v>4993.92</v>
      </c>
      <c r="G153">
        <f t="shared" si="20"/>
        <v>4794.1632</v>
      </c>
      <c r="H153" s="35">
        <f>'More accurate Energy (Solar)'!N148</f>
        <v>3456000</v>
      </c>
      <c r="I153">
        <f t="shared" si="17"/>
        <v>960</v>
      </c>
      <c r="J153">
        <f t="shared" si="21"/>
        <v>3834.1632</v>
      </c>
      <c r="K153">
        <f t="shared" si="22"/>
        <v>6000</v>
      </c>
      <c r="L153" t="str">
        <f t="shared" si="23"/>
        <v/>
      </c>
      <c r="O153" s="352"/>
    </row>
    <row r="154" spans="1:15">
      <c r="A154" s="375">
        <v>134</v>
      </c>
      <c r="B154" s="35" t="s">
        <v>165</v>
      </c>
      <c r="C154" s="376">
        <v>14</v>
      </c>
      <c r="D154">
        <f t="shared" si="18"/>
        <v>15.3</v>
      </c>
      <c r="E154">
        <f t="shared" si="16"/>
        <v>29376</v>
      </c>
      <c r="F154">
        <f t="shared" si="19"/>
        <v>4993.92</v>
      </c>
      <c r="G154">
        <f t="shared" si="20"/>
        <v>4794.1632</v>
      </c>
      <c r="H154" s="35">
        <f>'More accurate Energy (Solar)'!N149</f>
        <v>3456000</v>
      </c>
      <c r="I154">
        <f t="shared" si="17"/>
        <v>960</v>
      </c>
      <c r="J154">
        <f t="shared" si="21"/>
        <v>3834.1632</v>
      </c>
      <c r="K154">
        <f t="shared" si="22"/>
        <v>6000</v>
      </c>
      <c r="L154" t="str">
        <f t="shared" si="23"/>
        <v/>
      </c>
      <c r="O154" s="352"/>
    </row>
    <row r="155" spans="1:15">
      <c r="A155" s="375">
        <v>135</v>
      </c>
      <c r="B155" s="35" t="s">
        <v>165</v>
      </c>
      <c r="C155" s="376">
        <v>15</v>
      </c>
      <c r="D155">
        <f t="shared" si="18"/>
        <v>15.3</v>
      </c>
      <c r="E155">
        <f t="shared" si="16"/>
        <v>29376</v>
      </c>
      <c r="F155">
        <f t="shared" si="19"/>
        <v>4993.92</v>
      </c>
      <c r="G155">
        <f t="shared" si="20"/>
        <v>4794.1632</v>
      </c>
      <c r="H155" s="35">
        <f>'More accurate Energy (Solar)'!N150</f>
        <v>3456000</v>
      </c>
      <c r="I155">
        <f t="shared" si="17"/>
        <v>960</v>
      </c>
      <c r="J155">
        <f t="shared" si="21"/>
        <v>3834.1632</v>
      </c>
      <c r="K155">
        <f t="shared" si="22"/>
        <v>6000</v>
      </c>
      <c r="L155" t="str">
        <f t="shared" si="23"/>
        <v/>
      </c>
      <c r="O155" s="352"/>
    </row>
    <row r="156" spans="1:15">
      <c r="A156" s="375">
        <v>136</v>
      </c>
      <c r="B156" s="35" t="s">
        <v>165</v>
      </c>
      <c r="C156" s="376">
        <v>16</v>
      </c>
      <c r="D156">
        <f t="shared" si="18"/>
        <v>15.3</v>
      </c>
      <c r="E156">
        <f t="shared" si="16"/>
        <v>29376</v>
      </c>
      <c r="F156">
        <f t="shared" si="19"/>
        <v>4993.92</v>
      </c>
      <c r="G156">
        <f t="shared" si="20"/>
        <v>4794.1632</v>
      </c>
      <c r="H156" s="35">
        <f>'More accurate Energy (Solar)'!N151</f>
        <v>4785381.2882989179</v>
      </c>
      <c r="I156">
        <f t="shared" si="17"/>
        <v>1329.2725800830328</v>
      </c>
      <c r="J156">
        <f t="shared" si="21"/>
        <v>3464.8906199169669</v>
      </c>
      <c r="K156">
        <f t="shared" si="22"/>
        <v>6000</v>
      </c>
      <c r="L156" t="str">
        <f t="shared" si="23"/>
        <v/>
      </c>
      <c r="O156" s="352"/>
    </row>
    <row r="157" spans="1:15">
      <c r="A157" s="375">
        <v>137</v>
      </c>
      <c r="B157" s="35" t="s">
        <v>165</v>
      </c>
      <c r="C157" s="376">
        <v>17</v>
      </c>
      <c r="D157">
        <f t="shared" si="18"/>
        <v>15.3</v>
      </c>
      <c r="E157">
        <f t="shared" si="16"/>
        <v>29376</v>
      </c>
      <c r="F157">
        <f t="shared" si="19"/>
        <v>4993.92</v>
      </c>
      <c r="G157">
        <f t="shared" si="20"/>
        <v>4794.1632</v>
      </c>
      <c r="H157" s="35">
        <f>'More accurate Energy (Solar)'!N152</f>
        <v>3456000</v>
      </c>
      <c r="I157">
        <f t="shared" si="17"/>
        <v>960</v>
      </c>
      <c r="J157">
        <f t="shared" si="21"/>
        <v>3834.1632</v>
      </c>
      <c r="K157">
        <f t="shared" si="22"/>
        <v>6000</v>
      </c>
      <c r="L157" t="str">
        <f t="shared" si="23"/>
        <v/>
      </c>
      <c r="O157" s="352"/>
    </row>
    <row r="158" spans="1:15">
      <c r="A158" s="375">
        <v>138</v>
      </c>
      <c r="B158" s="35" t="s">
        <v>165</v>
      </c>
      <c r="C158" s="376">
        <v>18</v>
      </c>
      <c r="D158">
        <f t="shared" si="18"/>
        <v>15.3</v>
      </c>
      <c r="E158">
        <f t="shared" si="16"/>
        <v>29376</v>
      </c>
      <c r="F158">
        <f t="shared" si="19"/>
        <v>4993.92</v>
      </c>
      <c r="G158">
        <f t="shared" si="20"/>
        <v>4794.1632</v>
      </c>
      <c r="H158" s="35">
        <f>'More accurate Energy (Solar)'!N153</f>
        <v>3456000</v>
      </c>
      <c r="I158">
        <f t="shared" si="17"/>
        <v>960</v>
      </c>
      <c r="J158">
        <f t="shared" si="21"/>
        <v>3834.1632</v>
      </c>
      <c r="K158">
        <f t="shared" si="22"/>
        <v>6000</v>
      </c>
      <c r="L158" t="str">
        <f t="shared" si="23"/>
        <v/>
      </c>
      <c r="O158" s="352"/>
    </row>
    <row r="159" spans="1:15">
      <c r="A159" s="375">
        <v>139</v>
      </c>
      <c r="B159" s="35" t="s">
        <v>165</v>
      </c>
      <c r="C159" s="376">
        <v>19</v>
      </c>
      <c r="D159">
        <f t="shared" si="18"/>
        <v>15.3</v>
      </c>
      <c r="E159">
        <f t="shared" si="16"/>
        <v>29376</v>
      </c>
      <c r="F159">
        <f t="shared" si="19"/>
        <v>4993.92</v>
      </c>
      <c r="G159">
        <f t="shared" si="20"/>
        <v>4794.1632</v>
      </c>
      <c r="H159" s="35">
        <f>'More accurate Energy (Solar)'!N154</f>
        <v>3456000</v>
      </c>
      <c r="I159">
        <f t="shared" si="17"/>
        <v>960</v>
      </c>
      <c r="J159">
        <f t="shared" si="21"/>
        <v>3834.1632</v>
      </c>
      <c r="K159">
        <f t="shared" si="22"/>
        <v>6000</v>
      </c>
      <c r="L159" t="str">
        <f t="shared" si="23"/>
        <v/>
      </c>
      <c r="O159" s="352"/>
    </row>
    <row r="160" spans="1:15">
      <c r="A160" s="375">
        <v>140</v>
      </c>
      <c r="B160" s="35" t="s">
        <v>165</v>
      </c>
      <c r="C160" s="376">
        <v>20</v>
      </c>
      <c r="D160">
        <f t="shared" si="18"/>
        <v>15.3</v>
      </c>
      <c r="E160">
        <f t="shared" si="16"/>
        <v>29376</v>
      </c>
      <c r="F160">
        <f t="shared" si="19"/>
        <v>4993.92</v>
      </c>
      <c r="G160">
        <f t="shared" si="20"/>
        <v>4794.1632</v>
      </c>
      <c r="H160" s="35">
        <f>'More accurate Energy (Solar)'!N155</f>
        <v>3456000</v>
      </c>
      <c r="I160">
        <f t="shared" si="17"/>
        <v>960</v>
      </c>
      <c r="J160">
        <f t="shared" si="21"/>
        <v>3834.1632</v>
      </c>
      <c r="K160">
        <f t="shared" si="22"/>
        <v>6000</v>
      </c>
      <c r="L160" t="str">
        <f t="shared" si="23"/>
        <v/>
      </c>
      <c r="O160" s="352"/>
    </row>
    <row r="161" spans="1:15">
      <c r="A161" s="375">
        <v>141</v>
      </c>
      <c r="B161" s="35" t="s">
        <v>165</v>
      </c>
      <c r="C161" s="376">
        <v>21</v>
      </c>
      <c r="D161">
        <f t="shared" si="18"/>
        <v>15.3</v>
      </c>
      <c r="E161">
        <f t="shared" si="16"/>
        <v>29376</v>
      </c>
      <c r="F161">
        <f t="shared" si="19"/>
        <v>4993.92</v>
      </c>
      <c r="G161">
        <f t="shared" si="20"/>
        <v>4794.1632</v>
      </c>
      <c r="H161" s="35">
        <f>'More accurate Energy (Solar)'!N156</f>
        <v>3456000</v>
      </c>
      <c r="I161">
        <f t="shared" si="17"/>
        <v>960</v>
      </c>
      <c r="J161">
        <f t="shared" si="21"/>
        <v>3834.1632</v>
      </c>
      <c r="K161">
        <f t="shared" si="22"/>
        <v>6000</v>
      </c>
      <c r="L161" t="str">
        <f t="shared" si="23"/>
        <v/>
      </c>
      <c r="O161" s="352"/>
    </row>
    <row r="162" spans="1:15">
      <c r="A162" s="375">
        <v>142</v>
      </c>
      <c r="B162" s="35" t="s">
        <v>165</v>
      </c>
      <c r="C162" s="376">
        <v>22</v>
      </c>
      <c r="D162">
        <f t="shared" si="18"/>
        <v>15.3</v>
      </c>
      <c r="E162">
        <f t="shared" si="16"/>
        <v>29376</v>
      </c>
      <c r="F162">
        <f t="shared" si="19"/>
        <v>4993.92</v>
      </c>
      <c r="G162">
        <f t="shared" si="20"/>
        <v>4794.1632</v>
      </c>
      <c r="H162" s="35">
        <f>'More accurate Energy (Solar)'!N157</f>
        <v>4785381.2882989179</v>
      </c>
      <c r="I162">
        <f t="shared" si="17"/>
        <v>1329.2725800830328</v>
      </c>
      <c r="J162">
        <f t="shared" si="21"/>
        <v>3464.8906199169669</v>
      </c>
      <c r="K162">
        <f t="shared" si="22"/>
        <v>6000</v>
      </c>
      <c r="L162" t="str">
        <f t="shared" si="23"/>
        <v/>
      </c>
      <c r="O162" s="352"/>
    </row>
    <row r="163" spans="1:15">
      <c r="A163" s="375">
        <v>143</v>
      </c>
      <c r="B163" s="35" t="s">
        <v>165</v>
      </c>
      <c r="C163" s="376">
        <v>23</v>
      </c>
      <c r="D163">
        <f t="shared" si="18"/>
        <v>15.3</v>
      </c>
      <c r="E163">
        <f t="shared" si="16"/>
        <v>29376</v>
      </c>
      <c r="F163">
        <f t="shared" si="19"/>
        <v>4993.92</v>
      </c>
      <c r="G163">
        <f t="shared" si="20"/>
        <v>4794.1632</v>
      </c>
      <c r="H163" s="35">
        <f>'More accurate Energy (Solar)'!N158</f>
        <v>4785381.2882989179</v>
      </c>
      <c r="I163">
        <f t="shared" si="17"/>
        <v>1329.2725800830328</v>
      </c>
      <c r="J163">
        <f t="shared" si="21"/>
        <v>3464.8906199169669</v>
      </c>
      <c r="K163">
        <f t="shared" si="22"/>
        <v>6000</v>
      </c>
      <c r="L163" t="str">
        <f t="shared" si="23"/>
        <v/>
      </c>
      <c r="O163" s="352"/>
    </row>
    <row r="164" spans="1:15">
      <c r="A164" s="375">
        <v>144</v>
      </c>
      <c r="B164" s="35" t="s">
        <v>165</v>
      </c>
      <c r="C164" s="376">
        <v>24</v>
      </c>
      <c r="D164">
        <f t="shared" si="18"/>
        <v>15.3</v>
      </c>
      <c r="E164">
        <f t="shared" si="16"/>
        <v>29376</v>
      </c>
      <c r="F164">
        <f t="shared" si="19"/>
        <v>4993.92</v>
      </c>
      <c r="G164">
        <f t="shared" si="20"/>
        <v>4794.1632</v>
      </c>
      <c r="H164" s="35">
        <f>'More accurate Energy (Solar)'!N159</f>
        <v>3456000</v>
      </c>
      <c r="I164">
        <f t="shared" si="17"/>
        <v>960</v>
      </c>
      <c r="J164">
        <f t="shared" si="21"/>
        <v>3834.1632</v>
      </c>
      <c r="K164">
        <f t="shared" si="22"/>
        <v>6000</v>
      </c>
      <c r="L164" t="str">
        <f t="shared" si="23"/>
        <v/>
      </c>
      <c r="O164" s="352"/>
    </row>
    <row r="165" spans="1:15">
      <c r="A165" s="375">
        <v>145</v>
      </c>
      <c r="B165" s="35" t="s">
        <v>165</v>
      </c>
      <c r="C165" s="376">
        <v>25</v>
      </c>
      <c r="D165">
        <f t="shared" si="18"/>
        <v>15.3</v>
      </c>
      <c r="E165">
        <f t="shared" si="16"/>
        <v>29376</v>
      </c>
      <c r="F165">
        <f t="shared" si="19"/>
        <v>4993.92</v>
      </c>
      <c r="G165">
        <f t="shared" si="20"/>
        <v>4794.1632</v>
      </c>
      <c r="H165" s="35">
        <f>'More accurate Energy (Solar)'!N160</f>
        <v>3456000</v>
      </c>
      <c r="I165">
        <f t="shared" si="17"/>
        <v>960</v>
      </c>
      <c r="J165">
        <f t="shared" si="21"/>
        <v>3834.1632</v>
      </c>
      <c r="K165">
        <f t="shared" si="22"/>
        <v>6000</v>
      </c>
      <c r="L165" t="str">
        <f t="shared" si="23"/>
        <v/>
      </c>
      <c r="O165" s="352"/>
    </row>
    <row r="166" spans="1:15">
      <c r="A166" s="375">
        <v>146</v>
      </c>
      <c r="B166" s="35" t="s">
        <v>165</v>
      </c>
      <c r="C166" s="376">
        <v>26</v>
      </c>
      <c r="D166">
        <f t="shared" si="18"/>
        <v>15.3</v>
      </c>
      <c r="E166">
        <f t="shared" si="16"/>
        <v>29376</v>
      </c>
      <c r="F166">
        <f t="shared" si="19"/>
        <v>4993.92</v>
      </c>
      <c r="G166">
        <f t="shared" si="20"/>
        <v>4794.1632</v>
      </c>
      <c r="H166" s="35">
        <f>'More accurate Energy (Solar)'!N161</f>
        <v>3456000</v>
      </c>
      <c r="I166">
        <f t="shared" si="17"/>
        <v>960</v>
      </c>
      <c r="J166">
        <f t="shared" si="21"/>
        <v>3834.1632</v>
      </c>
      <c r="K166">
        <f t="shared" si="22"/>
        <v>6000</v>
      </c>
      <c r="L166" t="str">
        <f t="shared" si="23"/>
        <v/>
      </c>
      <c r="O166" s="352"/>
    </row>
    <row r="167" spans="1:15">
      <c r="A167" s="375">
        <v>147</v>
      </c>
      <c r="B167" s="35" t="s">
        <v>165</v>
      </c>
      <c r="C167" s="376">
        <v>27</v>
      </c>
      <c r="D167">
        <f t="shared" si="18"/>
        <v>15.3</v>
      </c>
      <c r="E167">
        <f t="shared" si="16"/>
        <v>29376</v>
      </c>
      <c r="F167">
        <f t="shared" si="19"/>
        <v>4993.92</v>
      </c>
      <c r="G167">
        <f t="shared" si="20"/>
        <v>4794.1632</v>
      </c>
      <c r="H167" s="35">
        <f>'More accurate Energy (Solar)'!N162</f>
        <v>3456000</v>
      </c>
      <c r="I167">
        <f t="shared" si="17"/>
        <v>960</v>
      </c>
      <c r="J167">
        <f t="shared" si="21"/>
        <v>3834.1632</v>
      </c>
      <c r="K167">
        <f t="shared" si="22"/>
        <v>6000</v>
      </c>
      <c r="L167" t="str">
        <f t="shared" si="23"/>
        <v/>
      </c>
      <c r="O167" s="352"/>
    </row>
    <row r="168" spans="1:15">
      <c r="A168" s="375">
        <v>148</v>
      </c>
      <c r="B168" s="35" t="s">
        <v>165</v>
      </c>
      <c r="C168" s="376">
        <v>28</v>
      </c>
      <c r="D168">
        <f t="shared" si="18"/>
        <v>15.3</v>
      </c>
      <c r="E168">
        <f t="shared" si="16"/>
        <v>29376</v>
      </c>
      <c r="F168">
        <f t="shared" si="19"/>
        <v>4993.92</v>
      </c>
      <c r="G168">
        <f t="shared" si="20"/>
        <v>4794.1632</v>
      </c>
      <c r="H168" s="35">
        <f>'More accurate Energy (Solar)'!N163</f>
        <v>3456000</v>
      </c>
      <c r="I168">
        <f t="shared" si="17"/>
        <v>960</v>
      </c>
      <c r="J168">
        <f t="shared" si="21"/>
        <v>3834.1632</v>
      </c>
      <c r="K168">
        <f t="shared" si="22"/>
        <v>6000</v>
      </c>
      <c r="L168" t="str">
        <f t="shared" si="23"/>
        <v/>
      </c>
      <c r="O168" s="352"/>
    </row>
    <row r="169" spans="1:15">
      <c r="A169" s="375">
        <v>149</v>
      </c>
      <c r="B169" s="35" t="s">
        <v>165</v>
      </c>
      <c r="C169" s="376">
        <v>29</v>
      </c>
      <c r="D169">
        <f t="shared" si="18"/>
        <v>15.3</v>
      </c>
      <c r="E169">
        <f t="shared" si="16"/>
        <v>29376</v>
      </c>
      <c r="F169">
        <f t="shared" si="19"/>
        <v>4993.92</v>
      </c>
      <c r="G169">
        <f t="shared" si="20"/>
        <v>4794.1632</v>
      </c>
      <c r="H169" s="35">
        <f>'More accurate Energy (Solar)'!N164</f>
        <v>3456000</v>
      </c>
      <c r="I169">
        <f t="shared" si="17"/>
        <v>960</v>
      </c>
      <c r="J169">
        <f t="shared" si="21"/>
        <v>3834.1632</v>
      </c>
      <c r="K169">
        <f t="shared" si="22"/>
        <v>6000</v>
      </c>
      <c r="L169" t="str">
        <f t="shared" si="23"/>
        <v/>
      </c>
      <c r="O169" s="352"/>
    </row>
    <row r="170" spans="1:15">
      <c r="A170" s="375">
        <v>150</v>
      </c>
      <c r="B170" s="35" t="s">
        <v>165</v>
      </c>
      <c r="C170" s="376">
        <v>30</v>
      </c>
      <c r="D170">
        <f t="shared" si="18"/>
        <v>15.3</v>
      </c>
      <c r="E170">
        <f t="shared" si="16"/>
        <v>29376</v>
      </c>
      <c r="F170">
        <f t="shared" si="19"/>
        <v>4993.92</v>
      </c>
      <c r="G170">
        <f t="shared" si="20"/>
        <v>4794.1632</v>
      </c>
      <c r="H170" s="35">
        <f>'More accurate Energy (Solar)'!N165</f>
        <v>3456000</v>
      </c>
      <c r="I170">
        <f t="shared" si="17"/>
        <v>960</v>
      </c>
      <c r="J170">
        <f t="shared" si="21"/>
        <v>3834.1632</v>
      </c>
      <c r="K170">
        <f t="shared" si="22"/>
        <v>6000</v>
      </c>
      <c r="L170" t="str">
        <f t="shared" si="23"/>
        <v/>
      </c>
      <c r="O170" s="352"/>
    </row>
    <row r="171" spans="1:15">
      <c r="A171" s="375">
        <v>151</v>
      </c>
      <c r="B171" s="35" t="s">
        <v>165</v>
      </c>
      <c r="C171" s="176">
        <v>31</v>
      </c>
      <c r="D171">
        <f t="shared" si="18"/>
        <v>15.3</v>
      </c>
      <c r="E171">
        <f t="shared" si="16"/>
        <v>29376</v>
      </c>
      <c r="F171">
        <f t="shared" si="19"/>
        <v>4993.92</v>
      </c>
      <c r="G171">
        <f t="shared" si="20"/>
        <v>4794.1632</v>
      </c>
      <c r="H171" s="35">
        <f>'More accurate Energy (Solar)'!N166</f>
        <v>3456000</v>
      </c>
      <c r="I171">
        <f t="shared" si="17"/>
        <v>960</v>
      </c>
      <c r="J171">
        <f t="shared" si="21"/>
        <v>3834.1632</v>
      </c>
      <c r="K171">
        <f t="shared" si="22"/>
        <v>6000</v>
      </c>
      <c r="L171" t="str">
        <f t="shared" si="23"/>
        <v/>
      </c>
      <c r="O171" s="352"/>
    </row>
    <row r="172" spans="1:15">
      <c r="A172" s="375">
        <v>152</v>
      </c>
      <c r="B172" s="35" t="s">
        <v>166</v>
      </c>
      <c r="C172" s="376">
        <v>1</v>
      </c>
      <c r="D172">
        <f t="shared" si="18"/>
        <v>16</v>
      </c>
      <c r="E172">
        <f t="shared" si="16"/>
        <v>30720</v>
      </c>
      <c r="F172">
        <f t="shared" si="19"/>
        <v>5222.4000000000005</v>
      </c>
      <c r="G172">
        <f t="shared" si="20"/>
        <v>5013.5039999999999</v>
      </c>
      <c r="H172" s="35">
        <f>'More accurate Energy (Solar)'!N167</f>
        <v>10199769.878575165</v>
      </c>
      <c r="I172">
        <f t="shared" si="17"/>
        <v>2833.2694107153234</v>
      </c>
      <c r="J172">
        <f t="shared" si="21"/>
        <v>2180.2345892846765</v>
      </c>
      <c r="K172">
        <f t="shared" si="22"/>
        <v>6000</v>
      </c>
      <c r="L172" t="str">
        <f t="shared" si="23"/>
        <v/>
      </c>
      <c r="O172" s="352"/>
    </row>
    <row r="173" spans="1:15">
      <c r="A173" s="375">
        <v>153</v>
      </c>
      <c r="B173" s="35" t="s">
        <v>166</v>
      </c>
      <c r="C173" s="376">
        <v>2</v>
      </c>
      <c r="D173">
        <f t="shared" si="18"/>
        <v>16</v>
      </c>
      <c r="E173">
        <f t="shared" si="16"/>
        <v>30720</v>
      </c>
      <c r="F173">
        <f t="shared" si="19"/>
        <v>5222.4000000000005</v>
      </c>
      <c r="G173">
        <f t="shared" si="20"/>
        <v>5013.5039999999999</v>
      </c>
      <c r="H173" s="35">
        <f>'More accurate Energy (Solar)'!N168</f>
        <v>7813618.2510619583</v>
      </c>
      <c r="I173">
        <f t="shared" si="17"/>
        <v>2170.4495141838775</v>
      </c>
      <c r="J173">
        <f t="shared" si="21"/>
        <v>2843.0544858161225</v>
      </c>
      <c r="K173">
        <f t="shared" si="22"/>
        <v>6000</v>
      </c>
      <c r="L173" t="str">
        <f t="shared" si="23"/>
        <v/>
      </c>
      <c r="O173" s="352"/>
    </row>
    <row r="174" spans="1:15">
      <c r="A174" s="375">
        <v>154</v>
      </c>
      <c r="B174" s="35" t="s">
        <v>166</v>
      </c>
      <c r="C174" s="376">
        <v>3</v>
      </c>
      <c r="D174">
        <f t="shared" si="18"/>
        <v>16</v>
      </c>
      <c r="E174">
        <f t="shared" si="16"/>
        <v>30720</v>
      </c>
      <c r="F174">
        <f t="shared" si="19"/>
        <v>5222.4000000000005</v>
      </c>
      <c r="G174">
        <f t="shared" si="20"/>
        <v>5013.5039999999999</v>
      </c>
      <c r="H174" s="35">
        <f>'More accurate Energy (Solar)'!N169</f>
        <v>3456000</v>
      </c>
      <c r="I174">
        <f t="shared" si="17"/>
        <v>960</v>
      </c>
      <c r="J174">
        <f t="shared" si="21"/>
        <v>4053.5039999999999</v>
      </c>
      <c r="K174">
        <f t="shared" si="22"/>
        <v>6000</v>
      </c>
      <c r="L174" t="str">
        <f t="shared" si="23"/>
        <v/>
      </c>
      <c r="O174" s="352"/>
    </row>
    <row r="175" spans="1:15">
      <c r="A175" s="375">
        <v>155</v>
      </c>
      <c r="B175" s="35" t="s">
        <v>166</v>
      </c>
      <c r="C175" s="376">
        <v>4</v>
      </c>
      <c r="D175">
        <f t="shared" si="18"/>
        <v>16</v>
      </c>
      <c r="E175">
        <f t="shared" si="16"/>
        <v>30720</v>
      </c>
      <c r="F175">
        <f t="shared" si="19"/>
        <v>5222.4000000000005</v>
      </c>
      <c r="G175">
        <f t="shared" si="20"/>
        <v>5013.5039999999999</v>
      </c>
      <c r="H175" s="35">
        <f>'More accurate Energy (Solar)'!N170</f>
        <v>3456000</v>
      </c>
      <c r="I175">
        <f t="shared" si="17"/>
        <v>960</v>
      </c>
      <c r="J175">
        <f t="shared" si="21"/>
        <v>4053.5039999999999</v>
      </c>
      <c r="K175">
        <f t="shared" si="22"/>
        <v>6000</v>
      </c>
      <c r="L175" t="str">
        <f t="shared" si="23"/>
        <v/>
      </c>
      <c r="O175" s="352"/>
    </row>
    <row r="176" spans="1:15">
      <c r="A176" s="375">
        <v>156</v>
      </c>
      <c r="B176" s="35" t="s">
        <v>166</v>
      </c>
      <c r="C176" s="376">
        <v>5</v>
      </c>
      <c r="D176">
        <f t="shared" si="18"/>
        <v>16</v>
      </c>
      <c r="E176">
        <f t="shared" si="16"/>
        <v>30720</v>
      </c>
      <c r="F176">
        <f t="shared" si="19"/>
        <v>5222.4000000000005</v>
      </c>
      <c r="G176">
        <f t="shared" si="20"/>
        <v>5013.5039999999999</v>
      </c>
      <c r="H176" s="35">
        <f>'More accurate Energy (Solar)'!N171</f>
        <v>3456000</v>
      </c>
      <c r="I176">
        <f t="shared" si="17"/>
        <v>960</v>
      </c>
      <c r="J176">
        <f t="shared" si="21"/>
        <v>4053.5039999999999</v>
      </c>
      <c r="K176">
        <f t="shared" si="22"/>
        <v>6000</v>
      </c>
      <c r="L176" t="str">
        <f t="shared" si="23"/>
        <v/>
      </c>
      <c r="O176" s="352"/>
    </row>
    <row r="177" spans="1:15">
      <c r="A177" s="375">
        <v>157</v>
      </c>
      <c r="B177" s="35" t="s">
        <v>166</v>
      </c>
      <c r="C177" s="376">
        <v>6</v>
      </c>
      <c r="D177">
        <f t="shared" si="18"/>
        <v>16</v>
      </c>
      <c r="E177">
        <f t="shared" si="16"/>
        <v>30720</v>
      </c>
      <c r="F177">
        <f t="shared" si="19"/>
        <v>5222.4000000000005</v>
      </c>
      <c r="G177">
        <f t="shared" si="20"/>
        <v>5013.5039999999999</v>
      </c>
      <c r="H177" s="35">
        <f>'More accurate Energy (Solar)'!N172</f>
        <v>3456000</v>
      </c>
      <c r="I177">
        <f t="shared" si="17"/>
        <v>960</v>
      </c>
      <c r="J177">
        <f t="shared" si="21"/>
        <v>4053.5039999999999</v>
      </c>
      <c r="K177">
        <f t="shared" si="22"/>
        <v>6000</v>
      </c>
      <c r="L177" t="str">
        <f t="shared" si="23"/>
        <v/>
      </c>
      <c r="O177" s="352"/>
    </row>
    <row r="178" spans="1:15">
      <c r="A178" s="375">
        <v>158</v>
      </c>
      <c r="B178" s="35" t="s">
        <v>166</v>
      </c>
      <c r="C178" s="376">
        <v>7</v>
      </c>
      <c r="D178">
        <f t="shared" si="18"/>
        <v>16</v>
      </c>
      <c r="E178">
        <f t="shared" si="16"/>
        <v>30720</v>
      </c>
      <c r="F178">
        <f t="shared" si="19"/>
        <v>5222.4000000000005</v>
      </c>
      <c r="G178">
        <f t="shared" si="20"/>
        <v>5013.5039999999999</v>
      </c>
      <c r="H178" s="35">
        <f>'More accurate Energy (Solar)'!N173</f>
        <v>3456000</v>
      </c>
      <c r="I178">
        <f t="shared" si="17"/>
        <v>960</v>
      </c>
      <c r="J178">
        <f t="shared" si="21"/>
        <v>4053.5039999999999</v>
      </c>
      <c r="K178">
        <f t="shared" si="22"/>
        <v>6000</v>
      </c>
      <c r="L178" t="str">
        <f t="shared" si="23"/>
        <v/>
      </c>
      <c r="O178" s="352"/>
    </row>
    <row r="179" spans="1:15">
      <c r="A179" s="375">
        <v>159</v>
      </c>
      <c r="B179" s="35" t="s">
        <v>166</v>
      </c>
      <c r="C179" s="376">
        <v>8</v>
      </c>
      <c r="D179">
        <f t="shared" si="18"/>
        <v>16</v>
      </c>
      <c r="E179">
        <f t="shared" si="16"/>
        <v>30720</v>
      </c>
      <c r="F179">
        <f t="shared" si="19"/>
        <v>5222.4000000000005</v>
      </c>
      <c r="G179">
        <f t="shared" si="20"/>
        <v>5013.5039999999999</v>
      </c>
      <c r="H179" s="35">
        <f>'More accurate Energy (Solar)'!N174</f>
        <v>3456000</v>
      </c>
      <c r="I179">
        <f t="shared" si="17"/>
        <v>960</v>
      </c>
      <c r="J179">
        <f t="shared" si="21"/>
        <v>4053.5039999999999</v>
      </c>
      <c r="K179">
        <f t="shared" si="22"/>
        <v>6000</v>
      </c>
      <c r="L179" t="str">
        <f t="shared" si="23"/>
        <v/>
      </c>
      <c r="O179" s="352"/>
    </row>
    <row r="180" spans="1:15">
      <c r="A180" s="375">
        <v>160</v>
      </c>
      <c r="B180" s="35" t="s">
        <v>166</v>
      </c>
      <c r="C180" s="376">
        <v>9</v>
      </c>
      <c r="D180">
        <f t="shared" si="18"/>
        <v>16</v>
      </c>
      <c r="E180">
        <f t="shared" si="16"/>
        <v>30720</v>
      </c>
      <c r="F180">
        <f t="shared" si="19"/>
        <v>5222.4000000000005</v>
      </c>
      <c r="G180">
        <f t="shared" si="20"/>
        <v>5013.5039999999999</v>
      </c>
      <c r="H180" s="35">
        <f>'More accurate Energy (Solar)'!N175</f>
        <v>3456000</v>
      </c>
      <c r="I180">
        <f t="shared" si="17"/>
        <v>960</v>
      </c>
      <c r="J180">
        <f t="shared" si="21"/>
        <v>4053.5039999999999</v>
      </c>
      <c r="K180">
        <f t="shared" si="22"/>
        <v>6000</v>
      </c>
      <c r="L180" t="str">
        <f t="shared" si="23"/>
        <v/>
      </c>
      <c r="O180" s="352"/>
    </row>
    <row r="181" spans="1:15">
      <c r="A181" s="375">
        <v>161</v>
      </c>
      <c r="B181" s="35" t="s">
        <v>166</v>
      </c>
      <c r="C181" s="376">
        <v>10</v>
      </c>
      <c r="D181">
        <f t="shared" si="18"/>
        <v>16</v>
      </c>
      <c r="E181">
        <f t="shared" si="16"/>
        <v>30720</v>
      </c>
      <c r="F181">
        <f t="shared" si="19"/>
        <v>5222.4000000000005</v>
      </c>
      <c r="G181">
        <f t="shared" si="20"/>
        <v>5013.5039999999999</v>
      </c>
      <c r="H181" s="35">
        <f>'More accurate Energy (Solar)'!N176</f>
        <v>3456000</v>
      </c>
      <c r="I181">
        <f t="shared" si="17"/>
        <v>960</v>
      </c>
      <c r="J181">
        <f t="shared" si="21"/>
        <v>4053.5039999999999</v>
      </c>
      <c r="K181">
        <f t="shared" si="22"/>
        <v>6000</v>
      </c>
      <c r="L181" t="str">
        <f t="shared" si="23"/>
        <v/>
      </c>
      <c r="O181" s="352"/>
    </row>
    <row r="182" spans="1:15">
      <c r="A182" s="375">
        <v>162</v>
      </c>
      <c r="B182" s="35" t="s">
        <v>166</v>
      </c>
      <c r="C182" s="376">
        <v>11</v>
      </c>
      <c r="D182">
        <f t="shared" si="18"/>
        <v>16</v>
      </c>
      <c r="E182">
        <f t="shared" si="16"/>
        <v>30720</v>
      </c>
      <c r="F182">
        <f t="shared" si="19"/>
        <v>5222.4000000000005</v>
      </c>
      <c r="G182">
        <f t="shared" si="20"/>
        <v>5013.5039999999999</v>
      </c>
      <c r="H182" s="35">
        <f>'More accurate Energy (Solar)'!N177</f>
        <v>3456000</v>
      </c>
      <c r="I182">
        <f t="shared" si="17"/>
        <v>960</v>
      </c>
      <c r="J182">
        <f t="shared" si="21"/>
        <v>4053.5039999999999</v>
      </c>
      <c r="K182">
        <f t="shared" si="22"/>
        <v>6000</v>
      </c>
      <c r="L182" t="str">
        <f t="shared" si="23"/>
        <v/>
      </c>
      <c r="O182" s="352"/>
    </row>
    <row r="183" spans="1:15">
      <c r="A183" s="375">
        <v>163</v>
      </c>
      <c r="B183" s="35" t="s">
        <v>166</v>
      </c>
      <c r="C183" s="376">
        <v>12</v>
      </c>
      <c r="D183">
        <f t="shared" si="18"/>
        <v>16</v>
      </c>
      <c r="E183">
        <f t="shared" si="16"/>
        <v>30720</v>
      </c>
      <c r="F183">
        <f t="shared" si="19"/>
        <v>5222.4000000000005</v>
      </c>
      <c r="G183">
        <f t="shared" si="20"/>
        <v>5013.5039999999999</v>
      </c>
      <c r="H183" s="35">
        <f>'More accurate Energy (Solar)'!N178</f>
        <v>3456000</v>
      </c>
      <c r="I183">
        <f t="shared" si="17"/>
        <v>960</v>
      </c>
      <c r="J183">
        <f t="shared" si="21"/>
        <v>4053.5039999999999</v>
      </c>
      <c r="K183">
        <f t="shared" si="22"/>
        <v>6000</v>
      </c>
      <c r="L183" t="str">
        <f t="shared" si="23"/>
        <v/>
      </c>
      <c r="O183" s="352"/>
    </row>
    <row r="184" spans="1:15">
      <c r="A184" s="375">
        <v>164</v>
      </c>
      <c r="B184" s="35" t="s">
        <v>166</v>
      </c>
      <c r="C184" s="376">
        <v>13</v>
      </c>
      <c r="D184">
        <f t="shared" si="18"/>
        <v>16</v>
      </c>
      <c r="E184">
        <f t="shared" si="16"/>
        <v>30720</v>
      </c>
      <c r="F184">
        <f t="shared" si="19"/>
        <v>5222.4000000000005</v>
      </c>
      <c r="G184">
        <f t="shared" si="20"/>
        <v>5013.5039999999999</v>
      </c>
      <c r="H184" s="35">
        <f>'More accurate Energy (Solar)'!N179</f>
        <v>3456000</v>
      </c>
      <c r="I184">
        <f t="shared" si="17"/>
        <v>960</v>
      </c>
      <c r="J184">
        <f t="shared" si="21"/>
        <v>4053.5039999999999</v>
      </c>
      <c r="K184">
        <f t="shared" si="22"/>
        <v>6000</v>
      </c>
      <c r="L184" t="str">
        <f t="shared" si="23"/>
        <v/>
      </c>
      <c r="O184" s="352"/>
    </row>
    <row r="185" spans="1:15">
      <c r="A185" s="375">
        <v>165</v>
      </c>
      <c r="B185" s="35" t="s">
        <v>166</v>
      </c>
      <c r="C185" s="376">
        <v>14</v>
      </c>
      <c r="D185">
        <f t="shared" si="18"/>
        <v>16</v>
      </c>
      <c r="E185">
        <f t="shared" si="16"/>
        <v>30720</v>
      </c>
      <c r="F185">
        <f t="shared" si="19"/>
        <v>5222.4000000000005</v>
      </c>
      <c r="G185">
        <f t="shared" si="20"/>
        <v>5013.5039999999999</v>
      </c>
      <c r="H185" s="35">
        <f>'More accurate Energy (Solar)'!N180</f>
        <v>3456000</v>
      </c>
      <c r="I185">
        <f t="shared" si="17"/>
        <v>960</v>
      </c>
      <c r="J185">
        <f t="shared" si="21"/>
        <v>4053.5039999999999</v>
      </c>
      <c r="K185">
        <f t="shared" si="22"/>
        <v>6000</v>
      </c>
      <c r="L185" t="str">
        <f t="shared" si="23"/>
        <v/>
      </c>
      <c r="O185" s="352"/>
    </row>
    <row r="186" spans="1:15">
      <c r="A186" s="375">
        <v>166</v>
      </c>
      <c r="B186" s="35" t="s">
        <v>166</v>
      </c>
      <c r="C186" s="376">
        <v>15</v>
      </c>
      <c r="D186">
        <f t="shared" si="18"/>
        <v>16</v>
      </c>
      <c r="E186">
        <f t="shared" si="16"/>
        <v>30720</v>
      </c>
      <c r="F186">
        <f t="shared" si="19"/>
        <v>5222.4000000000005</v>
      </c>
      <c r="G186">
        <f t="shared" si="20"/>
        <v>5013.5039999999999</v>
      </c>
      <c r="H186" s="35">
        <f>'More accurate Energy (Solar)'!N181</f>
        <v>3456000</v>
      </c>
      <c r="I186">
        <f t="shared" si="17"/>
        <v>960</v>
      </c>
      <c r="J186">
        <f t="shared" si="21"/>
        <v>4053.5039999999999</v>
      </c>
      <c r="K186">
        <f t="shared" si="22"/>
        <v>6000</v>
      </c>
      <c r="L186" t="str">
        <f t="shared" si="23"/>
        <v/>
      </c>
      <c r="O186" s="352"/>
    </row>
    <row r="187" spans="1:15">
      <c r="A187" s="375">
        <v>167</v>
      </c>
      <c r="B187" s="35" t="s">
        <v>166</v>
      </c>
      <c r="C187" s="376">
        <v>16</v>
      </c>
      <c r="D187">
        <f t="shared" si="18"/>
        <v>16</v>
      </c>
      <c r="E187">
        <f t="shared" si="16"/>
        <v>30720</v>
      </c>
      <c r="F187">
        <f t="shared" si="19"/>
        <v>5222.4000000000005</v>
      </c>
      <c r="G187">
        <f t="shared" si="20"/>
        <v>5013.5039999999999</v>
      </c>
      <c r="H187" s="35">
        <f>'More accurate Energy (Solar)'!N182</f>
        <v>3456000</v>
      </c>
      <c r="I187">
        <f t="shared" si="17"/>
        <v>960</v>
      </c>
      <c r="J187">
        <f t="shared" si="21"/>
        <v>4053.5039999999999</v>
      </c>
      <c r="K187">
        <f t="shared" si="22"/>
        <v>6000</v>
      </c>
      <c r="L187" t="str">
        <f t="shared" si="23"/>
        <v/>
      </c>
      <c r="O187" s="352"/>
    </row>
    <row r="188" spans="1:15">
      <c r="A188" s="375">
        <v>168</v>
      </c>
      <c r="B188" s="35" t="s">
        <v>166</v>
      </c>
      <c r="C188" s="376">
        <v>17</v>
      </c>
      <c r="D188">
        <f t="shared" si="18"/>
        <v>16</v>
      </c>
      <c r="E188">
        <f t="shared" si="16"/>
        <v>30720</v>
      </c>
      <c r="F188">
        <f t="shared" si="19"/>
        <v>5222.4000000000005</v>
      </c>
      <c r="G188">
        <f t="shared" si="20"/>
        <v>5013.5039999999999</v>
      </c>
      <c r="H188" s="35">
        <f>'More accurate Energy (Solar)'!N183</f>
        <v>3456000</v>
      </c>
      <c r="I188">
        <f t="shared" si="17"/>
        <v>960</v>
      </c>
      <c r="J188">
        <f t="shared" si="21"/>
        <v>4053.5039999999999</v>
      </c>
      <c r="K188">
        <f t="shared" si="22"/>
        <v>6000</v>
      </c>
      <c r="L188" t="str">
        <f t="shared" si="23"/>
        <v/>
      </c>
      <c r="O188" s="352"/>
    </row>
    <row r="189" spans="1:15">
      <c r="A189" s="375">
        <v>169</v>
      </c>
      <c r="B189" s="35" t="s">
        <v>166</v>
      </c>
      <c r="C189" s="376">
        <v>18</v>
      </c>
      <c r="D189">
        <f t="shared" si="18"/>
        <v>16</v>
      </c>
      <c r="E189">
        <f t="shared" si="16"/>
        <v>30720</v>
      </c>
      <c r="F189">
        <f t="shared" si="19"/>
        <v>5222.4000000000005</v>
      </c>
      <c r="G189">
        <f t="shared" si="20"/>
        <v>5013.5039999999999</v>
      </c>
      <c r="H189" s="35">
        <f>'More accurate Energy (Solar)'!N184</f>
        <v>10033591.557861375</v>
      </c>
      <c r="I189">
        <f t="shared" si="17"/>
        <v>2787.1087660726039</v>
      </c>
      <c r="J189">
        <f t="shared" si="21"/>
        <v>2226.395233927396</v>
      </c>
      <c r="K189">
        <f t="shared" si="22"/>
        <v>6000</v>
      </c>
      <c r="L189" t="str">
        <f t="shared" si="23"/>
        <v/>
      </c>
      <c r="O189" s="352"/>
    </row>
    <row r="190" spans="1:15">
      <c r="A190" s="375">
        <v>170</v>
      </c>
      <c r="B190" s="35" t="s">
        <v>166</v>
      </c>
      <c r="C190" s="376">
        <v>19</v>
      </c>
      <c r="D190">
        <f t="shared" si="18"/>
        <v>16</v>
      </c>
      <c r="E190">
        <f t="shared" si="16"/>
        <v>30720</v>
      </c>
      <c r="F190">
        <f t="shared" si="19"/>
        <v>5222.4000000000005</v>
      </c>
      <c r="G190">
        <f t="shared" si="20"/>
        <v>5013.5039999999999</v>
      </c>
      <c r="H190" s="35">
        <f>'More accurate Energy (Solar)'!N185</f>
        <v>3456000</v>
      </c>
      <c r="I190">
        <f t="shared" si="17"/>
        <v>960</v>
      </c>
      <c r="J190">
        <f t="shared" si="21"/>
        <v>4053.5039999999999</v>
      </c>
      <c r="K190">
        <f t="shared" si="22"/>
        <v>6000</v>
      </c>
      <c r="L190" t="str">
        <f t="shared" si="23"/>
        <v/>
      </c>
      <c r="O190" s="352"/>
    </row>
    <row r="191" spans="1:15">
      <c r="A191" s="375">
        <v>171</v>
      </c>
      <c r="B191" s="35" t="s">
        <v>166</v>
      </c>
      <c r="C191" s="376">
        <v>20</v>
      </c>
      <c r="D191">
        <f t="shared" si="18"/>
        <v>16</v>
      </c>
      <c r="E191">
        <f t="shared" si="16"/>
        <v>30720</v>
      </c>
      <c r="F191">
        <f t="shared" si="19"/>
        <v>5222.4000000000005</v>
      </c>
      <c r="G191">
        <f t="shared" si="20"/>
        <v>5013.5039999999999</v>
      </c>
      <c r="H191" s="35">
        <f>'More accurate Energy (Solar)'!N186</f>
        <v>3456000</v>
      </c>
      <c r="I191">
        <f t="shared" si="17"/>
        <v>960</v>
      </c>
      <c r="J191">
        <f t="shared" si="21"/>
        <v>4053.5039999999999</v>
      </c>
      <c r="K191">
        <f t="shared" si="22"/>
        <v>6000</v>
      </c>
      <c r="L191" t="str">
        <f t="shared" si="23"/>
        <v/>
      </c>
      <c r="O191" s="352"/>
    </row>
    <row r="192" spans="1:15">
      <c r="A192" s="375">
        <v>172</v>
      </c>
      <c r="B192" s="35" t="s">
        <v>166</v>
      </c>
      <c r="C192" s="376">
        <v>21</v>
      </c>
      <c r="D192">
        <f t="shared" si="18"/>
        <v>16</v>
      </c>
      <c r="E192">
        <f t="shared" si="16"/>
        <v>30720</v>
      </c>
      <c r="F192">
        <f t="shared" si="19"/>
        <v>5222.4000000000005</v>
      </c>
      <c r="G192">
        <f t="shared" si="20"/>
        <v>5013.5039999999999</v>
      </c>
      <c r="H192" s="35">
        <f>'More accurate Energy (Solar)'!N187</f>
        <v>3456000</v>
      </c>
      <c r="I192">
        <f t="shared" si="17"/>
        <v>960</v>
      </c>
      <c r="J192">
        <f t="shared" si="21"/>
        <v>4053.5039999999999</v>
      </c>
      <c r="K192">
        <f t="shared" si="22"/>
        <v>6000</v>
      </c>
      <c r="L192" t="str">
        <f t="shared" si="23"/>
        <v/>
      </c>
      <c r="O192" s="352"/>
    </row>
    <row r="193" spans="1:15">
      <c r="A193" s="375">
        <v>173</v>
      </c>
      <c r="B193" s="35" t="s">
        <v>166</v>
      </c>
      <c r="C193" s="376">
        <v>22</v>
      </c>
      <c r="D193">
        <f t="shared" si="18"/>
        <v>16</v>
      </c>
      <c r="E193">
        <f t="shared" si="16"/>
        <v>30720</v>
      </c>
      <c r="F193">
        <f t="shared" si="19"/>
        <v>5222.4000000000005</v>
      </c>
      <c r="G193">
        <f t="shared" si="20"/>
        <v>5013.5039999999999</v>
      </c>
      <c r="H193" s="35">
        <f>'More accurate Energy (Solar)'!N188</f>
        <v>3456000</v>
      </c>
      <c r="I193">
        <f t="shared" si="17"/>
        <v>960</v>
      </c>
      <c r="J193">
        <f t="shared" si="21"/>
        <v>4053.5039999999999</v>
      </c>
      <c r="K193">
        <f t="shared" si="22"/>
        <v>6000</v>
      </c>
      <c r="L193" t="str">
        <f t="shared" si="23"/>
        <v/>
      </c>
      <c r="O193" s="352"/>
    </row>
    <row r="194" spans="1:15">
      <c r="A194" s="375">
        <v>174</v>
      </c>
      <c r="B194" s="35" t="s">
        <v>166</v>
      </c>
      <c r="C194" s="376">
        <v>23</v>
      </c>
      <c r="D194">
        <f t="shared" si="18"/>
        <v>16</v>
      </c>
      <c r="E194">
        <f t="shared" si="16"/>
        <v>30720</v>
      </c>
      <c r="F194">
        <f t="shared" si="19"/>
        <v>5222.4000000000005</v>
      </c>
      <c r="G194">
        <f t="shared" si="20"/>
        <v>5013.5039999999999</v>
      </c>
      <c r="H194" s="35">
        <f>'More accurate Energy (Solar)'!N189</f>
        <v>6646588.2544741053</v>
      </c>
      <c r="I194">
        <f t="shared" si="17"/>
        <v>1846.2745151316958</v>
      </c>
      <c r="J194">
        <f t="shared" si="21"/>
        <v>3167.2294848683041</v>
      </c>
      <c r="K194">
        <f t="shared" si="22"/>
        <v>6000</v>
      </c>
      <c r="L194" t="str">
        <f t="shared" si="23"/>
        <v/>
      </c>
      <c r="O194" s="352"/>
    </row>
    <row r="195" spans="1:15">
      <c r="A195" s="375">
        <v>175</v>
      </c>
      <c r="B195" s="35" t="s">
        <v>166</v>
      </c>
      <c r="C195" s="376">
        <v>24</v>
      </c>
      <c r="D195">
        <f t="shared" si="18"/>
        <v>16</v>
      </c>
      <c r="E195">
        <f t="shared" si="16"/>
        <v>30720</v>
      </c>
      <c r="F195">
        <f t="shared" si="19"/>
        <v>5222.4000000000005</v>
      </c>
      <c r="G195">
        <f t="shared" si="20"/>
        <v>5013.5039999999999</v>
      </c>
      <c r="H195" s="35">
        <f>'More accurate Energy (Solar)'!N190</f>
        <v>12257989.588171121</v>
      </c>
      <c r="I195">
        <f t="shared" si="17"/>
        <v>3404.9971078253111</v>
      </c>
      <c r="J195">
        <f t="shared" si="21"/>
        <v>1608.5068921746888</v>
      </c>
      <c r="K195">
        <f t="shared" si="22"/>
        <v>6000</v>
      </c>
      <c r="L195" t="str">
        <f t="shared" si="23"/>
        <v/>
      </c>
      <c r="O195" s="352"/>
    </row>
    <row r="196" spans="1:15">
      <c r="A196" s="375">
        <v>176</v>
      </c>
      <c r="B196" s="35" t="s">
        <v>166</v>
      </c>
      <c r="C196" s="376">
        <v>25</v>
      </c>
      <c r="D196">
        <f t="shared" si="18"/>
        <v>16</v>
      </c>
      <c r="E196">
        <f t="shared" si="16"/>
        <v>30720</v>
      </c>
      <c r="F196">
        <f t="shared" si="19"/>
        <v>5222.4000000000005</v>
      </c>
      <c r="G196">
        <f t="shared" si="20"/>
        <v>5013.5039999999999</v>
      </c>
      <c r="H196" s="35">
        <f>'More accurate Energy (Solar)'!N191</f>
        <v>8571429.8311990388</v>
      </c>
      <c r="I196">
        <f t="shared" si="17"/>
        <v>2380.9527308886218</v>
      </c>
      <c r="J196">
        <f t="shared" si="21"/>
        <v>2632.5512691113781</v>
      </c>
      <c r="K196">
        <f t="shared" si="22"/>
        <v>6000</v>
      </c>
      <c r="L196" t="str">
        <f t="shared" si="23"/>
        <v/>
      </c>
      <c r="O196" s="352"/>
    </row>
    <row r="197" spans="1:15">
      <c r="A197" s="375">
        <v>177</v>
      </c>
      <c r="B197" s="35" t="s">
        <v>166</v>
      </c>
      <c r="C197" s="376">
        <v>26</v>
      </c>
      <c r="D197">
        <f t="shared" si="18"/>
        <v>16</v>
      </c>
      <c r="E197">
        <f t="shared" si="16"/>
        <v>30720</v>
      </c>
      <c r="F197">
        <f t="shared" si="19"/>
        <v>5222.4000000000005</v>
      </c>
      <c r="G197">
        <f t="shared" si="20"/>
        <v>5013.5039999999999</v>
      </c>
      <c r="H197" s="35">
        <f>'More accurate Energy (Solar)'!N192</f>
        <v>3456000</v>
      </c>
      <c r="I197">
        <f t="shared" si="17"/>
        <v>960</v>
      </c>
      <c r="J197">
        <f t="shared" si="21"/>
        <v>4053.5039999999999</v>
      </c>
      <c r="K197">
        <f t="shared" si="22"/>
        <v>6000</v>
      </c>
      <c r="L197" t="str">
        <f t="shared" si="23"/>
        <v/>
      </c>
      <c r="O197" s="352"/>
    </row>
    <row r="198" spans="1:15">
      <c r="A198" s="375">
        <v>178</v>
      </c>
      <c r="B198" s="35" t="s">
        <v>166</v>
      </c>
      <c r="C198" s="376">
        <v>27</v>
      </c>
      <c r="D198">
        <f t="shared" si="18"/>
        <v>16</v>
      </c>
      <c r="E198">
        <f t="shared" si="16"/>
        <v>30720</v>
      </c>
      <c r="F198">
        <f t="shared" si="19"/>
        <v>5222.4000000000005</v>
      </c>
      <c r="G198">
        <f t="shared" si="20"/>
        <v>5013.5039999999999</v>
      </c>
      <c r="H198" s="35">
        <f>'More accurate Energy (Solar)'!N193</f>
        <v>3456000</v>
      </c>
      <c r="I198">
        <f t="shared" si="17"/>
        <v>960</v>
      </c>
      <c r="J198">
        <f t="shared" si="21"/>
        <v>4053.5039999999999</v>
      </c>
      <c r="K198">
        <f t="shared" si="22"/>
        <v>6000</v>
      </c>
      <c r="L198" t="str">
        <f t="shared" si="23"/>
        <v/>
      </c>
      <c r="O198" s="352"/>
    </row>
    <row r="199" spans="1:15">
      <c r="A199" s="375">
        <v>179</v>
      </c>
      <c r="B199" s="35" t="s">
        <v>166</v>
      </c>
      <c r="C199" s="376">
        <v>28</v>
      </c>
      <c r="D199">
        <f t="shared" si="18"/>
        <v>16</v>
      </c>
      <c r="E199">
        <f t="shared" si="16"/>
        <v>30720</v>
      </c>
      <c r="F199">
        <f t="shared" si="19"/>
        <v>5222.4000000000005</v>
      </c>
      <c r="G199">
        <f t="shared" si="20"/>
        <v>5013.5039999999999</v>
      </c>
      <c r="H199" s="35">
        <f>'More accurate Energy (Solar)'!N194</f>
        <v>3456000</v>
      </c>
      <c r="I199">
        <f t="shared" si="17"/>
        <v>960</v>
      </c>
      <c r="J199">
        <f t="shared" si="21"/>
        <v>4053.5039999999999</v>
      </c>
      <c r="K199">
        <f t="shared" si="22"/>
        <v>6000</v>
      </c>
      <c r="L199" t="str">
        <f t="shared" si="23"/>
        <v/>
      </c>
      <c r="O199" s="352"/>
    </row>
    <row r="200" spans="1:15">
      <c r="A200" s="375">
        <v>180</v>
      </c>
      <c r="B200" s="35" t="s">
        <v>166</v>
      </c>
      <c r="C200" s="376">
        <v>29</v>
      </c>
      <c r="D200">
        <f t="shared" si="18"/>
        <v>16</v>
      </c>
      <c r="E200">
        <f t="shared" si="16"/>
        <v>30720</v>
      </c>
      <c r="F200">
        <f t="shared" si="19"/>
        <v>5222.4000000000005</v>
      </c>
      <c r="G200">
        <f t="shared" si="20"/>
        <v>5013.5039999999999</v>
      </c>
      <c r="H200" s="35">
        <f>'More accurate Energy (Solar)'!N195</f>
        <v>3456000</v>
      </c>
      <c r="I200">
        <f t="shared" si="17"/>
        <v>960</v>
      </c>
      <c r="J200">
        <f t="shared" si="21"/>
        <v>4053.5039999999999</v>
      </c>
      <c r="K200">
        <f t="shared" si="22"/>
        <v>6000</v>
      </c>
      <c r="L200" t="str">
        <f t="shared" si="23"/>
        <v/>
      </c>
      <c r="O200" s="352"/>
    </row>
    <row r="201" spans="1:15">
      <c r="A201" s="375">
        <v>181</v>
      </c>
      <c r="B201" s="35" t="s">
        <v>166</v>
      </c>
      <c r="C201" s="376">
        <v>30</v>
      </c>
      <c r="D201">
        <f t="shared" si="18"/>
        <v>16</v>
      </c>
      <c r="E201">
        <f t="shared" si="16"/>
        <v>30720</v>
      </c>
      <c r="F201">
        <f t="shared" si="19"/>
        <v>5222.4000000000005</v>
      </c>
      <c r="G201">
        <f t="shared" si="20"/>
        <v>5013.5039999999999</v>
      </c>
      <c r="H201" s="35">
        <f>'More accurate Energy (Solar)'!N196</f>
        <v>3456000</v>
      </c>
      <c r="I201">
        <f t="shared" si="17"/>
        <v>960</v>
      </c>
      <c r="J201">
        <f t="shared" si="21"/>
        <v>4053.5039999999999</v>
      </c>
      <c r="K201">
        <f t="shared" si="22"/>
        <v>6000</v>
      </c>
      <c r="L201" t="str">
        <f t="shared" si="23"/>
        <v/>
      </c>
      <c r="O201" s="352"/>
    </row>
    <row r="202" spans="1:15">
      <c r="A202" s="375">
        <v>182</v>
      </c>
      <c r="B202" s="35" t="s">
        <v>167</v>
      </c>
      <c r="C202" s="376">
        <v>1</v>
      </c>
      <c r="D202">
        <f t="shared" si="18"/>
        <v>15.75</v>
      </c>
      <c r="E202">
        <f t="shared" si="16"/>
        <v>30240</v>
      </c>
      <c r="F202">
        <f t="shared" si="19"/>
        <v>5140.8</v>
      </c>
      <c r="G202">
        <f t="shared" si="20"/>
        <v>4935.1679999999997</v>
      </c>
      <c r="H202" s="35">
        <f>'More accurate Energy (Solar)'!N197</f>
        <v>3456000</v>
      </c>
      <c r="I202">
        <f t="shared" si="17"/>
        <v>960</v>
      </c>
      <c r="J202">
        <f t="shared" si="21"/>
        <v>3975.1679999999997</v>
      </c>
      <c r="K202">
        <f t="shared" si="22"/>
        <v>6000</v>
      </c>
      <c r="L202" t="str">
        <f t="shared" si="23"/>
        <v/>
      </c>
      <c r="O202" s="352"/>
    </row>
    <row r="203" spans="1:15">
      <c r="A203" s="375">
        <v>183</v>
      </c>
      <c r="B203" s="35" t="s">
        <v>167</v>
      </c>
      <c r="C203" s="376">
        <v>2</v>
      </c>
      <c r="D203">
        <f t="shared" si="18"/>
        <v>15.75</v>
      </c>
      <c r="E203">
        <f t="shared" si="16"/>
        <v>30240</v>
      </c>
      <c r="F203">
        <f t="shared" si="19"/>
        <v>5140.8</v>
      </c>
      <c r="G203">
        <f t="shared" si="20"/>
        <v>4935.1679999999997</v>
      </c>
      <c r="H203" s="35">
        <f>'More accurate Energy (Solar)'!N198</f>
        <v>3456000</v>
      </c>
      <c r="I203">
        <f t="shared" si="17"/>
        <v>960</v>
      </c>
      <c r="J203">
        <f t="shared" si="21"/>
        <v>3975.1679999999997</v>
      </c>
      <c r="K203">
        <f t="shared" si="22"/>
        <v>6000</v>
      </c>
      <c r="L203" t="str">
        <f t="shared" si="23"/>
        <v/>
      </c>
      <c r="O203" s="352"/>
    </row>
    <row r="204" spans="1:15">
      <c r="A204" s="375">
        <v>184</v>
      </c>
      <c r="B204" s="35" t="s">
        <v>167</v>
      </c>
      <c r="C204" s="376">
        <v>3</v>
      </c>
      <c r="D204">
        <f t="shared" si="18"/>
        <v>15.75</v>
      </c>
      <c r="E204">
        <f t="shared" si="16"/>
        <v>30240</v>
      </c>
      <c r="F204">
        <f t="shared" si="19"/>
        <v>5140.8</v>
      </c>
      <c r="G204">
        <f t="shared" si="20"/>
        <v>4935.1679999999997</v>
      </c>
      <c r="H204" s="35">
        <f>'More accurate Energy (Solar)'!N199</f>
        <v>3456000</v>
      </c>
      <c r="I204">
        <f t="shared" si="17"/>
        <v>960</v>
      </c>
      <c r="J204">
        <f t="shared" si="21"/>
        <v>3975.1679999999997</v>
      </c>
      <c r="K204">
        <f t="shared" si="22"/>
        <v>6000</v>
      </c>
      <c r="L204" t="str">
        <f t="shared" si="23"/>
        <v/>
      </c>
      <c r="O204" s="352"/>
    </row>
    <row r="205" spans="1:15">
      <c r="A205" s="375">
        <v>185</v>
      </c>
      <c r="B205" s="35" t="s">
        <v>167</v>
      </c>
      <c r="C205" s="376">
        <v>4</v>
      </c>
      <c r="D205">
        <f t="shared" si="18"/>
        <v>15.75</v>
      </c>
      <c r="E205">
        <f t="shared" si="16"/>
        <v>30240</v>
      </c>
      <c r="F205">
        <f t="shared" si="19"/>
        <v>5140.8</v>
      </c>
      <c r="G205">
        <f t="shared" si="20"/>
        <v>4935.1679999999997</v>
      </c>
      <c r="H205" s="35">
        <f>'More accurate Energy (Solar)'!N200</f>
        <v>3456000</v>
      </c>
      <c r="I205">
        <f t="shared" si="17"/>
        <v>960</v>
      </c>
      <c r="J205">
        <f t="shared" si="21"/>
        <v>3975.1679999999997</v>
      </c>
      <c r="K205">
        <f t="shared" si="22"/>
        <v>6000</v>
      </c>
      <c r="L205" t="str">
        <f t="shared" si="23"/>
        <v/>
      </c>
      <c r="O205" s="352"/>
    </row>
    <row r="206" spans="1:15">
      <c r="A206" s="375">
        <v>186</v>
      </c>
      <c r="B206" s="35" t="s">
        <v>167</v>
      </c>
      <c r="C206" s="376">
        <v>5</v>
      </c>
      <c r="D206">
        <f t="shared" si="18"/>
        <v>15.75</v>
      </c>
      <c r="E206">
        <f t="shared" si="16"/>
        <v>30240</v>
      </c>
      <c r="F206">
        <f t="shared" si="19"/>
        <v>5140.8</v>
      </c>
      <c r="G206">
        <f t="shared" si="20"/>
        <v>4935.1679999999997</v>
      </c>
      <c r="H206" s="35">
        <f>'More accurate Energy (Solar)'!N201</f>
        <v>3456000</v>
      </c>
      <c r="I206">
        <f t="shared" si="17"/>
        <v>960</v>
      </c>
      <c r="J206">
        <f t="shared" si="21"/>
        <v>3975.1679999999997</v>
      </c>
      <c r="K206">
        <f t="shared" si="22"/>
        <v>6000</v>
      </c>
      <c r="L206" t="str">
        <f t="shared" si="23"/>
        <v/>
      </c>
      <c r="O206" s="352"/>
    </row>
    <row r="207" spans="1:15">
      <c r="A207" s="375">
        <v>187</v>
      </c>
      <c r="B207" s="35" t="s">
        <v>167</v>
      </c>
      <c r="C207" s="376">
        <v>6</v>
      </c>
      <c r="D207">
        <f t="shared" si="18"/>
        <v>15.75</v>
      </c>
      <c r="E207">
        <f t="shared" si="16"/>
        <v>30240</v>
      </c>
      <c r="F207">
        <f t="shared" si="19"/>
        <v>5140.8</v>
      </c>
      <c r="G207">
        <f t="shared" si="20"/>
        <v>4935.1679999999997</v>
      </c>
      <c r="H207" s="35">
        <f>'More accurate Energy (Solar)'!N202</f>
        <v>3456000</v>
      </c>
      <c r="I207">
        <f t="shared" si="17"/>
        <v>960</v>
      </c>
      <c r="J207">
        <f t="shared" si="21"/>
        <v>3975.1679999999997</v>
      </c>
      <c r="K207">
        <f t="shared" si="22"/>
        <v>6000</v>
      </c>
      <c r="L207" t="str">
        <f t="shared" si="23"/>
        <v/>
      </c>
      <c r="O207" s="352"/>
    </row>
    <row r="208" spans="1:15">
      <c r="A208" s="375">
        <v>188</v>
      </c>
      <c r="B208" s="35" t="s">
        <v>167</v>
      </c>
      <c r="C208" s="376">
        <v>7</v>
      </c>
      <c r="D208">
        <f t="shared" si="18"/>
        <v>15.75</v>
      </c>
      <c r="E208">
        <f t="shared" si="16"/>
        <v>30240</v>
      </c>
      <c r="F208">
        <f t="shared" si="19"/>
        <v>5140.8</v>
      </c>
      <c r="G208">
        <f t="shared" si="20"/>
        <v>4935.1679999999997</v>
      </c>
      <c r="H208" s="35">
        <f>'More accurate Energy (Solar)'!N203</f>
        <v>4785381.2882989179</v>
      </c>
      <c r="I208">
        <f t="shared" si="17"/>
        <v>1329.2725800830328</v>
      </c>
      <c r="J208">
        <f t="shared" si="21"/>
        <v>3605.8954199169666</v>
      </c>
      <c r="K208">
        <f t="shared" si="22"/>
        <v>6000</v>
      </c>
      <c r="L208" t="str">
        <f t="shared" si="23"/>
        <v/>
      </c>
      <c r="O208" s="352"/>
    </row>
    <row r="209" spans="1:15">
      <c r="A209" s="375">
        <v>189</v>
      </c>
      <c r="B209" s="35" t="s">
        <v>167</v>
      </c>
      <c r="C209" s="376">
        <v>8</v>
      </c>
      <c r="D209">
        <f t="shared" si="18"/>
        <v>15.75</v>
      </c>
      <c r="E209">
        <f t="shared" si="16"/>
        <v>30240</v>
      </c>
      <c r="F209">
        <f t="shared" si="19"/>
        <v>5140.8</v>
      </c>
      <c r="G209">
        <f t="shared" si="20"/>
        <v>4935.1679999999997</v>
      </c>
      <c r="H209" s="35">
        <f>'More accurate Energy (Solar)'!N204</f>
        <v>3456000</v>
      </c>
      <c r="I209">
        <f t="shared" si="17"/>
        <v>960</v>
      </c>
      <c r="J209">
        <f t="shared" si="21"/>
        <v>3975.1679999999997</v>
      </c>
      <c r="K209">
        <f t="shared" si="22"/>
        <v>6000</v>
      </c>
      <c r="L209" t="str">
        <f t="shared" si="23"/>
        <v/>
      </c>
      <c r="O209" s="352"/>
    </row>
    <row r="210" spans="1:15">
      <c r="A210" s="375">
        <v>190</v>
      </c>
      <c r="B210" s="35" t="s">
        <v>167</v>
      </c>
      <c r="C210" s="376">
        <v>9</v>
      </c>
      <c r="D210">
        <f t="shared" si="18"/>
        <v>15.75</v>
      </c>
      <c r="E210">
        <f t="shared" si="16"/>
        <v>30240</v>
      </c>
      <c r="F210">
        <f t="shared" si="19"/>
        <v>5140.8</v>
      </c>
      <c r="G210">
        <f t="shared" si="20"/>
        <v>4935.1679999999997</v>
      </c>
      <c r="H210" s="35">
        <f>'More accurate Energy (Solar)'!N205</f>
        <v>6198442.0076354574</v>
      </c>
      <c r="I210">
        <f t="shared" si="17"/>
        <v>1721.7894465654049</v>
      </c>
      <c r="J210">
        <f t="shared" si="21"/>
        <v>3213.3785534345948</v>
      </c>
      <c r="K210">
        <f t="shared" si="22"/>
        <v>6000</v>
      </c>
      <c r="L210" t="str">
        <f t="shared" si="23"/>
        <v/>
      </c>
      <c r="O210" s="352"/>
    </row>
    <row r="211" spans="1:15">
      <c r="A211" s="375">
        <v>191</v>
      </c>
      <c r="B211" s="35" t="s">
        <v>167</v>
      </c>
      <c r="C211" s="376">
        <v>10</v>
      </c>
      <c r="D211">
        <f t="shared" si="18"/>
        <v>15.75</v>
      </c>
      <c r="E211">
        <f t="shared" si="16"/>
        <v>30240</v>
      </c>
      <c r="F211">
        <f t="shared" si="19"/>
        <v>5140.8</v>
      </c>
      <c r="G211">
        <f t="shared" si="20"/>
        <v>4935.1679999999997</v>
      </c>
      <c r="H211" s="35">
        <f>'More accurate Energy (Solar)'!N206</f>
        <v>6432849.3731696447</v>
      </c>
      <c r="I211">
        <f t="shared" si="17"/>
        <v>1786.9026036582347</v>
      </c>
      <c r="J211">
        <f t="shared" si="21"/>
        <v>3148.2653963417652</v>
      </c>
      <c r="K211">
        <f t="shared" si="22"/>
        <v>6000</v>
      </c>
      <c r="L211" t="str">
        <f t="shared" si="23"/>
        <v/>
      </c>
      <c r="O211" s="352"/>
    </row>
    <row r="212" spans="1:15">
      <c r="A212" s="375">
        <v>192</v>
      </c>
      <c r="B212" s="35" t="s">
        <v>167</v>
      </c>
      <c r="C212" s="376">
        <v>11</v>
      </c>
      <c r="D212">
        <f t="shared" si="18"/>
        <v>15.75</v>
      </c>
      <c r="E212">
        <f t="shared" si="16"/>
        <v>30240</v>
      </c>
      <c r="F212">
        <f t="shared" si="19"/>
        <v>5140.8</v>
      </c>
      <c r="G212">
        <f t="shared" si="20"/>
        <v>4935.1679999999997</v>
      </c>
      <c r="H212" s="35">
        <f>'More accurate Energy (Solar)'!N207</f>
        <v>7521813.3267471371</v>
      </c>
      <c r="I212">
        <f t="shared" si="17"/>
        <v>2089.3925907630937</v>
      </c>
      <c r="J212">
        <f t="shared" si="21"/>
        <v>2845.7754092369059</v>
      </c>
      <c r="K212">
        <f t="shared" si="22"/>
        <v>6000</v>
      </c>
      <c r="L212" t="str">
        <f t="shared" si="23"/>
        <v/>
      </c>
      <c r="O212" s="352"/>
    </row>
    <row r="213" spans="1:15">
      <c r="A213" s="375">
        <v>193</v>
      </c>
      <c r="B213" s="35" t="s">
        <v>167</v>
      </c>
      <c r="C213" s="376">
        <v>12</v>
      </c>
      <c r="D213">
        <f t="shared" si="18"/>
        <v>15.75</v>
      </c>
      <c r="E213">
        <f t="shared" ref="E213:E276" si="24">$B$3*$H$1*$B$8*D213</f>
        <v>30240</v>
      </c>
      <c r="F213">
        <f t="shared" si="19"/>
        <v>5140.8</v>
      </c>
      <c r="G213">
        <f t="shared" si="20"/>
        <v>4935.1679999999997</v>
      </c>
      <c r="H213" s="35">
        <f>'More accurate Energy (Solar)'!N208</f>
        <v>8571429.8311990388</v>
      </c>
      <c r="I213">
        <f t="shared" ref="I213:I276" si="25">H213/3600</f>
        <v>2380.9527308886218</v>
      </c>
      <c r="J213">
        <f t="shared" si="21"/>
        <v>2554.2152691113779</v>
      </c>
      <c r="K213">
        <f t="shared" si="22"/>
        <v>6000</v>
      </c>
      <c r="L213" t="str">
        <f t="shared" si="23"/>
        <v/>
      </c>
      <c r="O213" s="352"/>
    </row>
    <row r="214" spans="1:15">
      <c r="A214" s="375">
        <v>194</v>
      </c>
      <c r="B214" s="35" t="s">
        <v>167</v>
      </c>
      <c r="C214" s="376">
        <v>13</v>
      </c>
      <c r="D214">
        <f t="shared" ref="D214:D277" si="26">INDEX($M$4:$M$15,MATCH(B214,$L$4:$L$15,0))</f>
        <v>15.75</v>
      </c>
      <c r="E214">
        <f t="shared" si="24"/>
        <v>30240</v>
      </c>
      <c r="F214">
        <f t="shared" ref="F214:F277" si="27">E214*$B$5</f>
        <v>5140.8</v>
      </c>
      <c r="G214">
        <f t="shared" ref="G214:G277" si="28">F214*$F$4</f>
        <v>4935.1679999999997</v>
      </c>
      <c r="H214" s="35">
        <f>'More accurate Energy (Solar)'!N209</f>
        <v>3456000</v>
      </c>
      <c r="I214">
        <f t="shared" si="25"/>
        <v>960</v>
      </c>
      <c r="J214">
        <f t="shared" ref="J214:J277" si="29">G214-I214</f>
        <v>3975.1679999999997</v>
      </c>
      <c r="K214">
        <f t="shared" ref="K214:K277" si="30">MIN(MAX(K213+J213,0),$F$3*$F$6)</f>
        <v>6000</v>
      </c>
      <c r="L214" t="str">
        <f t="shared" ref="L214:L277" si="31">IF(K214 = 0, 1, "")</f>
        <v/>
      </c>
      <c r="O214" s="352"/>
    </row>
    <row r="215" spans="1:15">
      <c r="A215" s="375">
        <v>195</v>
      </c>
      <c r="B215" s="35" t="s">
        <v>167</v>
      </c>
      <c r="C215" s="376">
        <v>14</v>
      </c>
      <c r="D215">
        <f t="shared" si="26"/>
        <v>15.75</v>
      </c>
      <c r="E215">
        <f t="shared" si="24"/>
        <v>30240</v>
      </c>
      <c r="F215">
        <f t="shared" si="27"/>
        <v>5140.8</v>
      </c>
      <c r="G215">
        <f t="shared" si="28"/>
        <v>4935.1679999999997</v>
      </c>
      <c r="H215" s="35">
        <f>'More accurate Energy (Solar)'!N210</f>
        <v>3456000</v>
      </c>
      <c r="I215">
        <f t="shared" si="25"/>
        <v>960</v>
      </c>
      <c r="J215">
        <f t="shared" si="29"/>
        <v>3975.1679999999997</v>
      </c>
      <c r="K215">
        <f t="shared" si="30"/>
        <v>6000</v>
      </c>
      <c r="L215" t="str">
        <f t="shared" si="31"/>
        <v/>
      </c>
      <c r="O215" s="352"/>
    </row>
    <row r="216" spans="1:15">
      <c r="A216" s="375">
        <v>196</v>
      </c>
      <c r="B216" s="35" t="s">
        <v>167</v>
      </c>
      <c r="C216" s="376">
        <v>15</v>
      </c>
      <c r="D216">
        <f t="shared" si="26"/>
        <v>15.75</v>
      </c>
      <c r="E216">
        <f t="shared" si="24"/>
        <v>30240</v>
      </c>
      <c r="F216">
        <f t="shared" si="27"/>
        <v>5140.8</v>
      </c>
      <c r="G216">
        <f t="shared" si="28"/>
        <v>4935.1679999999997</v>
      </c>
      <c r="H216" s="35">
        <f>'More accurate Energy (Solar)'!N211</f>
        <v>3456000</v>
      </c>
      <c r="I216">
        <f t="shared" si="25"/>
        <v>960</v>
      </c>
      <c r="J216">
        <f t="shared" si="29"/>
        <v>3975.1679999999997</v>
      </c>
      <c r="K216">
        <f t="shared" si="30"/>
        <v>6000</v>
      </c>
      <c r="L216" t="str">
        <f t="shared" si="31"/>
        <v/>
      </c>
      <c r="O216" s="352"/>
    </row>
    <row r="217" spans="1:15">
      <c r="A217" s="375">
        <v>197</v>
      </c>
      <c r="B217" s="35" t="s">
        <v>167</v>
      </c>
      <c r="C217" s="376">
        <v>16</v>
      </c>
      <c r="D217">
        <f t="shared" si="26"/>
        <v>15.75</v>
      </c>
      <c r="E217">
        <f t="shared" si="24"/>
        <v>30240</v>
      </c>
      <c r="F217">
        <f t="shared" si="27"/>
        <v>5140.8</v>
      </c>
      <c r="G217">
        <f t="shared" si="28"/>
        <v>4935.1679999999997</v>
      </c>
      <c r="H217" s="35">
        <f>'More accurate Energy (Solar)'!N212</f>
        <v>3456000</v>
      </c>
      <c r="I217">
        <f t="shared" si="25"/>
        <v>960</v>
      </c>
      <c r="J217">
        <f t="shared" si="29"/>
        <v>3975.1679999999997</v>
      </c>
      <c r="K217">
        <f t="shared" si="30"/>
        <v>6000</v>
      </c>
      <c r="L217" t="str">
        <f t="shared" si="31"/>
        <v/>
      </c>
      <c r="O217" s="352"/>
    </row>
    <row r="218" spans="1:15">
      <c r="A218" s="375">
        <v>198</v>
      </c>
      <c r="B218" s="35" t="s">
        <v>167</v>
      </c>
      <c r="C218" s="376">
        <v>17</v>
      </c>
      <c r="D218">
        <f t="shared" si="26"/>
        <v>15.75</v>
      </c>
      <c r="E218">
        <f t="shared" si="24"/>
        <v>30240</v>
      </c>
      <c r="F218">
        <f t="shared" si="27"/>
        <v>5140.8</v>
      </c>
      <c r="G218">
        <f t="shared" si="28"/>
        <v>4935.1679999999997</v>
      </c>
      <c r="H218" s="35">
        <f>'More accurate Energy (Solar)'!N213</f>
        <v>3456000</v>
      </c>
      <c r="I218">
        <f t="shared" si="25"/>
        <v>960</v>
      </c>
      <c r="J218">
        <f t="shared" si="29"/>
        <v>3975.1679999999997</v>
      </c>
      <c r="K218">
        <f t="shared" si="30"/>
        <v>6000</v>
      </c>
      <c r="L218" t="str">
        <f t="shared" si="31"/>
        <v/>
      </c>
      <c r="O218" s="352"/>
    </row>
    <row r="219" spans="1:15">
      <c r="A219" s="375">
        <v>199</v>
      </c>
      <c r="B219" s="35" t="s">
        <v>167</v>
      </c>
      <c r="C219" s="376">
        <v>18</v>
      </c>
      <c r="D219">
        <f t="shared" si="26"/>
        <v>15.75</v>
      </c>
      <c r="E219">
        <f t="shared" si="24"/>
        <v>30240</v>
      </c>
      <c r="F219">
        <f t="shared" si="27"/>
        <v>5140.8</v>
      </c>
      <c r="G219">
        <f t="shared" si="28"/>
        <v>4935.1679999999997</v>
      </c>
      <c r="H219" s="35">
        <f>'More accurate Energy (Solar)'!N214</f>
        <v>3456000</v>
      </c>
      <c r="I219">
        <f t="shared" si="25"/>
        <v>960</v>
      </c>
      <c r="J219">
        <f t="shared" si="29"/>
        <v>3975.1679999999997</v>
      </c>
      <c r="K219">
        <f t="shared" si="30"/>
        <v>6000</v>
      </c>
      <c r="L219" t="str">
        <f t="shared" si="31"/>
        <v/>
      </c>
      <c r="O219" s="352"/>
    </row>
    <row r="220" spans="1:15">
      <c r="A220" s="375">
        <v>200</v>
      </c>
      <c r="B220" s="35" t="s">
        <v>167</v>
      </c>
      <c r="C220" s="376">
        <v>19</v>
      </c>
      <c r="D220">
        <f t="shared" si="26"/>
        <v>15.75</v>
      </c>
      <c r="E220">
        <f t="shared" si="24"/>
        <v>30240</v>
      </c>
      <c r="F220">
        <f t="shared" si="27"/>
        <v>5140.8</v>
      </c>
      <c r="G220">
        <f t="shared" si="28"/>
        <v>4935.1679999999997</v>
      </c>
      <c r="H220" s="35">
        <f>'More accurate Energy (Solar)'!N215</f>
        <v>3456000</v>
      </c>
      <c r="I220">
        <f t="shared" si="25"/>
        <v>960</v>
      </c>
      <c r="J220">
        <f t="shared" si="29"/>
        <v>3975.1679999999997</v>
      </c>
      <c r="K220">
        <f t="shared" si="30"/>
        <v>6000</v>
      </c>
      <c r="L220" t="str">
        <f t="shared" si="31"/>
        <v/>
      </c>
      <c r="O220" s="352"/>
    </row>
    <row r="221" spans="1:15">
      <c r="A221" s="375">
        <v>201</v>
      </c>
      <c r="B221" s="35" t="s">
        <v>167</v>
      </c>
      <c r="C221" s="376">
        <v>20</v>
      </c>
      <c r="D221">
        <f t="shared" si="26"/>
        <v>15.75</v>
      </c>
      <c r="E221">
        <f t="shared" si="24"/>
        <v>30240</v>
      </c>
      <c r="F221">
        <f t="shared" si="27"/>
        <v>5140.8</v>
      </c>
      <c r="G221">
        <f t="shared" si="28"/>
        <v>4935.1679999999997</v>
      </c>
      <c r="H221" s="35">
        <f>'More accurate Energy (Solar)'!N216</f>
        <v>5635364.2431826424</v>
      </c>
      <c r="I221">
        <f t="shared" si="25"/>
        <v>1565.3789564396229</v>
      </c>
      <c r="J221">
        <f t="shared" si="29"/>
        <v>3369.7890435603767</v>
      </c>
      <c r="K221">
        <f t="shared" si="30"/>
        <v>6000</v>
      </c>
      <c r="L221" t="str">
        <f t="shared" si="31"/>
        <v/>
      </c>
      <c r="O221" s="352"/>
    </row>
    <row r="222" spans="1:15">
      <c r="A222" s="375">
        <v>202</v>
      </c>
      <c r="B222" s="35" t="s">
        <v>167</v>
      </c>
      <c r="C222" s="376">
        <v>21</v>
      </c>
      <c r="D222">
        <f t="shared" si="26"/>
        <v>15.75</v>
      </c>
      <c r="E222">
        <f t="shared" si="24"/>
        <v>30240</v>
      </c>
      <c r="F222">
        <f t="shared" si="27"/>
        <v>5140.8</v>
      </c>
      <c r="G222">
        <f t="shared" si="28"/>
        <v>4935.1679999999997</v>
      </c>
      <c r="H222" s="35">
        <f>'More accurate Energy (Solar)'!N217</f>
        <v>3456000</v>
      </c>
      <c r="I222">
        <f t="shared" si="25"/>
        <v>960</v>
      </c>
      <c r="J222">
        <f t="shared" si="29"/>
        <v>3975.1679999999997</v>
      </c>
      <c r="K222">
        <f t="shared" si="30"/>
        <v>6000</v>
      </c>
      <c r="L222" t="str">
        <f t="shared" si="31"/>
        <v/>
      </c>
      <c r="O222" s="352"/>
    </row>
    <row r="223" spans="1:15">
      <c r="A223" s="375">
        <v>203</v>
      </c>
      <c r="B223" s="35" t="s">
        <v>167</v>
      </c>
      <c r="C223" s="376">
        <v>22</v>
      </c>
      <c r="D223">
        <f t="shared" si="26"/>
        <v>15.75</v>
      </c>
      <c r="E223">
        <f t="shared" si="24"/>
        <v>30240</v>
      </c>
      <c r="F223">
        <f t="shared" si="27"/>
        <v>5140.8</v>
      </c>
      <c r="G223">
        <f t="shared" si="28"/>
        <v>4935.1679999999997</v>
      </c>
      <c r="H223" s="35">
        <f>'More accurate Energy (Solar)'!N218</f>
        <v>3456000</v>
      </c>
      <c r="I223">
        <f t="shared" si="25"/>
        <v>960</v>
      </c>
      <c r="J223">
        <f t="shared" si="29"/>
        <v>3975.1679999999997</v>
      </c>
      <c r="K223">
        <f t="shared" si="30"/>
        <v>6000</v>
      </c>
      <c r="L223" t="str">
        <f t="shared" si="31"/>
        <v/>
      </c>
      <c r="O223" s="352"/>
    </row>
    <row r="224" spans="1:15">
      <c r="A224" s="375">
        <v>204</v>
      </c>
      <c r="B224" s="35" t="s">
        <v>167</v>
      </c>
      <c r="C224" s="376">
        <v>23</v>
      </c>
      <c r="D224">
        <f t="shared" si="26"/>
        <v>15.75</v>
      </c>
      <c r="E224">
        <f t="shared" si="24"/>
        <v>30240</v>
      </c>
      <c r="F224">
        <f t="shared" si="27"/>
        <v>5140.8</v>
      </c>
      <c r="G224">
        <f t="shared" si="28"/>
        <v>4935.1679999999997</v>
      </c>
      <c r="H224" s="35">
        <f>'More accurate Energy (Solar)'!N219</f>
        <v>10594605.066631939</v>
      </c>
      <c r="I224">
        <f t="shared" si="25"/>
        <v>2942.9458518422052</v>
      </c>
      <c r="J224">
        <f t="shared" si="29"/>
        <v>1992.2221481577944</v>
      </c>
      <c r="K224">
        <f t="shared" si="30"/>
        <v>6000</v>
      </c>
      <c r="L224" t="str">
        <f t="shared" si="31"/>
        <v/>
      </c>
      <c r="O224" s="352"/>
    </row>
    <row r="225" spans="1:15">
      <c r="A225" s="375">
        <v>205</v>
      </c>
      <c r="B225" s="35" t="s">
        <v>167</v>
      </c>
      <c r="C225" s="376">
        <v>24</v>
      </c>
      <c r="D225">
        <f t="shared" si="26"/>
        <v>15.75</v>
      </c>
      <c r="E225">
        <f t="shared" si="24"/>
        <v>30240</v>
      </c>
      <c r="F225">
        <f t="shared" si="27"/>
        <v>5140.8</v>
      </c>
      <c r="G225">
        <f t="shared" si="28"/>
        <v>4935.1679999999997</v>
      </c>
      <c r="H225" s="35">
        <f>'More accurate Energy (Solar)'!N220</f>
        <v>8571429.8311990388</v>
      </c>
      <c r="I225">
        <f t="shared" si="25"/>
        <v>2380.9527308886218</v>
      </c>
      <c r="J225">
        <f t="shared" si="29"/>
        <v>2554.2152691113779</v>
      </c>
      <c r="K225">
        <f t="shared" si="30"/>
        <v>6000</v>
      </c>
      <c r="L225" t="str">
        <f t="shared" si="31"/>
        <v/>
      </c>
      <c r="O225" s="352"/>
    </row>
    <row r="226" spans="1:15">
      <c r="A226" s="375">
        <v>206</v>
      </c>
      <c r="B226" s="35" t="s">
        <v>167</v>
      </c>
      <c r="C226" s="376">
        <v>25</v>
      </c>
      <c r="D226">
        <f t="shared" si="26"/>
        <v>15.75</v>
      </c>
      <c r="E226">
        <f t="shared" si="24"/>
        <v>30240</v>
      </c>
      <c r="F226">
        <f t="shared" si="27"/>
        <v>5140.8</v>
      </c>
      <c r="G226">
        <f t="shared" si="28"/>
        <v>4935.1679999999997</v>
      </c>
      <c r="H226" s="35">
        <f>'More accurate Energy (Solar)'!N221</f>
        <v>8684837.6852740273</v>
      </c>
      <c r="I226">
        <f t="shared" si="25"/>
        <v>2412.4549125761187</v>
      </c>
      <c r="J226">
        <f t="shared" si="29"/>
        <v>2522.713087423881</v>
      </c>
      <c r="K226">
        <f t="shared" si="30"/>
        <v>6000</v>
      </c>
      <c r="L226" t="str">
        <f t="shared" si="31"/>
        <v/>
      </c>
      <c r="O226" s="352"/>
    </row>
    <row r="227" spans="1:15">
      <c r="A227" s="375">
        <v>207</v>
      </c>
      <c r="B227" s="35" t="s">
        <v>167</v>
      </c>
      <c r="C227" s="376">
        <v>26</v>
      </c>
      <c r="D227">
        <f t="shared" si="26"/>
        <v>15.75</v>
      </c>
      <c r="E227">
        <f t="shared" si="24"/>
        <v>30240</v>
      </c>
      <c r="F227">
        <f t="shared" si="27"/>
        <v>5140.8</v>
      </c>
      <c r="G227">
        <f t="shared" si="28"/>
        <v>4935.1679999999997</v>
      </c>
      <c r="H227" s="35">
        <f>'More accurate Energy (Solar)'!N222</f>
        <v>3456000</v>
      </c>
      <c r="I227">
        <f t="shared" si="25"/>
        <v>960</v>
      </c>
      <c r="J227">
        <f t="shared" si="29"/>
        <v>3975.1679999999997</v>
      </c>
      <c r="K227">
        <f t="shared" si="30"/>
        <v>6000</v>
      </c>
      <c r="L227" t="str">
        <f t="shared" si="31"/>
        <v/>
      </c>
      <c r="O227" s="352"/>
    </row>
    <row r="228" spans="1:15">
      <c r="A228" s="375">
        <v>208</v>
      </c>
      <c r="B228" s="35" t="s">
        <v>167</v>
      </c>
      <c r="C228" s="376">
        <v>27</v>
      </c>
      <c r="D228">
        <f t="shared" si="26"/>
        <v>15.75</v>
      </c>
      <c r="E228">
        <f t="shared" si="24"/>
        <v>30240</v>
      </c>
      <c r="F228">
        <f t="shared" si="27"/>
        <v>5140.8</v>
      </c>
      <c r="G228">
        <f t="shared" si="28"/>
        <v>4935.1679999999997</v>
      </c>
      <c r="H228" s="35">
        <f>'More accurate Energy (Solar)'!N223</f>
        <v>3456000</v>
      </c>
      <c r="I228">
        <f t="shared" si="25"/>
        <v>960</v>
      </c>
      <c r="J228">
        <f t="shared" si="29"/>
        <v>3975.1679999999997</v>
      </c>
      <c r="K228">
        <f t="shared" si="30"/>
        <v>6000</v>
      </c>
      <c r="L228" t="str">
        <f t="shared" si="31"/>
        <v/>
      </c>
      <c r="O228" s="352"/>
    </row>
    <row r="229" spans="1:15">
      <c r="A229" s="375">
        <v>209</v>
      </c>
      <c r="B229" s="35" t="s">
        <v>167</v>
      </c>
      <c r="C229" s="376">
        <v>28</v>
      </c>
      <c r="D229">
        <f t="shared" si="26"/>
        <v>15.75</v>
      </c>
      <c r="E229">
        <f t="shared" si="24"/>
        <v>30240</v>
      </c>
      <c r="F229">
        <f t="shared" si="27"/>
        <v>5140.8</v>
      </c>
      <c r="G229">
        <f t="shared" si="28"/>
        <v>4935.1679999999997</v>
      </c>
      <c r="H229" s="35">
        <f>'More accurate Energy (Solar)'!N224</f>
        <v>3456000</v>
      </c>
      <c r="I229">
        <f t="shared" si="25"/>
        <v>960</v>
      </c>
      <c r="J229">
        <f t="shared" si="29"/>
        <v>3975.1679999999997</v>
      </c>
      <c r="K229">
        <f t="shared" si="30"/>
        <v>6000</v>
      </c>
      <c r="L229" t="str">
        <f t="shared" si="31"/>
        <v/>
      </c>
      <c r="O229" s="352"/>
    </row>
    <row r="230" spans="1:15">
      <c r="A230" s="375">
        <v>210</v>
      </c>
      <c r="B230" s="35" t="s">
        <v>167</v>
      </c>
      <c r="C230" s="376">
        <v>29</v>
      </c>
      <c r="D230">
        <f t="shared" si="26"/>
        <v>15.75</v>
      </c>
      <c r="E230">
        <f t="shared" si="24"/>
        <v>30240</v>
      </c>
      <c r="F230">
        <f t="shared" si="27"/>
        <v>5140.8</v>
      </c>
      <c r="G230">
        <f t="shared" si="28"/>
        <v>4935.1679999999997</v>
      </c>
      <c r="H230" s="35">
        <f>'More accurate Energy (Solar)'!N225</f>
        <v>3456000</v>
      </c>
      <c r="I230">
        <f t="shared" si="25"/>
        <v>960</v>
      </c>
      <c r="J230">
        <f t="shared" si="29"/>
        <v>3975.1679999999997</v>
      </c>
      <c r="K230">
        <f t="shared" si="30"/>
        <v>6000</v>
      </c>
      <c r="L230" t="str">
        <f t="shared" si="31"/>
        <v/>
      </c>
      <c r="O230" s="352"/>
    </row>
    <row r="231" spans="1:15">
      <c r="A231" s="375">
        <v>211</v>
      </c>
      <c r="B231" s="35" t="s">
        <v>167</v>
      </c>
      <c r="C231" s="376">
        <v>30</v>
      </c>
      <c r="D231">
        <f t="shared" si="26"/>
        <v>15.75</v>
      </c>
      <c r="E231">
        <f t="shared" si="24"/>
        <v>30240</v>
      </c>
      <c r="F231">
        <f t="shared" si="27"/>
        <v>5140.8</v>
      </c>
      <c r="G231">
        <f t="shared" si="28"/>
        <v>4935.1679999999997</v>
      </c>
      <c r="H231" s="35">
        <f>'More accurate Energy (Solar)'!N226</f>
        <v>3456000</v>
      </c>
      <c r="I231">
        <f t="shared" si="25"/>
        <v>960</v>
      </c>
      <c r="J231">
        <f t="shared" si="29"/>
        <v>3975.1679999999997</v>
      </c>
      <c r="K231">
        <f t="shared" si="30"/>
        <v>6000</v>
      </c>
      <c r="L231" t="str">
        <f t="shared" si="31"/>
        <v/>
      </c>
      <c r="O231" s="352"/>
    </row>
    <row r="232" spans="1:15">
      <c r="A232" s="375">
        <v>212</v>
      </c>
      <c r="B232" s="35" t="s">
        <v>167</v>
      </c>
      <c r="C232" s="176">
        <v>31</v>
      </c>
      <c r="D232">
        <f t="shared" si="26"/>
        <v>15.75</v>
      </c>
      <c r="E232">
        <f t="shared" si="24"/>
        <v>30240</v>
      </c>
      <c r="F232">
        <f t="shared" si="27"/>
        <v>5140.8</v>
      </c>
      <c r="G232">
        <f t="shared" si="28"/>
        <v>4935.1679999999997</v>
      </c>
      <c r="H232" s="35">
        <f>'More accurate Energy (Solar)'!N227</f>
        <v>3456000</v>
      </c>
      <c r="I232">
        <f t="shared" si="25"/>
        <v>960</v>
      </c>
      <c r="J232">
        <f t="shared" si="29"/>
        <v>3975.1679999999997</v>
      </c>
      <c r="K232">
        <f t="shared" si="30"/>
        <v>6000</v>
      </c>
      <c r="L232" t="str">
        <f t="shared" si="31"/>
        <v/>
      </c>
      <c r="O232" s="352"/>
    </row>
    <row r="233" spans="1:15">
      <c r="A233" s="375">
        <v>213</v>
      </c>
      <c r="B233" s="35" t="s">
        <v>168</v>
      </c>
      <c r="C233" s="376">
        <v>1</v>
      </c>
      <c r="D233">
        <f t="shared" si="26"/>
        <v>14.2</v>
      </c>
      <c r="E233">
        <f t="shared" si="24"/>
        <v>27264</v>
      </c>
      <c r="F233">
        <f t="shared" si="27"/>
        <v>4634.88</v>
      </c>
      <c r="G233">
        <f t="shared" si="28"/>
        <v>4449.4848000000002</v>
      </c>
      <c r="H233" s="35">
        <f>'More accurate Energy (Solar)'!N228</f>
        <v>3456000</v>
      </c>
      <c r="I233">
        <f t="shared" si="25"/>
        <v>960</v>
      </c>
      <c r="J233">
        <f t="shared" si="29"/>
        <v>3489.4848000000002</v>
      </c>
      <c r="K233">
        <f t="shared" si="30"/>
        <v>6000</v>
      </c>
      <c r="L233" t="str">
        <f t="shared" si="31"/>
        <v/>
      </c>
      <c r="O233" s="352"/>
    </row>
    <row r="234" spans="1:15">
      <c r="A234" s="375">
        <v>214</v>
      </c>
      <c r="B234" s="35" t="s">
        <v>168</v>
      </c>
      <c r="C234" s="376">
        <v>2</v>
      </c>
      <c r="D234">
        <f t="shared" si="26"/>
        <v>14.2</v>
      </c>
      <c r="E234">
        <f t="shared" si="24"/>
        <v>27264</v>
      </c>
      <c r="F234">
        <f t="shared" si="27"/>
        <v>4634.88</v>
      </c>
      <c r="G234">
        <f t="shared" si="28"/>
        <v>4449.4848000000002</v>
      </c>
      <c r="H234" s="35">
        <f>'More accurate Energy (Solar)'!N229</f>
        <v>3456000</v>
      </c>
      <c r="I234">
        <f t="shared" si="25"/>
        <v>960</v>
      </c>
      <c r="J234">
        <f t="shared" si="29"/>
        <v>3489.4848000000002</v>
      </c>
      <c r="K234">
        <f t="shared" si="30"/>
        <v>6000</v>
      </c>
      <c r="L234" t="str">
        <f t="shared" si="31"/>
        <v/>
      </c>
      <c r="O234" s="352"/>
    </row>
    <row r="235" spans="1:15">
      <c r="A235" s="375">
        <v>215</v>
      </c>
      <c r="B235" s="35" t="s">
        <v>168</v>
      </c>
      <c r="C235" s="376">
        <v>3</v>
      </c>
      <c r="D235">
        <f t="shared" si="26"/>
        <v>14.2</v>
      </c>
      <c r="E235">
        <f t="shared" si="24"/>
        <v>27264</v>
      </c>
      <c r="F235">
        <f t="shared" si="27"/>
        <v>4634.88</v>
      </c>
      <c r="G235">
        <f t="shared" si="28"/>
        <v>4449.4848000000002</v>
      </c>
      <c r="H235" s="35">
        <f>'More accurate Energy (Solar)'!N230</f>
        <v>3456000</v>
      </c>
      <c r="I235">
        <f t="shared" si="25"/>
        <v>960</v>
      </c>
      <c r="J235">
        <f t="shared" si="29"/>
        <v>3489.4848000000002</v>
      </c>
      <c r="K235">
        <f t="shared" si="30"/>
        <v>6000</v>
      </c>
      <c r="L235" t="str">
        <f t="shared" si="31"/>
        <v/>
      </c>
      <c r="O235" s="352"/>
    </row>
    <row r="236" spans="1:15">
      <c r="A236" s="375">
        <v>216</v>
      </c>
      <c r="B236" s="35" t="s">
        <v>168</v>
      </c>
      <c r="C236" s="376">
        <v>4</v>
      </c>
      <c r="D236">
        <f t="shared" si="26"/>
        <v>14.2</v>
      </c>
      <c r="E236">
        <f t="shared" si="24"/>
        <v>27264</v>
      </c>
      <c r="F236">
        <f t="shared" si="27"/>
        <v>4634.88</v>
      </c>
      <c r="G236">
        <f t="shared" si="28"/>
        <v>4449.4848000000002</v>
      </c>
      <c r="H236" s="35">
        <f>'More accurate Energy (Solar)'!N231</f>
        <v>3456000</v>
      </c>
      <c r="I236">
        <f t="shared" si="25"/>
        <v>960</v>
      </c>
      <c r="J236">
        <f t="shared" si="29"/>
        <v>3489.4848000000002</v>
      </c>
      <c r="K236">
        <f t="shared" si="30"/>
        <v>6000</v>
      </c>
      <c r="L236" t="str">
        <f t="shared" si="31"/>
        <v/>
      </c>
      <c r="O236" s="352"/>
    </row>
    <row r="237" spans="1:15">
      <c r="A237" s="375">
        <v>217</v>
      </c>
      <c r="B237" s="35" t="s">
        <v>168</v>
      </c>
      <c r="C237" s="376">
        <v>5</v>
      </c>
      <c r="D237">
        <f t="shared" si="26"/>
        <v>14.2</v>
      </c>
      <c r="E237">
        <f t="shared" si="24"/>
        <v>27264</v>
      </c>
      <c r="F237">
        <f t="shared" si="27"/>
        <v>4634.88</v>
      </c>
      <c r="G237">
        <f t="shared" si="28"/>
        <v>4449.4848000000002</v>
      </c>
      <c r="H237" s="35">
        <f>'More accurate Energy (Solar)'!N232</f>
        <v>3456000</v>
      </c>
      <c r="I237">
        <f t="shared" si="25"/>
        <v>960</v>
      </c>
      <c r="J237">
        <f t="shared" si="29"/>
        <v>3489.4848000000002</v>
      </c>
      <c r="K237">
        <f t="shared" si="30"/>
        <v>6000</v>
      </c>
      <c r="L237" t="str">
        <f t="shared" si="31"/>
        <v/>
      </c>
      <c r="O237" s="352"/>
    </row>
    <row r="238" spans="1:15">
      <c r="A238" s="375">
        <v>218</v>
      </c>
      <c r="B238" s="35" t="s">
        <v>168</v>
      </c>
      <c r="C238" s="376">
        <v>6</v>
      </c>
      <c r="D238">
        <f t="shared" si="26"/>
        <v>14.2</v>
      </c>
      <c r="E238">
        <f t="shared" si="24"/>
        <v>27264</v>
      </c>
      <c r="F238">
        <f t="shared" si="27"/>
        <v>4634.88</v>
      </c>
      <c r="G238">
        <f t="shared" si="28"/>
        <v>4449.4848000000002</v>
      </c>
      <c r="H238" s="35">
        <f>'More accurate Energy (Solar)'!N233</f>
        <v>8083231.7107762471</v>
      </c>
      <c r="I238">
        <f t="shared" si="25"/>
        <v>2245.3421418822909</v>
      </c>
      <c r="J238">
        <f t="shared" si="29"/>
        <v>2204.1426581177093</v>
      </c>
      <c r="K238">
        <f t="shared" si="30"/>
        <v>6000</v>
      </c>
      <c r="L238" t="str">
        <f t="shared" si="31"/>
        <v/>
      </c>
      <c r="O238" s="352"/>
    </row>
    <row r="239" spans="1:15">
      <c r="A239" s="375">
        <v>219</v>
      </c>
      <c r="B239" s="35" t="s">
        <v>168</v>
      </c>
      <c r="C239" s="376">
        <v>7</v>
      </c>
      <c r="D239">
        <f t="shared" si="26"/>
        <v>14.2</v>
      </c>
      <c r="E239">
        <f t="shared" si="24"/>
        <v>27264</v>
      </c>
      <c r="F239">
        <f t="shared" si="27"/>
        <v>4634.88</v>
      </c>
      <c r="G239">
        <f t="shared" si="28"/>
        <v>4449.4848000000002</v>
      </c>
      <c r="H239" s="35">
        <f>'More accurate Energy (Solar)'!N234</f>
        <v>12602806.99281846</v>
      </c>
      <c r="I239">
        <f t="shared" si="25"/>
        <v>3500.77972022735</v>
      </c>
      <c r="J239">
        <f t="shared" si="29"/>
        <v>948.70507977265015</v>
      </c>
      <c r="K239">
        <f t="shared" si="30"/>
        <v>6000</v>
      </c>
      <c r="L239" t="str">
        <f t="shared" si="31"/>
        <v/>
      </c>
      <c r="O239" s="352"/>
    </row>
    <row r="240" spans="1:15">
      <c r="A240" s="375">
        <v>220</v>
      </c>
      <c r="B240" s="35" t="s">
        <v>168</v>
      </c>
      <c r="C240" s="376">
        <v>8</v>
      </c>
      <c r="D240">
        <f t="shared" si="26"/>
        <v>14.2</v>
      </c>
      <c r="E240">
        <f t="shared" si="24"/>
        <v>27264</v>
      </c>
      <c r="F240">
        <f t="shared" si="27"/>
        <v>4634.88</v>
      </c>
      <c r="G240">
        <f t="shared" si="28"/>
        <v>4449.4848000000002</v>
      </c>
      <c r="H240" s="35">
        <f>'More accurate Energy (Solar)'!N235</f>
        <v>12714219.561755959</v>
      </c>
      <c r="I240">
        <f t="shared" si="25"/>
        <v>3531.727656043322</v>
      </c>
      <c r="J240">
        <f t="shared" si="29"/>
        <v>917.75714395667819</v>
      </c>
      <c r="K240">
        <f t="shared" si="30"/>
        <v>6000</v>
      </c>
      <c r="L240" t="str">
        <f t="shared" si="31"/>
        <v/>
      </c>
      <c r="O240" s="352"/>
    </row>
    <row r="241" spans="1:15">
      <c r="A241" s="375">
        <v>221</v>
      </c>
      <c r="B241" s="35" t="s">
        <v>168</v>
      </c>
      <c r="C241" s="376">
        <v>9</v>
      </c>
      <c r="D241">
        <f t="shared" si="26"/>
        <v>14.2</v>
      </c>
      <c r="E241">
        <f t="shared" si="24"/>
        <v>27264</v>
      </c>
      <c r="F241">
        <f t="shared" si="27"/>
        <v>4634.88</v>
      </c>
      <c r="G241">
        <f t="shared" si="28"/>
        <v>4449.4848000000002</v>
      </c>
      <c r="H241" s="35">
        <f>'More accurate Energy (Solar)'!N236</f>
        <v>7028411.3949824264</v>
      </c>
      <c r="I241">
        <f t="shared" si="25"/>
        <v>1952.3364986062295</v>
      </c>
      <c r="J241">
        <f t="shared" si="29"/>
        <v>2497.1483013937705</v>
      </c>
      <c r="K241">
        <f t="shared" si="30"/>
        <v>6000</v>
      </c>
      <c r="L241" t="str">
        <f t="shared" si="31"/>
        <v/>
      </c>
      <c r="O241" s="352"/>
    </row>
    <row r="242" spans="1:15">
      <c r="A242" s="375">
        <v>222</v>
      </c>
      <c r="B242" s="35" t="s">
        <v>168</v>
      </c>
      <c r="C242" s="376">
        <v>10</v>
      </c>
      <c r="D242">
        <f t="shared" si="26"/>
        <v>14.2</v>
      </c>
      <c r="E242">
        <f t="shared" si="24"/>
        <v>27264</v>
      </c>
      <c r="F242">
        <f t="shared" si="27"/>
        <v>4634.88</v>
      </c>
      <c r="G242">
        <f t="shared" si="28"/>
        <v>4449.4848000000002</v>
      </c>
      <c r="H242" s="35">
        <f>'More accurate Energy (Solar)'!N237</f>
        <v>3456000</v>
      </c>
      <c r="I242">
        <f t="shared" si="25"/>
        <v>960</v>
      </c>
      <c r="J242">
        <f t="shared" si="29"/>
        <v>3489.4848000000002</v>
      </c>
      <c r="K242">
        <f t="shared" si="30"/>
        <v>6000</v>
      </c>
      <c r="L242" t="str">
        <f t="shared" si="31"/>
        <v/>
      </c>
      <c r="O242" s="352"/>
    </row>
    <row r="243" spans="1:15">
      <c r="A243" s="375">
        <v>223</v>
      </c>
      <c r="B243" s="35" t="s">
        <v>168</v>
      </c>
      <c r="C243" s="376">
        <v>11</v>
      </c>
      <c r="D243">
        <f t="shared" si="26"/>
        <v>14.2</v>
      </c>
      <c r="E243">
        <f t="shared" si="24"/>
        <v>27264</v>
      </c>
      <c r="F243">
        <f t="shared" si="27"/>
        <v>4634.88</v>
      </c>
      <c r="G243">
        <f t="shared" si="28"/>
        <v>4449.4848000000002</v>
      </c>
      <c r="H243" s="35">
        <f>'More accurate Energy (Solar)'!N238</f>
        <v>3456000</v>
      </c>
      <c r="I243">
        <f t="shared" si="25"/>
        <v>960</v>
      </c>
      <c r="J243">
        <f t="shared" si="29"/>
        <v>3489.4848000000002</v>
      </c>
      <c r="K243">
        <f t="shared" si="30"/>
        <v>6000</v>
      </c>
      <c r="L243" t="str">
        <f t="shared" si="31"/>
        <v/>
      </c>
      <c r="O243" s="352"/>
    </row>
    <row r="244" spans="1:15">
      <c r="A244" s="375">
        <v>224</v>
      </c>
      <c r="B244" s="35" t="s">
        <v>168</v>
      </c>
      <c r="C244" s="376">
        <v>12</v>
      </c>
      <c r="D244">
        <f t="shared" si="26"/>
        <v>14.2</v>
      </c>
      <c r="E244">
        <f t="shared" si="24"/>
        <v>27264</v>
      </c>
      <c r="F244">
        <f t="shared" si="27"/>
        <v>4634.88</v>
      </c>
      <c r="G244">
        <f t="shared" si="28"/>
        <v>4449.4848000000002</v>
      </c>
      <c r="H244" s="35">
        <f>'More accurate Energy (Solar)'!N239</f>
        <v>3456000</v>
      </c>
      <c r="I244">
        <f t="shared" si="25"/>
        <v>960</v>
      </c>
      <c r="J244">
        <f t="shared" si="29"/>
        <v>3489.4848000000002</v>
      </c>
      <c r="K244">
        <f t="shared" si="30"/>
        <v>6000</v>
      </c>
      <c r="L244" t="str">
        <f t="shared" si="31"/>
        <v/>
      </c>
      <c r="O244" s="352"/>
    </row>
    <row r="245" spans="1:15">
      <c r="A245" s="375">
        <v>225</v>
      </c>
      <c r="B245" s="35" t="s">
        <v>168</v>
      </c>
      <c r="C245" s="376">
        <v>13</v>
      </c>
      <c r="D245">
        <f t="shared" si="26"/>
        <v>14.2</v>
      </c>
      <c r="E245">
        <f t="shared" si="24"/>
        <v>27264</v>
      </c>
      <c r="F245">
        <f t="shared" si="27"/>
        <v>4634.88</v>
      </c>
      <c r="G245">
        <f t="shared" si="28"/>
        <v>4449.4848000000002</v>
      </c>
      <c r="H245" s="35">
        <f>'More accurate Energy (Solar)'!N240</f>
        <v>3456000</v>
      </c>
      <c r="I245">
        <f t="shared" si="25"/>
        <v>960</v>
      </c>
      <c r="J245">
        <f t="shared" si="29"/>
        <v>3489.4848000000002</v>
      </c>
      <c r="K245">
        <f t="shared" si="30"/>
        <v>6000</v>
      </c>
      <c r="L245" t="str">
        <f t="shared" si="31"/>
        <v/>
      </c>
      <c r="O245" s="352"/>
    </row>
    <row r="246" spans="1:15">
      <c r="A246" s="375">
        <v>226</v>
      </c>
      <c r="B246" s="35" t="s">
        <v>168</v>
      </c>
      <c r="C246" s="376">
        <v>14</v>
      </c>
      <c r="D246">
        <f t="shared" si="26"/>
        <v>14.2</v>
      </c>
      <c r="E246">
        <f t="shared" si="24"/>
        <v>27264</v>
      </c>
      <c r="F246">
        <f t="shared" si="27"/>
        <v>4634.88</v>
      </c>
      <c r="G246">
        <f t="shared" si="28"/>
        <v>4449.4848000000002</v>
      </c>
      <c r="H246" s="35">
        <f>'More accurate Energy (Solar)'!N241</f>
        <v>3456000</v>
      </c>
      <c r="I246">
        <f t="shared" si="25"/>
        <v>960</v>
      </c>
      <c r="J246">
        <f t="shared" si="29"/>
        <v>3489.4848000000002</v>
      </c>
      <c r="K246">
        <f t="shared" si="30"/>
        <v>6000</v>
      </c>
      <c r="L246" t="str">
        <f t="shared" si="31"/>
        <v/>
      </c>
      <c r="O246" s="352"/>
    </row>
    <row r="247" spans="1:15">
      <c r="A247" s="375">
        <v>227</v>
      </c>
      <c r="B247" s="35" t="s">
        <v>168</v>
      </c>
      <c r="C247" s="376">
        <v>15</v>
      </c>
      <c r="D247">
        <f t="shared" si="26"/>
        <v>14.2</v>
      </c>
      <c r="E247">
        <f t="shared" si="24"/>
        <v>27264</v>
      </c>
      <c r="F247">
        <f t="shared" si="27"/>
        <v>4634.88</v>
      </c>
      <c r="G247">
        <f t="shared" si="28"/>
        <v>4449.4848000000002</v>
      </c>
      <c r="H247" s="35">
        <f>'More accurate Energy (Solar)'!N242</f>
        <v>3456000</v>
      </c>
      <c r="I247">
        <f t="shared" si="25"/>
        <v>960</v>
      </c>
      <c r="J247">
        <f t="shared" si="29"/>
        <v>3489.4848000000002</v>
      </c>
      <c r="K247">
        <f t="shared" si="30"/>
        <v>6000</v>
      </c>
      <c r="L247" t="str">
        <f t="shared" si="31"/>
        <v/>
      </c>
      <c r="O247" s="352"/>
    </row>
    <row r="248" spans="1:15">
      <c r="A248" s="375">
        <v>228</v>
      </c>
      <c r="B248" s="35" t="s">
        <v>168</v>
      </c>
      <c r="C248" s="376">
        <v>16</v>
      </c>
      <c r="D248">
        <f t="shared" si="26"/>
        <v>14.2</v>
      </c>
      <c r="E248">
        <f t="shared" si="24"/>
        <v>27264</v>
      </c>
      <c r="F248">
        <f t="shared" si="27"/>
        <v>4634.88</v>
      </c>
      <c r="G248">
        <f t="shared" si="28"/>
        <v>4449.4848000000002</v>
      </c>
      <c r="H248" s="35">
        <f>'More accurate Energy (Solar)'!N243</f>
        <v>3456000</v>
      </c>
      <c r="I248">
        <f t="shared" si="25"/>
        <v>960</v>
      </c>
      <c r="J248">
        <f t="shared" si="29"/>
        <v>3489.4848000000002</v>
      </c>
      <c r="K248">
        <f t="shared" si="30"/>
        <v>6000</v>
      </c>
      <c r="L248" t="str">
        <f t="shared" si="31"/>
        <v/>
      </c>
      <c r="O248" s="352"/>
    </row>
    <row r="249" spans="1:15">
      <c r="A249" s="375">
        <v>229</v>
      </c>
      <c r="B249" s="35" t="s">
        <v>168</v>
      </c>
      <c r="C249" s="376">
        <v>17</v>
      </c>
      <c r="D249">
        <f t="shared" si="26"/>
        <v>14.2</v>
      </c>
      <c r="E249">
        <f t="shared" si="24"/>
        <v>27264</v>
      </c>
      <c r="F249">
        <f t="shared" si="27"/>
        <v>4634.88</v>
      </c>
      <c r="G249">
        <f t="shared" si="28"/>
        <v>4449.4848000000002</v>
      </c>
      <c r="H249" s="35">
        <f>'More accurate Energy (Solar)'!N244</f>
        <v>3456000</v>
      </c>
      <c r="I249">
        <f t="shared" si="25"/>
        <v>960</v>
      </c>
      <c r="J249">
        <f t="shared" si="29"/>
        <v>3489.4848000000002</v>
      </c>
      <c r="K249">
        <f t="shared" si="30"/>
        <v>6000</v>
      </c>
      <c r="L249" t="str">
        <f t="shared" si="31"/>
        <v/>
      </c>
      <c r="O249" s="352"/>
    </row>
    <row r="250" spans="1:15">
      <c r="A250" s="375">
        <v>230</v>
      </c>
      <c r="B250" s="35" t="s">
        <v>168</v>
      </c>
      <c r="C250" s="376">
        <v>18</v>
      </c>
      <c r="D250">
        <f t="shared" si="26"/>
        <v>14.2</v>
      </c>
      <c r="E250">
        <f t="shared" si="24"/>
        <v>27264</v>
      </c>
      <c r="F250">
        <f t="shared" si="27"/>
        <v>4634.88</v>
      </c>
      <c r="G250">
        <f t="shared" si="28"/>
        <v>4449.4848000000002</v>
      </c>
      <c r="H250" s="35">
        <f>'More accurate Energy (Solar)'!N245</f>
        <v>3456000</v>
      </c>
      <c r="I250">
        <f t="shared" si="25"/>
        <v>960</v>
      </c>
      <c r="J250">
        <f t="shared" si="29"/>
        <v>3489.4848000000002</v>
      </c>
      <c r="K250">
        <f t="shared" si="30"/>
        <v>6000</v>
      </c>
      <c r="L250" t="str">
        <f t="shared" si="31"/>
        <v/>
      </c>
      <c r="O250" s="352"/>
    </row>
    <row r="251" spans="1:15">
      <c r="A251" s="375">
        <v>231</v>
      </c>
      <c r="B251" s="35" t="s">
        <v>168</v>
      </c>
      <c r="C251" s="376">
        <v>19</v>
      </c>
      <c r="D251">
        <f t="shared" si="26"/>
        <v>14.2</v>
      </c>
      <c r="E251">
        <f t="shared" si="24"/>
        <v>27264</v>
      </c>
      <c r="F251">
        <f t="shared" si="27"/>
        <v>4634.88</v>
      </c>
      <c r="G251">
        <f t="shared" si="28"/>
        <v>4449.4848000000002</v>
      </c>
      <c r="H251" s="35">
        <f>'More accurate Energy (Solar)'!N246</f>
        <v>3456000</v>
      </c>
      <c r="I251">
        <f t="shared" si="25"/>
        <v>960</v>
      </c>
      <c r="J251">
        <f t="shared" si="29"/>
        <v>3489.4848000000002</v>
      </c>
      <c r="K251">
        <f t="shared" si="30"/>
        <v>6000</v>
      </c>
      <c r="L251" t="str">
        <f t="shared" si="31"/>
        <v/>
      </c>
      <c r="O251" s="352"/>
    </row>
    <row r="252" spans="1:15">
      <c r="A252" s="375">
        <v>232</v>
      </c>
      <c r="B252" s="35" t="s">
        <v>168</v>
      </c>
      <c r="C252" s="376">
        <v>20</v>
      </c>
      <c r="D252">
        <f t="shared" si="26"/>
        <v>14.2</v>
      </c>
      <c r="E252">
        <f t="shared" si="24"/>
        <v>27264</v>
      </c>
      <c r="F252">
        <f t="shared" si="27"/>
        <v>4634.88</v>
      </c>
      <c r="G252">
        <f t="shared" si="28"/>
        <v>4449.4848000000002</v>
      </c>
      <c r="H252" s="35">
        <f>'More accurate Energy (Solar)'!N247</f>
        <v>3456000</v>
      </c>
      <c r="I252">
        <f t="shared" si="25"/>
        <v>960</v>
      </c>
      <c r="J252">
        <f t="shared" si="29"/>
        <v>3489.4848000000002</v>
      </c>
      <c r="K252">
        <f t="shared" si="30"/>
        <v>6000</v>
      </c>
      <c r="L252" t="str">
        <f t="shared" si="31"/>
        <v/>
      </c>
      <c r="O252" s="352"/>
    </row>
    <row r="253" spans="1:15">
      <c r="A253" s="375">
        <v>233</v>
      </c>
      <c r="B253" s="35" t="s">
        <v>168</v>
      </c>
      <c r="C253" s="376">
        <v>21</v>
      </c>
      <c r="D253">
        <f t="shared" si="26"/>
        <v>14.2</v>
      </c>
      <c r="E253">
        <f t="shared" si="24"/>
        <v>27264</v>
      </c>
      <c r="F253">
        <f t="shared" si="27"/>
        <v>4634.88</v>
      </c>
      <c r="G253">
        <f t="shared" si="28"/>
        <v>4449.4848000000002</v>
      </c>
      <c r="H253" s="35">
        <f>'More accurate Energy (Solar)'!N248</f>
        <v>3456000</v>
      </c>
      <c r="I253">
        <f t="shared" si="25"/>
        <v>960</v>
      </c>
      <c r="J253">
        <f t="shared" si="29"/>
        <v>3489.4848000000002</v>
      </c>
      <c r="K253">
        <f t="shared" si="30"/>
        <v>6000</v>
      </c>
      <c r="L253" t="str">
        <f t="shared" si="31"/>
        <v/>
      </c>
      <c r="O253" s="352"/>
    </row>
    <row r="254" spans="1:15">
      <c r="A254" s="375">
        <v>234</v>
      </c>
      <c r="B254" s="35" t="s">
        <v>168</v>
      </c>
      <c r="C254" s="376">
        <v>22</v>
      </c>
      <c r="D254">
        <f t="shared" si="26"/>
        <v>14.2</v>
      </c>
      <c r="E254">
        <f t="shared" si="24"/>
        <v>27264</v>
      </c>
      <c r="F254">
        <f t="shared" si="27"/>
        <v>4634.88</v>
      </c>
      <c r="G254">
        <f t="shared" si="28"/>
        <v>4449.4848000000002</v>
      </c>
      <c r="H254" s="35">
        <f>'More accurate Energy (Solar)'!N249</f>
        <v>3456000</v>
      </c>
      <c r="I254">
        <f t="shared" si="25"/>
        <v>960</v>
      </c>
      <c r="J254">
        <f t="shared" si="29"/>
        <v>3489.4848000000002</v>
      </c>
      <c r="K254">
        <f t="shared" si="30"/>
        <v>6000</v>
      </c>
      <c r="L254" t="str">
        <f t="shared" si="31"/>
        <v/>
      </c>
      <c r="O254" s="352"/>
    </row>
    <row r="255" spans="1:15">
      <c r="A255" s="375">
        <v>235</v>
      </c>
      <c r="B255" s="35" t="s">
        <v>168</v>
      </c>
      <c r="C255" s="376">
        <v>23</v>
      </c>
      <c r="D255">
        <f t="shared" si="26"/>
        <v>14.2</v>
      </c>
      <c r="E255">
        <f t="shared" si="24"/>
        <v>27264</v>
      </c>
      <c r="F255">
        <f t="shared" si="27"/>
        <v>4634.88</v>
      </c>
      <c r="G255">
        <f t="shared" si="28"/>
        <v>4449.4848000000002</v>
      </c>
      <c r="H255" s="35">
        <f>'More accurate Energy (Solar)'!N250</f>
        <v>3456000</v>
      </c>
      <c r="I255">
        <f t="shared" si="25"/>
        <v>960</v>
      </c>
      <c r="J255">
        <f t="shared" si="29"/>
        <v>3489.4848000000002</v>
      </c>
      <c r="K255">
        <f t="shared" si="30"/>
        <v>6000</v>
      </c>
      <c r="L255" t="str">
        <f t="shared" si="31"/>
        <v/>
      </c>
      <c r="O255" s="352"/>
    </row>
    <row r="256" spans="1:15">
      <c r="A256" s="375">
        <v>236</v>
      </c>
      <c r="B256" s="35" t="s">
        <v>168</v>
      </c>
      <c r="C256" s="376">
        <v>24</v>
      </c>
      <c r="D256">
        <f t="shared" si="26"/>
        <v>14.2</v>
      </c>
      <c r="E256">
        <f t="shared" si="24"/>
        <v>27264</v>
      </c>
      <c r="F256">
        <f t="shared" si="27"/>
        <v>4634.88</v>
      </c>
      <c r="G256">
        <f t="shared" si="28"/>
        <v>4449.4848000000002</v>
      </c>
      <c r="H256" s="35">
        <f>'More accurate Energy (Solar)'!N251</f>
        <v>3456000</v>
      </c>
      <c r="I256">
        <f t="shared" si="25"/>
        <v>960</v>
      </c>
      <c r="J256">
        <f t="shared" si="29"/>
        <v>3489.4848000000002</v>
      </c>
      <c r="K256">
        <f t="shared" si="30"/>
        <v>6000</v>
      </c>
      <c r="L256" t="str">
        <f t="shared" si="31"/>
        <v/>
      </c>
      <c r="O256" s="352"/>
    </row>
    <row r="257" spans="1:15">
      <c r="A257" s="375">
        <v>237</v>
      </c>
      <c r="B257" s="35" t="s">
        <v>168</v>
      </c>
      <c r="C257" s="376">
        <v>25</v>
      </c>
      <c r="D257">
        <f t="shared" si="26"/>
        <v>14.2</v>
      </c>
      <c r="E257">
        <f t="shared" si="24"/>
        <v>27264</v>
      </c>
      <c r="F257">
        <f t="shared" si="27"/>
        <v>4634.88</v>
      </c>
      <c r="G257">
        <f t="shared" si="28"/>
        <v>4449.4848000000002</v>
      </c>
      <c r="H257" s="35">
        <f>'More accurate Energy (Solar)'!N252</f>
        <v>3456000</v>
      </c>
      <c r="I257">
        <f t="shared" si="25"/>
        <v>960</v>
      </c>
      <c r="J257">
        <f t="shared" si="29"/>
        <v>3489.4848000000002</v>
      </c>
      <c r="K257">
        <f t="shared" si="30"/>
        <v>6000</v>
      </c>
      <c r="L257" t="str">
        <f t="shared" si="31"/>
        <v/>
      </c>
      <c r="O257" s="352"/>
    </row>
    <row r="258" spans="1:15">
      <c r="A258" s="375">
        <v>238</v>
      </c>
      <c r="B258" s="35" t="s">
        <v>168</v>
      </c>
      <c r="C258" s="376">
        <v>26</v>
      </c>
      <c r="D258">
        <f t="shared" si="26"/>
        <v>14.2</v>
      </c>
      <c r="E258">
        <f t="shared" si="24"/>
        <v>27264</v>
      </c>
      <c r="F258">
        <f t="shared" si="27"/>
        <v>4634.88</v>
      </c>
      <c r="G258">
        <f t="shared" si="28"/>
        <v>4449.4848000000002</v>
      </c>
      <c r="H258" s="35">
        <f>'More accurate Energy (Solar)'!N253</f>
        <v>3456000</v>
      </c>
      <c r="I258">
        <f t="shared" si="25"/>
        <v>960</v>
      </c>
      <c r="J258">
        <f t="shared" si="29"/>
        <v>3489.4848000000002</v>
      </c>
      <c r="K258">
        <f t="shared" si="30"/>
        <v>6000</v>
      </c>
      <c r="L258" t="str">
        <f t="shared" si="31"/>
        <v/>
      </c>
      <c r="O258" s="352"/>
    </row>
    <row r="259" spans="1:15">
      <c r="A259" s="375">
        <v>239</v>
      </c>
      <c r="B259" s="35" t="s">
        <v>168</v>
      </c>
      <c r="C259" s="376">
        <v>27</v>
      </c>
      <c r="D259">
        <f t="shared" si="26"/>
        <v>14.2</v>
      </c>
      <c r="E259">
        <f t="shared" si="24"/>
        <v>27264</v>
      </c>
      <c r="F259">
        <f t="shared" si="27"/>
        <v>4634.88</v>
      </c>
      <c r="G259">
        <f t="shared" si="28"/>
        <v>4449.4848000000002</v>
      </c>
      <c r="H259" s="35">
        <f>'More accurate Energy (Solar)'!N254</f>
        <v>7813618.2510619583</v>
      </c>
      <c r="I259">
        <f t="shared" si="25"/>
        <v>2170.4495141838775</v>
      </c>
      <c r="J259">
        <f t="shared" si="29"/>
        <v>2279.0352858161227</v>
      </c>
      <c r="K259">
        <f t="shared" si="30"/>
        <v>6000</v>
      </c>
      <c r="L259" t="str">
        <f t="shared" si="31"/>
        <v/>
      </c>
      <c r="O259" s="352"/>
    </row>
    <row r="260" spans="1:15">
      <c r="A260" s="375">
        <v>240</v>
      </c>
      <c r="B260" s="35" t="s">
        <v>168</v>
      </c>
      <c r="C260" s="376">
        <v>28</v>
      </c>
      <c r="D260">
        <f t="shared" si="26"/>
        <v>14.2</v>
      </c>
      <c r="E260">
        <f t="shared" si="24"/>
        <v>27264</v>
      </c>
      <c r="F260">
        <f t="shared" si="27"/>
        <v>4634.88</v>
      </c>
      <c r="G260">
        <f t="shared" si="28"/>
        <v>4449.4848000000002</v>
      </c>
      <c r="H260" s="35">
        <f>'More accurate Energy (Solar)'!N255</f>
        <v>11312535.740921643</v>
      </c>
      <c r="I260">
        <f t="shared" si="25"/>
        <v>3142.3710391449008</v>
      </c>
      <c r="J260">
        <f t="shared" si="29"/>
        <v>1307.1137608550994</v>
      </c>
      <c r="K260">
        <f t="shared" si="30"/>
        <v>6000</v>
      </c>
      <c r="L260" t="str">
        <f t="shared" si="31"/>
        <v/>
      </c>
      <c r="O260" s="352"/>
    </row>
    <row r="261" spans="1:15">
      <c r="A261" s="375">
        <v>241</v>
      </c>
      <c r="B261" s="35" t="s">
        <v>168</v>
      </c>
      <c r="C261" s="376">
        <v>29</v>
      </c>
      <c r="D261">
        <f t="shared" si="26"/>
        <v>14.2</v>
      </c>
      <c r="E261">
        <f t="shared" si="24"/>
        <v>27264</v>
      </c>
      <c r="F261">
        <f t="shared" si="27"/>
        <v>4634.88</v>
      </c>
      <c r="G261">
        <f t="shared" si="28"/>
        <v>4449.4848000000002</v>
      </c>
      <c r="H261" s="35">
        <f>'More accurate Energy (Solar)'!N256</f>
        <v>12714219.561755959</v>
      </c>
      <c r="I261">
        <f t="shared" si="25"/>
        <v>3531.727656043322</v>
      </c>
      <c r="J261">
        <f t="shared" si="29"/>
        <v>917.75714395667819</v>
      </c>
      <c r="K261">
        <f t="shared" si="30"/>
        <v>6000</v>
      </c>
      <c r="L261" t="str">
        <f t="shared" si="31"/>
        <v/>
      </c>
      <c r="O261" s="352"/>
    </row>
    <row r="262" spans="1:15">
      <c r="A262" s="375">
        <v>242</v>
      </c>
      <c r="B262" s="35" t="s">
        <v>168</v>
      </c>
      <c r="C262" s="376">
        <v>30</v>
      </c>
      <c r="D262">
        <f t="shared" si="26"/>
        <v>14.2</v>
      </c>
      <c r="E262">
        <f t="shared" si="24"/>
        <v>27264</v>
      </c>
      <c r="F262">
        <f t="shared" si="27"/>
        <v>4634.88</v>
      </c>
      <c r="G262">
        <f t="shared" si="28"/>
        <v>4449.4848000000002</v>
      </c>
      <c r="H262" s="35">
        <f>'More accurate Energy (Solar)'!N257</f>
        <v>12714219.561755959</v>
      </c>
      <c r="I262">
        <f t="shared" si="25"/>
        <v>3531.727656043322</v>
      </c>
      <c r="J262">
        <f t="shared" si="29"/>
        <v>917.75714395667819</v>
      </c>
      <c r="K262">
        <f t="shared" si="30"/>
        <v>6000</v>
      </c>
      <c r="L262" t="str">
        <f t="shared" si="31"/>
        <v/>
      </c>
      <c r="O262" s="352"/>
    </row>
    <row r="263" spans="1:15">
      <c r="A263" s="375">
        <v>243</v>
      </c>
      <c r="B263" s="35" t="s">
        <v>168</v>
      </c>
      <c r="C263" s="376">
        <v>31</v>
      </c>
      <c r="D263">
        <f t="shared" si="26"/>
        <v>14.2</v>
      </c>
      <c r="E263">
        <f t="shared" si="24"/>
        <v>27264</v>
      </c>
      <c r="F263">
        <f t="shared" si="27"/>
        <v>4634.88</v>
      </c>
      <c r="G263">
        <f t="shared" si="28"/>
        <v>4449.4848000000002</v>
      </c>
      <c r="H263" s="35">
        <f>'More accurate Energy (Solar)'!N258</f>
        <v>9593643.1426751018</v>
      </c>
      <c r="I263">
        <f t="shared" si="25"/>
        <v>2664.900872965306</v>
      </c>
      <c r="J263">
        <f t="shared" si="29"/>
        <v>1784.5839270346942</v>
      </c>
      <c r="K263">
        <f t="shared" si="30"/>
        <v>6000</v>
      </c>
      <c r="L263" t="str">
        <f t="shared" si="31"/>
        <v/>
      </c>
      <c r="O263" s="352"/>
    </row>
    <row r="264" spans="1:15">
      <c r="A264" s="375">
        <v>244</v>
      </c>
      <c r="B264" s="35" t="s">
        <v>169</v>
      </c>
      <c r="C264" s="376">
        <v>1</v>
      </c>
      <c r="D264">
        <f t="shared" si="26"/>
        <v>12.5</v>
      </c>
      <c r="E264">
        <f t="shared" si="24"/>
        <v>24000</v>
      </c>
      <c r="F264">
        <f t="shared" si="27"/>
        <v>4080.0000000000005</v>
      </c>
      <c r="G264">
        <f t="shared" si="28"/>
        <v>3916.8</v>
      </c>
      <c r="H264" s="35">
        <f>'More accurate Energy (Solar)'!N259</f>
        <v>12714219.561755959</v>
      </c>
      <c r="I264">
        <f t="shared" si="25"/>
        <v>3531.727656043322</v>
      </c>
      <c r="J264">
        <f t="shared" si="29"/>
        <v>385.0723439566782</v>
      </c>
      <c r="K264">
        <f t="shared" si="30"/>
        <v>6000</v>
      </c>
      <c r="L264" t="str">
        <f t="shared" si="31"/>
        <v/>
      </c>
      <c r="O264" s="352"/>
    </row>
    <row r="265" spans="1:15">
      <c r="A265" s="375">
        <v>245</v>
      </c>
      <c r="B265" s="35" t="s">
        <v>169</v>
      </c>
      <c r="C265" s="376">
        <v>2</v>
      </c>
      <c r="D265">
        <f t="shared" si="26"/>
        <v>12.5</v>
      </c>
      <c r="E265">
        <f t="shared" si="24"/>
        <v>24000</v>
      </c>
      <c r="F265">
        <f t="shared" si="27"/>
        <v>4080.0000000000005</v>
      </c>
      <c r="G265">
        <f t="shared" si="28"/>
        <v>3916.8</v>
      </c>
      <c r="H265" s="35">
        <f>'More accurate Energy (Solar)'!N260</f>
        <v>5936504.960119551</v>
      </c>
      <c r="I265">
        <f t="shared" si="25"/>
        <v>1649.0291555887641</v>
      </c>
      <c r="J265">
        <f t="shared" si="29"/>
        <v>2267.7708444112359</v>
      </c>
      <c r="K265">
        <f t="shared" si="30"/>
        <v>6000</v>
      </c>
      <c r="L265" t="str">
        <f t="shared" si="31"/>
        <v/>
      </c>
      <c r="O265" s="352"/>
    </row>
    <row r="266" spans="1:15">
      <c r="A266" s="375">
        <v>246</v>
      </c>
      <c r="B266" s="35" t="s">
        <v>169</v>
      </c>
      <c r="C266" s="376">
        <v>3</v>
      </c>
      <c r="D266">
        <f t="shared" si="26"/>
        <v>12.5</v>
      </c>
      <c r="E266">
        <f t="shared" si="24"/>
        <v>24000</v>
      </c>
      <c r="F266">
        <f t="shared" si="27"/>
        <v>4080.0000000000005</v>
      </c>
      <c r="G266">
        <f t="shared" si="28"/>
        <v>3916.8</v>
      </c>
      <c r="H266" s="35">
        <f>'More accurate Energy (Solar)'!N261</f>
        <v>7521813.3267471371</v>
      </c>
      <c r="I266">
        <f t="shared" si="25"/>
        <v>2089.3925907630937</v>
      </c>
      <c r="J266">
        <f t="shared" si="29"/>
        <v>1827.4074092369065</v>
      </c>
      <c r="K266">
        <f t="shared" si="30"/>
        <v>6000</v>
      </c>
      <c r="L266" t="str">
        <f t="shared" si="31"/>
        <v/>
      </c>
      <c r="O266" s="352"/>
    </row>
    <row r="267" spans="1:15">
      <c r="A267" s="375">
        <v>247</v>
      </c>
      <c r="B267" s="35" t="s">
        <v>169</v>
      </c>
      <c r="C267" s="376">
        <v>4</v>
      </c>
      <c r="D267">
        <f t="shared" si="26"/>
        <v>12.5</v>
      </c>
      <c r="E267">
        <f t="shared" si="24"/>
        <v>24000</v>
      </c>
      <c r="F267">
        <f t="shared" si="27"/>
        <v>4080.0000000000005</v>
      </c>
      <c r="G267">
        <f t="shared" si="28"/>
        <v>3916.8</v>
      </c>
      <c r="H267" s="35">
        <f>'More accurate Energy (Solar)'!N262</f>
        <v>3456000</v>
      </c>
      <c r="I267">
        <f t="shared" si="25"/>
        <v>960</v>
      </c>
      <c r="J267">
        <f t="shared" si="29"/>
        <v>2956.8</v>
      </c>
      <c r="K267">
        <f t="shared" si="30"/>
        <v>6000</v>
      </c>
      <c r="L267" t="str">
        <f t="shared" si="31"/>
        <v/>
      </c>
      <c r="O267" s="352"/>
    </row>
    <row r="268" spans="1:15">
      <c r="A268" s="375">
        <v>248</v>
      </c>
      <c r="B268" s="35" t="s">
        <v>169</v>
      </c>
      <c r="C268" s="376">
        <v>5</v>
      </c>
      <c r="D268">
        <f t="shared" si="26"/>
        <v>12.5</v>
      </c>
      <c r="E268">
        <f t="shared" si="24"/>
        <v>24000</v>
      </c>
      <c r="F268">
        <f t="shared" si="27"/>
        <v>4080.0000000000005</v>
      </c>
      <c r="G268">
        <f t="shared" si="28"/>
        <v>3916.8</v>
      </c>
      <c r="H268" s="35">
        <f>'More accurate Energy (Solar)'!N263</f>
        <v>6844090.3619094864</v>
      </c>
      <c r="I268">
        <f t="shared" si="25"/>
        <v>1901.1362116415239</v>
      </c>
      <c r="J268">
        <f t="shared" si="29"/>
        <v>2015.6637883584763</v>
      </c>
      <c r="K268">
        <f t="shared" si="30"/>
        <v>6000</v>
      </c>
      <c r="L268" t="str">
        <f t="shared" si="31"/>
        <v/>
      </c>
      <c r="O268" s="352"/>
    </row>
    <row r="269" spans="1:15">
      <c r="A269" s="375">
        <v>249</v>
      </c>
      <c r="B269" s="35" t="s">
        <v>169</v>
      </c>
      <c r="C269" s="376">
        <v>6</v>
      </c>
      <c r="D269">
        <f t="shared" si="26"/>
        <v>12.5</v>
      </c>
      <c r="E269">
        <f t="shared" si="24"/>
        <v>24000</v>
      </c>
      <c r="F269">
        <f t="shared" si="27"/>
        <v>4080.0000000000005</v>
      </c>
      <c r="G269">
        <f t="shared" si="28"/>
        <v>3916.8</v>
      </c>
      <c r="H269" s="35">
        <f>'More accurate Energy (Solar)'!N264</f>
        <v>3456000</v>
      </c>
      <c r="I269">
        <f t="shared" si="25"/>
        <v>960</v>
      </c>
      <c r="J269">
        <f t="shared" si="29"/>
        <v>2956.8</v>
      </c>
      <c r="K269">
        <f t="shared" si="30"/>
        <v>6000</v>
      </c>
      <c r="L269" t="str">
        <f t="shared" si="31"/>
        <v/>
      </c>
      <c r="O269" s="352"/>
    </row>
    <row r="270" spans="1:15">
      <c r="A270" s="375">
        <v>250</v>
      </c>
      <c r="B270" s="35" t="s">
        <v>169</v>
      </c>
      <c r="C270" s="376">
        <v>7</v>
      </c>
      <c r="D270">
        <f t="shared" si="26"/>
        <v>12.5</v>
      </c>
      <c r="E270">
        <f t="shared" si="24"/>
        <v>24000</v>
      </c>
      <c r="F270">
        <f t="shared" si="27"/>
        <v>4080.0000000000005</v>
      </c>
      <c r="G270">
        <f t="shared" si="28"/>
        <v>3916.8</v>
      </c>
      <c r="H270" s="35">
        <f>'More accurate Energy (Solar)'!N265</f>
        <v>12714219.561755959</v>
      </c>
      <c r="I270">
        <f t="shared" si="25"/>
        <v>3531.727656043322</v>
      </c>
      <c r="J270">
        <f t="shared" si="29"/>
        <v>385.0723439566782</v>
      </c>
      <c r="K270">
        <f t="shared" si="30"/>
        <v>6000</v>
      </c>
      <c r="L270" t="str">
        <f t="shared" si="31"/>
        <v/>
      </c>
      <c r="O270" s="352"/>
    </row>
    <row r="271" spans="1:15">
      <c r="A271" s="375">
        <v>251</v>
      </c>
      <c r="B271" s="35" t="s">
        <v>169</v>
      </c>
      <c r="C271" s="376">
        <v>8</v>
      </c>
      <c r="D271">
        <f t="shared" si="26"/>
        <v>12.5</v>
      </c>
      <c r="E271">
        <f t="shared" si="24"/>
        <v>24000</v>
      </c>
      <c r="F271">
        <f t="shared" si="27"/>
        <v>4080.0000000000005</v>
      </c>
      <c r="G271">
        <f t="shared" si="28"/>
        <v>3916.8</v>
      </c>
      <c r="H271" s="35">
        <f>'More accurate Energy (Solar)'!N266</f>
        <v>12139254.297571084</v>
      </c>
      <c r="I271">
        <f t="shared" si="25"/>
        <v>3372.0150826586341</v>
      </c>
      <c r="J271">
        <f t="shared" si="29"/>
        <v>544.78491734136605</v>
      </c>
      <c r="K271">
        <f t="shared" si="30"/>
        <v>6000</v>
      </c>
      <c r="L271" t="str">
        <f t="shared" si="31"/>
        <v/>
      </c>
      <c r="O271" s="352"/>
    </row>
    <row r="272" spans="1:15">
      <c r="A272" s="375">
        <v>252</v>
      </c>
      <c r="B272" s="35" t="s">
        <v>169</v>
      </c>
      <c r="C272" s="376">
        <v>9</v>
      </c>
      <c r="D272">
        <f t="shared" si="26"/>
        <v>12.5</v>
      </c>
      <c r="E272">
        <f t="shared" si="24"/>
        <v>24000</v>
      </c>
      <c r="F272">
        <f t="shared" si="27"/>
        <v>4080.0000000000005</v>
      </c>
      <c r="G272">
        <f t="shared" si="28"/>
        <v>3916.8</v>
      </c>
      <c r="H272" s="35">
        <f>'More accurate Energy (Solar)'!N267</f>
        <v>6646588.2544741053</v>
      </c>
      <c r="I272">
        <f t="shared" si="25"/>
        <v>1846.2745151316958</v>
      </c>
      <c r="J272">
        <f t="shared" si="29"/>
        <v>2070.5254848683044</v>
      </c>
      <c r="K272">
        <f t="shared" si="30"/>
        <v>6000</v>
      </c>
      <c r="L272" t="str">
        <f t="shared" si="31"/>
        <v/>
      </c>
      <c r="O272" s="352"/>
    </row>
    <row r="273" spans="1:15">
      <c r="A273" s="375">
        <v>253</v>
      </c>
      <c r="B273" s="35" t="s">
        <v>169</v>
      </c>
      <c r="C273" s="376">
        <v>10</v>
      </c>
      <c r="D273">
        <f t="shared" si="26"/>
        <v>12.5</v>
      </c>
      <c r="E273">
        <f t="shared" si="24"/>
        <v>24000</v>
      </c>
      <c r="F273">
        <f t="shared" si="27"/>
        <v>4080.0000000000005</v>
      </c>
      <c r="G273">
        <f t="shared" si="28"/>
        <v>3916.8</v>
      </c>
      <c r="H273" s="35">
        <f>'More accurate Energy (Solar)'!N268</f>
        <v>3456000</v>
      </c>
      <c r="I273">
        <f t="shared" si="25"/>
        <v>960</v>
      </c>
      <c r="J273">
        <f t="shared" si="29"/>
        <v>2956.8</v>
      </c>
      <c r="K273">
        <f t="shared" si="30"/>
        <v>6000</v>
      </c>
      <c r="L273" t="str">
        <f t="shared" si="31"/>
        <v/>
      </c>
      <c r="O273" s="352"/>
    </row>
    <row r="274" spans="1:15">
      <c r="A274" s="375">
        <v>254</v>
      </c>
      <c r="B274" s="35" t="s">
        <v>169</v>
      </c>
      <c r="C274" s="376">
        <v>11</v>
      </c>
      <c r="D274">
        <f t="shared" si="26"/>
        <v>12.5</v>
      </c>
      <c r="E274">
        <f t="shared" si="24"/>
        <v>24000</v>
      </c>
      <c r="F274">
        <f t="shared" si="27"/>
        <v>4080.0000000000005</v>
      </c>
      <c r="G274">
        <f t="shared" si="28"/>
        <v>3916.8</v>
      </c>
      <c r="H274" s="35">
        <f>'More accurate Energy (Solar)'!N269</f>
        <v>3456000</v>
      </c>
      <c r="I274">
        <f t="shared" si="25"/>
        <v>960</v>
      </c>
      <c r="J274">
        <f t="shared" si="29"/>
        <v>2956.8</v>
      </c>
      <c r="K274">
        <f t="shared" si="30"/>
        <v>6000</v>
      </c>
      <c r="L274" t="str">
        <f t="shared" si="31"/>
        <v/>
      </c>
      <c r="O274" s="352"/>
    </row>
    <row r="275" spans="1:15">
      <c r="A275" s="375">
        <v>255</v>
      </c>
      <c r="B275" s="35" t="s">
        <v>169</v>
      </c>
      <c r="C275" s="376">
        <v>12</v>
      </c>
      <c r="D275">
        <f t="shared" si="26"/>
        <v>12.5</v>
      </c>
      <c r="E275">
        <f t="shared" si="24"/>
        <v>24000</v>
      </c>
      <c r="F275">
        <f t="shared" si="27"/>
        <v>4080.0000000000005</v>
      </c>
      <c r="G275">
        <f t="shared" si="28"/>
        <v>3916.8</v>
      </c>
      <c r="H275" s="35">
        <f>'More accurate Energy (Solar)'!N270</f>
        <v>3456000</v>
      </c>
      <c r="I275">
        <f t="shared" si="25"/>
        <v>960</v>
      </c>
      <c r="J275">
        <f t="shared" si="29"/>
        <v>2956.8</v>
      </c>
      <c r="K275">
        <f t="shared" si="30"/>
        <v>6000</v>
      </c>
      <c r="L275" t="str">
        <f t="shared" si="31"/>
        <v/>
      </c>
      <c r="O275" s="352"/>
    </row>
    <row r="276" spans="1:15">
      <c r="A276" s="375">
        <v>256</v>
      </c>
      <c r="B276" s="35" t="s">
        <v>169</v>
      </c>
      <c r="C276" s="376">
        <v>13</v>
      </c>
      <c r="D276">
        <f t="shared" si="26"/>
        <v>12.5</v>
      </c>
      <c r="E276">
        <f t="shared" si="24"/>
        <v>24000</v>
      </c>
      <c r="F276">
        <f t="shared" si="27"/>
        <v>4080.0000000000005</v>
      </c>
      <c r="G276">
        <f t="shared" si="28"/>
        <v>3916.8</v>
      </c>
      <c r="H276" s="35">
        <f>'More accurate Energy (Solar)'!N271</f>
        <v>3456000</v>
      </c>
      <c r="I276">
        <f t="shared" si="25"/>
        <v>960</v>
      </c>
      <c r="J276">
        <f t="shared" si="29"/>
        <v>2956.8</v>
      </c>
      <c r="K276">
        <f t="shared" si="30"/>
        <v>6000</v>
      </c>
      <c r="L276" t="str">
        <f t="shared" si="31"/>
        <v/>
      </c>
      <c r="O276" s="352"/>
    </row>
    <row r="277" spans="1:15">
      <c r="A277" s="375">
        <v>257</v>
      </c>
      <c r="B277" s="35" t="s">
        <v>169</v>
      </c>
      <c r="C277" s="376">
        <v>14</v>
      </c>
      <c r="D277">
        <f t="shared" si="26"/>
        <v>12.5</v>
      </c>
      <c r="E277">
        <f t="shared" ref="E277:E340" si="32">$B$3*$H$1*$B$8*D277</f>
        <v>24000</v>
      </c>
      <c r="F277">
        <f t="shared" si="27"/>
        <v>4080.0000000000005</v>
      </c>
      <c r="G277">
        <f t="shared" si="28"/>
        <v>3916.8</v>
      </c>
      <c r="H277" s="35">
        <f>'More accurate Energy (Solar)'!N272</f>
        <v>3456000</v>
      </c>
      <c r="I277">
        <f t="shared" ref="I277:I340" si="33">H277/3600</f>
        <v>960</v>
      </c>
      <c r="J277">
        <f t="shared" si="29"/>
        <v>2956.8</v>
      </c>
      <c r="K277">
        <f t="shared" si="30"/>
        <v>6000</v>
      </c>
      <c r="L277" t="str">
        <f t="shared" si="31"/>
        <v/>
      </c>
      <c r="O277" s="352"/>
    </row>
    <row r="278" spans="1:15">
      <c r="A278" s="375">
        <v>258</v>
      </c>
      <c r="B278" s="35" t="s">
        <v>169</v>
      </c>
      <c r="C278" s="376">
        <v>15</v>
      </c>
      <c r="D278">
        <f t="shared" ref="D278:D341" si="34">INDEX($M$4:$M$15,MATCH(B278,$L$4:$L$15,0))</f>
        <v>12.5</v>
      </c>
      <c r="E278">
        <f t="shared" si="32"/>
        <v>24000</v>
      </c>
      <c r="F278">
        <f t="shared" ref="F278:F341" si="35">E278*$B$5</f>
        <v>4080.0000000000005</v>
      </c>
      <c r="G278">
        <f t="shared" ref="G278:G341" si="36">F278*$F$4</f>
        <v>3916.8</v>
      </c>
      <c r="H278" s="35">
        <f>'More accurate Energy (Solar)'!N273</f>
        <v>7201762.0281428508</v>
      </c>
      <c r="I278">
        <f t="shared" si="33"/>
        <v>2000.4894522619031</v>
      </c>
      <c r="J278">
        <f t="shared" ref="J278:J341" si="37">G278-I278</f>
        <v>1916.3105477380971</v>
      </c>
      <c r="K278">
        <f t="shared" ref="K278:K341" si="38">MIN(MAX(K277+J277,0),$F$3*$F$6)</f>
        <v>6000</v>
      </c>
      <c r="L278" t="str">
        <f t="shared" ref="L278:L341" si="39">IF(K278 = 0, 1, "")</f>
        <v/>
      </c>
      <c r="O278" s="352"/>
    </row>
    <row r="279" spans="1:15">
      <c r="A279" s="375">
        <v>259</v>
      </c>
      <c r="B279" s="35" t="s">
        <v>169</v>
      </c>
      <c r="C279" s="376">
        <v>16</v>
      </c>
      <c r="D279">
        <f t="shared" si="34"/>
        <v>12.5</v>
      </c>
      <c r="E279">
        <f t="shared" si="32"/>
        <v>24000</v>
      </c>
      <c r="F279">
        <f t="shared" si="35"/>
        <v>4080.0000000000005</v>
      </c>
      <c r="G279">
        <f t="shared" si="36"/>
        <v>3916.8</v>
      </c>
      <c r="H279" s="35">
        <f>'More accurate Energy (Solar)'!N274</f>
        <v>8571429.8311990388</v>
      </c>
      <c r="I279">
        <f t="shared" si="33"/>
        <v>2380.9527308886218</v>
      </c>
      <c r="J279">
        <f t="shared" si="37"/>
        <v>1535.8472691113784</v>
      </c>
      <c r="K279">
        <f t="shared" si="38"/>
        <v>6000</v>
      </c>
      <c r="L279" t="str">
        <f t="shared" si="39"/>
        <v/>
      </c>
      <c r="O279" s="352"/>
    </row>
    <row r="280" spans="1:15">
      <c r="A280" s="375">
        <v>260</v>
      </c>
      <c r="B280" s="35" t="s">
        <v>169</v>
      </c>
      <c r="C280" s="376">
        <v>17</v>
      </c>
      <c r="D280">
        <f t="shared" si="34"/>
        <v>12.5</v>
      </c>
      <c r="E280">
        <f t="shared" si="32"/>
        <v>24000</v>
      </c>
      <c r="F280">
        <f t="shared" si="35"/>
        <v>4080.0000000000005</v>
      </c>
      <c r="G280">
        <f t="shared" si="36"/>
        <v>3916.8</v>
      </c>
      <c r="H280" s="35">
        <f>'More accurate Energy (Solar)'!N275</f>
        <v>7813618.2510619583</v>
      </c>
      <c r="I280">
        <f t="shared" si="33"/>
        <v>2170.4495141838775</v>
      </c>
      <c r="J280">
        <f t="shared" si="37"/>
        <v>1746.3504858161227</v>
      </c>
      <c r="K280">
        <f t="shared" si="38"/>
        <v>6000</v>
      </c>
      <c r="L280" t="str">
        <f t="shared" si="39"/>
        <v/>
      </c>
      <c r="O280" s="352"/>
    </row>
    <row r="281" spans="1:15">
      <c r="A281" s="375">
        <v>261</v>
      </c>
      <c r="B281" s="35" t="s">
        <v>169</v>
      </c>
      <c r="C281" s="376">
        <v>18</v>
      </c>
      <c r="D281">
        <f t="shared" si="34"/>
        <v>12.5</v>
      </c>
      <c r="E281">
        <f t="shared" si="32"/>
        <v>24000</v>
      </c>
      <c r="F281">
        <f t="shared" si="35"/>
        <v>4080.0000000000005</v>
      </c>
      <c r="G281">
        <f t="shared" si="36"/>
        <v>3916.8</v>
      </c>
      <c r="H281" s="35">
        <f>'More accurate Energy (Solar)'!N276</f>
        <v>12714219.561755959</v>
      </c>
      <c r="I281">
        <f t="shared" si="33"/>
        <v>3531.727656043322</v>
      </c>
      <c r="J281">
        <f t="shared" si="37"/>
        <v>385.0723439566782</v>
      </c>
      <c r="K281">
        <f t="shared" si="38"/>
        <v>6000</v>
      </c>
      <c r="L281" t="str">
        <f t="shared" si="39"/>
        <v/>
      </c>
      <c r="O281" s="352"/>
    </row>
    <row r="282" spans="1:15">
      <c r="A282" s="375">
        <v>262</v>
      </c>
      <c r="B282" s="35" t="s">
        <v>169</v>
      </c>
      <c r="C282" s="376">
        <v>19</v>
      </c>
      <c r="D282">
        <f t="shared" si="34"/>
        <v>12.5</v>
      </c>
      <c r="E282">
        <f t="shared" si="32"/>
        <v>24000</v>
      </c>
      <c r="F282">
        <f t="shared" si="35"/>
        <v>4080.0000000000005</v>
      </c>
      <c r="G282">
        <f t="shared" si="36"/>
        <v>3916.8</v>
      </c>
      <c r="H282" s="35">
        <f>'More accurate Energy (Solar)'!N277</f>
        <v>12714219.561755959</v>
      </c>
      <c r="I282">
        <f t="shared" si="33"/>
        <v>3531.727656043322</v>
      </c>
      <c r="J282">
        <f t="shared" si="37"/>
        <v>385.0723439566782</v>
      </c>
      <c r="K282">
        <f t="shared" si="38"/>
        <v>6000</v>
      </c>
      <c r="L282" t="str">
        <f t="shared" si="39"/>
        <v/>
      </c>
      <c r="O282" s="352"/>
    </row>
    <row r="283" spans="1:15">
      <c r="A283" s="375">
        <v>263</v>
      </c>
      <c r="B283" s="35" t="s">
        <v>169</v>
      </c>
      <c r="C283" s="376">
        <v>20</v>
      </c>
      <c r="D283">
        <f t="shared" si="34"/>
        <v>12.5</v>
      </c>
      <c r="E283">
        <f t="shared" si="32"/>
        <v>24000</v>
      </c>
      <c r="F283">
        <f t="shared" si="35"/>
        <v>4080.0000000000005</v>
      </c>
      <c r="G283">
        <f t="shared" si="36"/>
        <v>3916.8</v>
      </c>
      <c r="H283" s="35">
        <f>'More accurate Energy (Solar)'!N278</f>
        <v>6646588.2544741053</v>
      </c>
      <c r="I283">
        <f t="shared" si="33"/>
        <v>1846.2745151316958</v>
      </c>
      <c r="J283">
        <f t="shared" si="37"/>
        <v>2070.5254848683044</v>
      </c>
      <c r="K283">
        <f t="shared" si="38"/>
        <v>6000</v>
      </c>
      <c r="L283" t="str">
        <f t="shared" si="39"/>
        <v/>
      </c>
      <c r="O283" s="352"/>
    </row>
    <row r="284" spans="1:15">
      <c r="A284" s="375">
        <v>264</v>
      </c>
      <c r="B284" s="35" t="s">
        <v>169</v>
      </c>
      <c r="C284" s="376">
        <v>21</v>
      </c>
      <c r="D284">
        <f t="shared" si="34"/>
        <v>12.5</v>
      </c>
      <c r="E284">
        <f t="shared" si="32"/>
        <v>24000</v>
      </c>
      <c r="F284">
        <f t="shared" si="35"/>
        <v>4080.0000000000005</v>
      </c>
      <c r="G284">
        <f t="shared" si="36"/>
        <v>3916.8</v>
      </c>
      <c r="H284" s="35">
        <f>'More accurate Energy (Solar)'!N279</f>
        <v>8684837.6852740273</v>
      </c>
      <c r="I284">
        <f t="shared" si="33"/>
        <v>2412.4549125761187</v>
      </c>
      <c r="J284">
        <f t="shared" si="37"/>
        <v>1504.3450874238815</v>
      </c>
      <c r="K284">
        <f t="shared" si="38"/>
        <v>6000</v>
      </c>
      <c r="L284" t="str">
        <f t="shared" si="39"/>
        <v/>
      </c>
      <c r="O284" s="352"/>
    </row>
    <row r="285" spans="1:15">
      <c r="A285" s="375">
        <v>265</v>
      </c>
      <c r="B285" s="35" t="s">
        <v>169</v>
      </c>
      <c r="C285" s="376">
        <v>22</v>
      </c>
      <c r="D285">
        <f t="shared" si="34"/>
        <v>12.5</v>
      </c>
      <c r="E285">
        <f t="shared" si="32"/>
        <v>24000</v>
      </c>
      <c r="F285">
        <f t="shared" si="35"/>
        <v>4080.0000000000005</v>
      </c>
      <c r="G285">
        <f t="shared" si="36"/>
        <v>3916.8</v>
      </c>
      <c r="H285" s="35">
        <f>'More accurate Energy (Solar)'!N280</f>
        <v>12714219.561755959</v>
      </c>
      <c r="I285">
        <f t="shared" si="33"/>
        <v>3531.727656043322</v>
      </c>
      <c r="J285">
        <f t="shared" si="37"/>
        <v>385.0723439566782</v>
      </c>
      <c r="K285">
        <f t="shared" si="38"/>
        <v>6000</v>
      </c>
      <c r="L285" t="str">
        <f t="shared" si="39"/>
        <v/>
      </c>
      <c r="O285" s="352"/>
    </row>
    <row r="286" spans="1:15">
      <c r="A286" s="375">
        <v>266</v>
      </c>
      <c r="B286" s="35" t="s">
        <v>169</v>
      </c>
      <c r="C286" s="376">
        <v>23</v>
      </c>
      <c r="D286">
        <f t="shared" si="34"/>
        <v>12.5</v>
      </c>
      <c r="E286">
        <f t="shared" si="32"/>
        <v>24000</v>
      </c>
      <c r="F286">
        <f t="shared" si="35"/>
        <v>4080.0000000000005</v>
      </c>
      <c r="G286">
        <f t="shared" si="36"/>
        <v>3916.8</v>
      </c>
      <c r="H286" s="35">
        <f>'More accurate Energy (Solar)'!N281</f>
        <v>12714219.561755959</v>
      </c>
      <c r="I286">
        <f t="shared" si="33"/>
        <v>3531.727656043322</v>
      </c>
      <c r="J286">
        <f t="shared" si="37"/>
        <v>385.0723439566782</v>
      </c>
      <c r="K286">
        <f t="shared" si="38"/>
        <v>6000</v>
      </c>
      <c r="L286" t="str">
        <f t="shared" si="39"/>
        <v/>
      </c>
      <c r="O286" s="352"/>
    </row>
    <row r="287" spans="1:15">
      <c r="A287" s="375">
        <v>267</v>
      </c>
      <c r="B287" s="35" t="s">
        <v>169</v>
      </c>
      <c r="C287" s="376">
        <v>24</v>
      </c>
      <c r="D287">
        <f t="shared" si="34"/>
        <v>12.5</v>
      </c>
      <c r="E287">
        <f t="shared" si="32"/>
        <v>24000</v>
      </c>
      <c r="F287">
        <f t="shared" si="35"/>
        <v>4080.0000000000005</v>
      </c>
      <c r="G287">
        <f t="shared" si="36"/>
        <v>3916.8</v>
      </c>
      <c r="H287" s="35">
        <f>'More accurate Energy (Solar)'!N282</f>
        <v>11770341.799126606</v>
      </c>
      <c r="I287">
        <f t="shared" si="33"/>
        <v>3269.5393886462793</v>
      </c>
      <c r="J287">
        <f t="shared" si="37"/>
        <v>647.26061135372083</v>
      </c>
      <c r="K287">
        <f t="shared" si="38"/>
        <v>6000</v>
      </c>
      <c r="L287" t="str">
        <f t="shared" si="39"/>
        <v/>
      </c>
      <c r="O287" s="352"/>
    </row>
    <row r="288" spans="1:15">
      <c r="A288" s="375">
        <v>268</v>
      </c>
      <c r="B288" s="35" t="s">
        <v>169</v>
      </c>
      <c r="C288" s="376">
        <v>25</v>
      </c>
      <c r="D288">
        <f t="shared" si="34"/>
        <v>12.5</v>
      </c>
      <c r="E288">
        <f t="shared" si="32"/>
        <v>24000</v>
      </c>
      <c r="F288">
        <f t="shared" si="35"/>
        <v>4080.0000000000005</v>
      </c>
      <c r="G288">
        <f t="shared" si="36"/>
        <v>3916.8</v>
      </c>
      <c r="H288" s="35">
        <f>'More accurate Energy (Solar)'!N283</f>
        <v>6844090.3619094864</v>
      </c>
      <c r="I288">
        <f t="shared" si="33"/>
        <v>1901.1362116415239</v>
      </c>
      <c r="J288">
        <f t="shared" si="37"/>
        <v>2015.6637883584763</v>
      </c>
      <c r="K288">
        <f t="shared" si="38"/>
        <v>6000</v>
      </c>
      <c r="L288" t="str">
        <f t="shared" si="39"/>
        <v/>
      </c>
      <c r="O288" s="352"/>
    </row>
    <row r="289" spans="1:15">
      <c r="A289" s="375">
        <v>269</v>
      </c>
      <c r="B289" s="35" t="s">
        <v>169</v>
      </c>
      <c r="C289" s="376">
        <v>26</v>
      </c>
      <c r="D289">
        <f t="shared" si="34"/>
        <v>12.5</v>
      </c>
      <c r="E289">
        <f t="shared" si="32"/>
        <v>24000</v>
      </c>
      <c r="F289">
        <f t="shared" si="35"/>
        <v>4080.0000000000005</v>
      </c>
      <c r="G289">
        <f t="shared" si="36"/>
        <v>3916.8</v>
      </c>
      <c r="H289" s="35">
        <f>'More accurate Energy (Solar)'!N284</f>
        <v>3456000</v>
      </c>
      <c r="I289">
        <f t="shared" si="33"/>
        <v>960</v>
      </c>
      <c r="J289">
        <f t="shared" si="37"/>
        <v>2956.8</v>
      </c>
      <c r="K289">
        <f t="shared" si="38"/>
        <v>6000</v>
      </c>
      <c r="L289" t="str">
        <f t="shared" si="39"/>
        <v/>
      </c>
      <c r="O289" s="352"/>
    </row>
    <row r="290" spans="1:15">
      <c r="A290" s="375">
        <v>270</v>
      </c>
      <c r="B290" s="35" t="s">
        <v>169</v>
      </c>
      <c r="C290" s="376">
        <v>27</v>
      </c>
      <c r="D290">
        <f t="shared" si="34"/>
        <v>12.5</v>
      </c>
      <c r="E290">
        <f t="shared" si="32"/>
        <v>24000</v>
      </c>
      <c r="F290">
        <f t="shared" si="35"/>
        <v>4080.0000000000005</v>
      </c>
      <c r="G290">
        <f t="shared" si="36"/>
        <v>3916.8</v>
      </c>
      <c r="H290" s="35">
        <f>'More accurate Energy (Solar)'!N285</f>
        <v>3456000</v>
      </c>
      <c r="I290">
        <f t="shared" si="33"/>
        <v>960</v>
      </c>
      <c r="J290">
        <f t="shared" si="37"/>
        <v>2956.8</v>
      </c>
      <c r="K290">
        <f t="shared" si="38"/>
        <v>6000</v>
      </c>
      <c r="L290" t="str">
        <f t="shared" si="39"/>
        <v/>
      </c>
      <c r="O290" s="352"/>
    </row>
    <row r="291" spans="1:15">
      <c r="A291" s="375">
        <v>271</v>
      </c>
      <c r="B291" s="35" t="s">
        <v>169</v>
      </c>
      <c r="C291" s="376">
        <v>28</v>
      </c>
      <c r="D291">
        <f t="shared" si="34"/>
        <v>12.5</v>
      </c>
      <c r="E291">
        <f t="shared" si="32"/>
        <v>24000</v>
      </c>
      <c r="F291">
        <f t="shared" si="35"/>
        <v>4080.0000000000005</v>
      </c>
      <c r="G291">
        <f t="shared" si="36"/>
        <v>3916.8</v>
      </c>
      <c r="H291" s="35">
        <f>'More accurate Energy (Solar)'!N286</f>
        <v>3456000</v>
      </c>
      <c r="I291">
        <f t="shared" si="33"/>
        <v>960</v>
      </c>
      <c r="J291">
        <f t="shared" si="37"/>
        <v>2956.8</v>
      </c>
      <c r="K291">
        <f t="shared" si="38"/>
        <v>6000</v>
      </c>
      <c r="L291" t="str">
        <f t="shared" si="39"/>
        <v/>
      </c>
      <c r="O291" s="352"/>
    </row>
    <row r="292" spans="1:15">
      <c r="A292" s="375">
        <v>272</v>
      </c>
      <c r="B292" s="35" t="s">
        <v>169</v>
      </c>
      <c r="C292" s="376">
        <v>29</v>
      </c>
      <c r="D292">
        <f t="shared" si="34"/>
        <v>12.5</v>
      </c>
      <c r="E292">
        <f t="shared" si="32"/>
        <v>24000</v>
      </c>
      <c r="F292">
        <f t="shared" si="35"/>
        <v>4080.0000000000005</v>
      </c>
      <c r="G292">
        <f t="shared" si="36"/>
        <v>3916.8</v>
      </c>
      <c r="H292" s="35">
        <f>'More accurate Energy (Solar)'!N287</f>
        <v>3456000</v>
      </c>
      <c r="I292">
        <f t="shared" si="33"/>
        <v>960</v>
      </c>
      <c r="J292">
        <f t="shared" si="37"/>
        <v>2956.8</v>
      </c>
      <c r="K292">
        <f t="shared" si="38"/>
        <v>6000</v>
      </c>
      <c r="L292" t="str">
        <f t="shared" si="39"/>
        <v/>
      </c>
      <c r="O292" s="352"/>
    </row>
    <row r="293" spans="1:15">
      <c r="A293" s="375">
        <v>273</v>
      </c>
      <c r="B293" s="35" t="s">
        <v>169</v>
      </c>
      <c r="C293" s="376">
        <v>30</v>
      </c>
      <c r="D293">
        <f t="shared" si="34"/>
        <v>12.5</v>
      </c>
      <c r="E293">
        <f t="shared" si="32"/>
        <v>24000</v>
      </c>
      <c r="F293">
        <f t="shared" si="35"/>
        <v>4080.0000000000005</v>
      </c>
      <c r="G293">
        <f t="shared" si="36"/>
        <v>3916.8</v>
      </c>
      <c r="H293" s="35">
        <f>'More accurate Energy (Solar)'!N288</f>
        <v>3456000</v>
      </c>
      <c r="I293">
        <f t="shared" si="33"/>
        <v>960</v>
      </c>
      <c r="J293">
        <f t="shared" si="37"/>
        <v>2956.8</v>
      </c>
      <c r="K293">
        <f t="shared" si="38"/>
        <v>6000</v>
      </c>
      <c r="L293" t="str">
        <f t="shared" si="39"/>
        <v/>
      </c>
      <c r="O293" s="352"/>
    </row>
    <row r="294" spans="1:15">
      <c r="A294" s="375">
        <v>274</v>
      </c>
      <c r="B294" s="35" t="s">
        <v>170</v>
      </c>
      <c r="C294" s="376">
        <v>1</v>
      </c>
      <c r="D294">
        <f t="shared" si="34"/>
        <v>10.75</v>
      </c>
      <c r="E294">
        <f t="shared" si="32"/>
        <v>20640</v>
      </c>
      <c r="F294">
        <f t="shared" si="35"/>
        <v>3508.8</v>
      </c>
      <c r="G294">
        <f t="shared" si="36"/>
        <v>3368.4479999999999</v>
      </c>
      <c r="H294" s="35">
        <f>'More accurate Energy (Solar)'!N289</f>
        <v>3456000</v>
      </c>
      <c r="I294">
        <f t="shared" si="33"/>
        <v>960</v>
      </c>
      <c r="J294">
        <f t="shared" si="37"/>
        <v>2408.4479999999999</v>
      </c>
      <c r="K294">
        <f t="shared" si="38"/>
        <v>6000</v>
      </c>
      <c r="L294" t="str">
        <f t="shared" si="39"/>
        <v/>
      </c>
      <c r="O294" s="352"/>
    </row>
    <row r="295" spans="1:15">
      <c r="A295" s="375">
        <v>275</v>
      </c>
      <c r="B295" s="35" t="s">
        <v>170</v>
      </c>
      <c r="C295" s="376">
        <v>2</v>
      </c>
      <c r="D295">
        <f t="shared" si="34"/>
        <v>10.75</v>
      </c>
      <c r="E295">
        <f t="shared" si="32"/>
        <v>20640</v>
      </c>
      <c r="F295">
        <f t="shared" si="35"/>
        <v>3508.8</v>
      </c>
      <c r="G295">
        <f t="shared" si="36"/>
        <v>3368.4479999999999</v>
      </c>
      <c r="H295" s="35">
        <f>'More accurate Energy (Solar)'!N290</f>
        <v>3456000</v>
      </c>
      <c r="I295">
        <f t="shared" si="33"/>
        <v>960</v>
      </c>
      <c r="J295">
        <f t="shared" si="37"/>
        <v>2408.4479999999999</v>
      </c>
      <c r="K295">
        <f t="shared" si="38"/>
        <v>6000</v>
      </c>
      <c r="L295" t="str">
        <f t="shared" si="39"/>
        <v/>
      </c>
      <c r="O295" s="352"/>
    </row>
    <row r="296" spans="1:15">
      <c r="A296" s="375">
        <v>276</v>
      </c>
      <c r="B296" s="35" t="s">
        <v>170</v>
      </c>
      <c r="C296" s="376">
        <v>3</v>
      </c>
      <c r="D296">
        <f t="shared" si="34"/>
        <v>10.75</v>
      </c>
      <c r="E296">
        <f t="shared" si="32"/>
        <v>20640</v>
      </c>
      <c r="F296">
        <f t="shared" si="35"/>
        <v>3508.8</v>
      </c>
      <c r="G296">
        <f t="shared" si="36"/>
        <v>3368.4479999999999</v>
      </c>
      <c r="H296" s="35">
        <f>'More accurate Energy (Solar)'!N291</f>
        <v>3456000</v>
      </c>
      <c r="I296">
        <f t="shared" si="33"/>
        <v>960</v>
      </c>
      <c r="J296">
        <f t="shared" si="37"/>
        <v>2408.4479999999999</v>
      </c>
      <c r="K296">
        <f t="shared" si="38"/>
        <v>6000</v>
      </c>
      <c r="L296" t="str">
        <f t="shared" si="39"/>
        <v/>
      </c>
      <c r="O296" s="352"/>
    </row>
    <row r="297" spans="1:15">
      <c r="A297" s="375">
        <v>277</v>
      </c>
      <c r="B297" s="35" t="s">
        <v>170</v>
      </c>
      <c r="C297" s="376">
        <v>4</v>
      </c>
      <c r="D297">
        <f t="shared" si="34"/>
        <v>10.75</v>
      </c>
      <c r="E297">
        <f t="shared" si="32"/>
        <v>20640</v>
      </c>
      <c r="F297">
        <f t="shared" si="35"/>
        <v>3508.8</v>
      </c>
      <c r="G297">
        <f t="shared" si="36"/>
        <v>3368.4479999999999</v>
      </c>
      <c r="H297" s="35">
        <f>'More accurate Energy (Solar)'!N292</f>
        <v>3456000</v>
      </c>
      <c r="I297">
        <f t="shared" si="33"/>
        <v>960</v>
      </c>
      <c r="J297">
        <f t="shared" si="37"/>
        <v>2408.4479999999999</v>
      </c>
      <c r="K297">
        <f t="shared" si="38"/>
        <v>6000</v>
      </c>
      <c r="L297" t="str">
        <f t="shared" si="39"/>
        <v/>
      </c>
      <c r="O297" s="352"/>
    </row>
    <row r="298" spans="1:15">
      <c r="A298" s="375">
        <v>278</v>
      </c>
      <c r="B298" s="35" t="s">
        <v>170</v>
      </c>
      <c r="C298" s="376">
        <v>5</v>
      </c>
      <c r="D298">
        <f t="shared" si="34"/>
        <v>10.75</v>
      </c>
      <c r="E298">
        <f t="shared" si="32"/>
        <v>20640</v>
      </c>
      <c r="F298">
        <f t="shared" si="35"/>
        <v>3508.8</v>
      </c>
      <c r="G298">
        <f t="shared" si="36"/>
        <v>3368.4479999999999</v>
      </c>
      <c r="H298" s="35">
        <f>'More accurate Energy (Solar)'!N293</f>
        <v>3456000</v>
      </c>
      <c r="I298">
        <f t="shared" si="33"/>
        <v>960</v>
      </c>
      <c r="J298">
        <f t="shared" si="37"/>
        <v>2408.4479999999999</v>
      </c>
      <c r="K298">
        <f t="shared" si="38"/>
        <v>6000</v>
      </c>
      <c r="L298" t="str">
        <f t="shared" si="39"/>
        <v/>
      </c>
      <c r="O298" s="352"/>
    </row>
    <row r="299" spans="1:15">
      <c r="A299" s="375">
        <v>279</v>
      </c>
      <c r="B299" s="35" t="s">
        <v>170</v>
      </c>
      <c r="C299" s="376">
        <v>6</v>
      </c>
      <c r="D299">
        <f t="shared" si="34"/>
        <v>10.75</v>
      </c>
      <c r="E299">
        <f t="shared" si="32"/>
        <v>20640</v>
      </c>
      <c r="F299">
        <f t="shared" si="35"/>
        <v>3508.8</v>
      </c>
      <c r="G299">
        <f t="shared" si="36"/>
        <v>3368.4479999999999</v>
      </c>
      <c r="H299" s="35">
        <f>'More accurate Energy (Solar)'!N294</f>
        <v>8571429.8311990388</v>
      </c>
      <c r="I299">
        <f t="shared" si="33"/>
        <v>2380.9527308886218</v>
      </c>
      <c r="J299">
        <f t="shared" si="37"/>
        <v>987.49526911137809</v>
      </c>
      <c r="K299">
        <f t="shared" si="38"/>
        <v>6000</v>
      </c>
      <c r="L299" t="str">
        <f t="shared" si="39"/>
        <v/>
      </c>
      <c r="O299" s="352"/>
    </row>
    <row r="300" spans="1:15">
      <c r="A300" s="375">
        <v>280</v>
      </c>
      <c r="B300" s="35" t="s">
        <v>170</v>
      </c>
      <c r="C300" s="376">
        <v>7</v>
      </c>
      <c r="D300">
        <f t="shared" si="34"/>
        <v>10.75</v>
      </c>
      <c r="E300">
        <f t="shared" si="32"/>
        <v>20640</v>
      </c>
      <c r="F300">
        <f t="shared" si="35"/>
        <v>3508.8</v>
      </c>
      <c r="G300">
        <f t="shared" si="36"/>
        <v>3368.4479999999999</v>
      </c>
      <c r="H300" s="35">
        <f>'More accurate Energy (Solar)'!N295</f>
        <v>12714219.561755959</v>
      </c>
      <c r="I300">
        <f t="shared" si="33"/>
        <v>3531.727656043322</v>
      </c>
      <c r="J300">
        <f t="shared" si="37"/>
        <v>-163.27965604332212</v>
      </c>
      <c r="K300">
        <f t="shared" si="38"/>
        <v>6000</v>
      </c>
      <c r="L300" t="str">
        <f t="shared" si="39"/>
        <v/>
      </c>
      <c r="O300" s="352"/>
    </row>
    <row r="301" spans="1:15">
      <c r="A301" s="375">
        <v>281</v>
      </c>
      <c r="B301" s="35" t="s">
        <v>170</v>
      </c>
      <c r="C301" s="376">
        <v>8</v>
      </c>
      <c r="D301">
        <f t="shared" si="34"/>
        <v>10.75</v>
      </c>
      <c r="E301">
        <f t="shared" si="32"/>
        <v>20640</v>
      </c>
      <c r="F301">
        <f t="shared" si="35"/>
        <v>3508.8</v>
      </c>
      <c r="G301">
        <f t="shared" si="36"/>
        <v>3368.4479999999999</v>
      </c>
      <c r="H301" s="35">
        <f>'More accurate Energy (Solar)'!N296</f>
        <v>10892071.633195836</v>
      </c>
      <c r="I301">
        <f t="shared" si="33"/>
        <v>3025.5754536655099</v>
      </c>
      <c r="J301">
        <f t="shared" si="37"/>
        <v>342.87254633448993</v>
      </c>
      <c r="K301">
        <f t="shared" si="38"/>
        <v>5836.7203439566783</v>
      </c>
      <c r="L301" t="str">
        <f t="shared" si="39"/>
        <v/>
      </c>
      <c r="O301" s="352"/>
    </row>
    <row r="302" spans="1:15">
      <c r="A302" s="375">
        <v>282</v>
      </c>
      <c r="B302" s="35" t="s">
        <v>170</v>
      </c>
      <c r="C302" s="376">
        <v>9</v>
      </c>
      <c r="D302">
        <f t="shared" si="34"/>
        <v>10.75</v>
      </c>
      <c r="E302">
        <f t="shared" si="32"/>
        <v>20640</v>
      </c>
      <c r="F302">
        <f t="shared" si="35"/>
        <v>3508.8</v>
      </c>
      <c r="G302">
        <f t="shared" si="36"/>
        <v>3368.4479999999999</v>
      </c>
      <c r="H302" s="35">
        <f>'More accurate Energy (Solar)'!N297</f>
        <v>12714219.561755959</v>
      </c>
      <c r="I302">
        <f t="shared" si="33"/>
        <v>3531.727656043322</v>
      </c>
      <c r="J302">
        <f t="shared" si="37"/>
        <v>-163.27965604332212</v>
      </c>
      <c r="K302">
        <f t="shared" si="38"/>
        <v>6000</v>
      </c>
      <c r="L302" t="str">
        <f t="shared" si="39"/>
        <v/>
      </c>
      <c r="O302" s="352"/>
    </row>
    <row r="303" spans="1:15">
      <c r="A303" s="375">
        <v>283</v>
      </c>
      <c r="B303" s="35" t="s">
        <v>170</v>
      </c>
      <c r="C303" s="376">
        <v>10</v>
      </c>
      <c r="D303">
        <f t="shared" si="34"/>
        <v>10.75</v>
      </c>
      <c r="E303">
        <f t="shared" si="32"/>
        <v>20640</v>
      </c>
      <c r="F303">
        <f t="shared" si="35"/>
        <v>3508.8</v>
      </c>
      <c r="G303">
        <f t="shared" si="36"/>
        <v>3368.4479999999999</v>
      </c>
      <c r="H303" s="35">
        <f>'More accurate Energy (Solar)'!N298</f>
        <v>12714219.561755959</v>
      </c>
      <c r="I303">
        <f t="shared" si="33"/>
        <v>3531.727656043322</v>
      </c>
      <c r="J303">
        <f t="shared" si="37"/>
        <v>-163.27965604332212</v>
      </c>
      <c r="K303">
        <f t="shared" si="38"/>
        <v>5836.7203439566783</v>
      </c>
      <c r="L303" t="str">
        <f t="shared" si="39"/>
        <v/>
      </c>
      <c r="O303" s="352"/>
    </row>
    <row r="304" spans="1:15">
      <c r="A304" s="375">
        <v>284</v>
      </c>
      <c r="B304" s="35" t="s">
        <v>170</v>
      </c>
      <c r="C304" s="376">
        <v>11</v>
      </c>
      <c r="D304">
        <f t="shared" si="34"/>
        <v>10.75</v>
      </c>
      <c r="E304">
        <f t="shared" si="32"/>
        <v>20640</v>
      </c>
      <c r="F304">
        <f t="shared" si="35"/>
        <v>3508.8</v>
      </c>
      <c r="G304">
        <f t="shared" si="36"/>
        <v>3368.4479999999999</v>
      </c>
      <c r="H304" s="35">
        <f>'More accurate Energy (Solar)'!N299</f>
        <v>12714219.561755959</v>
      </c>
      <c r="I304">
        <f t="shared" si="33"/>
        <v>3531.727656043322</v>
      </c>
      <c r="J304">
        <f t="shared" si="37"/>
        <v>-163.27965604332212</v>
      </c>
      <c r="K304">
        <f t="shared" si="38"/>
        <v>5673.4406879133567</v>
      </c>
      <c r="L304" t="str">
        <f t="shared" si="39"/>
        <v/>
      </c>
      <c r="O304" s="352"/>
    </row>
    <row r="305" spans="1:15">
      <c r="A305" s="375">
        <v>285</v>
      </c>
      <c r="B305" s="35" t="s">
        <v>170</v>
      </c>
      <c r="C305" s="376">
        <v>12</v>
      </c>
      <c r="D305">
        <f t="shared" si="34"/>
        <v>10.75</v>
      </c>
      <c r="E305">
        <f t="shared" si="32"/>
        <v>20640</v>
      </c>
      <c r="F305">
        <f t="shared" si="35"/>
        <v>3508.8</v>
      </c>
      <c r="G305">
        <f t="shared" si="36"/>
        <v>3368.4479999999999</v>
      </c>
      <c r="H305" s="35">
        <f>'More accurate Energy (Solar)'!N300</f>
        <v>5936504.960119551</v>
      </c>
      <c r="I305">
        <f t="shared" si="33"/>
        <v>1649.0291555887641</v>
      </c>
      <c r="J305">
        <f t="shared" si="37"/>
        <v>1719.4188444112358</v>
      </c>
      <c r="K305">
        <f t="shared" si="38"/>
        <v>5510.161031870035</v>
      </c>
      <c r="L305" t="str">
        <f t="shared" si="39"/>
        <v/>
      </c>
      <c r="O305" s="352"/>
    </row>
    <row r="306" spans="1:15">
      <c r="A306" s="375">
        <v>286</v>
      </c>
      <c r="B306" s="35" t="s">
        <v>170</v>
      </c>
      <c r="C306" s="376">
        <v>13</v>
      </c>
      <c r="D306">
        <f t="shared" si="34"/>
        <v>10.75</v>
      </c>
      <c r="E306">
        <f t="shared" si="32"/>
        <v>20640</v>
      </c>
      <c r="F306">
        <f t="shared" si="35"/>
        <v>3508.8</v>
      </c>
      <c r="G306">
        <f t="shared" si="36"/>
        <v>3368.4479999999999</v>
      </c>
      <c r="H306" s="35">
        <f>'More accurate Energy (Solar)'!N301</f>
        <v>5635364.2431826424</v>
      </c>
      <c r="I306">
        <f t="shared" si="33"/>
        <v>1565.3789564396229</v>
      </c>
      <c r="J306">
        <f t="shared" si="37"/>
        <v>1803.0690435603769</v>
      </c>
      <c r="K306">
        <f t="shared" si="38"/>
        <v>6000</v>
      </c>
      <c r="L306" t="str">
        <f t="shared" si="39"/>
        <v/>
      </c>
      <c r="O306" s="352"/>
    </row>
    <row r="307" spans="1:15">
      <c r="A307" s="375">
        <v>287</v>
      </c>
      <c r="B307" s="35" t="s">
        <v>170</v>
      </c>
      <c r="C307" s="376">
        <v>14</v>
      </c>
      <c r="D307">
        <f t="shared" si="34"/>
        <v>10.75</v>
      </c>
      <c r="E307">
        <f t="shared" si="32"/>
        <v>20640</v>
      </c>
      <c r="F307">
        <f t="shared" si="35"/>
        <v>3508.8</v>
      </c>
      <c r="G307">
        <f t="shared" si="36"/>
        <v>3368.4479999999999</v>
      </c>
      <c r="H307" s="35">
        <f>'More accurate Energy (Solar)'!N302</f>
        <v>3456000</v>
      </c>
      <c r="I307">
        <f t="shared" si="33"/>
        <v>960</v>
      </c>
      <c r="J307">
        <f t="shared" si="37"/>
        <v>2408.4479999999999</v>
      </c>
      <c r="K307">
        <f t="shared" si="38"/>
        <v>6000</v>
      </c>
      <c r="L307" t="str">
        <f t="shared" si="39"/>
        <v/>
      </c>
      <c r="O307" s="352"/>
    </row>
    <row r="308" spans="1:15">
      <c r="A308" s="375">
        <v>288</v>
      </c>
      <c r="B308" s="35" t="s">
        <v>170</v>
      </c>
      <c r="C308" s="376">
        <v>15</v>
      </c>
      <c r="D308">
        <f t="shared" si="34"/>
        <v>10.75</v>
      </c>
      <c r="E308">
        <f t="shared" si="32"/>
        <v>20640</v>
      </c>
      <c r="F308">
        <f t="shared" si="35"/>
        <v>3508.8</v>
      </c>
      <c r="G308">
        <f t="shared" si="36"/>
        <v>3368.4479999999999</v>
      </c>
      <c r="H308" s="35">
        <f>'More accurate Energy (Solar)'!N303</f>
        <v>3456000</v>
      </c>
      <c r="I308">
        <f t="shared" si="33"/>
        <v>960</v>
      </c>
      <c r="J308">
        <f t="shared" si="37"/>
        <v>2408.4479999999999</v>
      </c>
      <c r="K308">
        <f t="shared" si="38"/>
        <v>6000</v>
      </c>
      <c r="L308" t="str">
        <f t="shared" si="39"/>
        <v/>
      </c>
      <c r="O308" s="352"/>
    </row>
    <row r="309" spans="1:15">
      <c r="A309" s="375">
        <v>289</v>
      </c>
      <c r="B309" s="35" t="s">
        <v>170</v>
      </c>
      <c r="C309" s="376">
        <v>16</v>
      </c>
      <c r="D309">
        <f t="shared" si="34"/>
        <v>10.75</v>
      </c>
      <c r="E309">
        <f t="shared" si="32"/>
        <v>20640</v>
      </c>
      <c r="F309">
        <f t="shared" si="35"/>
        <v>3508.8</v>
      </c>
      <c r="G309">
        <f t="shared" si="36"/>
        <v>3368.4479999999999</v>
      </c>
      <c r="H309" s="35">
        <f>'More accurate Energy (Solar)'!N304</f>
        <v>12489682.142591882</v>
      </c>
      <c r="I309">
        <f t="shared" si="33"/>
        <v>3469.3561507199674</v>
      </c>
      <c r="J309">
        <f t="shared" si="37"/>
        <v>-100.90815071996758</v>
      </c>
      <c r="K309">
        <f t="shared" si="38"/>
        <v>6000</v>
      </c>
      <c r="L309" t="str">
        <f t="shared" si="39"/>
        <v/>
      </c>
      <c r="O309" s="352"/>
    </row>
    <row r="310" spans="1:15">
      <c r="A310" s="375">
        <v>290</v>
      </c>
      <c r="B310" s="35" t="s">
        <v>170</v>
      </c>
      <c r="C310" s="376">
        <v>17</v>
      </c>
      <c r="D310">
        <f t="shared" si="34"/>
        <v>10.75</v>
      </c>
      <c r="E310">
        <f t="shared" si="32"/>
        <v>20640</v>
      </c>
      <c r="F310">
        <f t="shared" si="35"/>
        <v>3508.8</v>
      </c>
      <c r="G310">
        <f t="shared" si="36"/>
        <v>3368.4479999999999</v>
      </c>
      <c r="H310" s="35">
        <f>'More accurate Energy (Solar)'!N305</f>
        <v>9774154.5488646477</v>
      </c>
      <c r="I310">
        <f t="shared" si="33"/>
        <v>2715.0429302401799</v>
      </c>
      <c r="J310">
        <f t="shared" si="37"/>
        <v>653.40506975981998</v>
      </c>
      <c r="K310">
        <f t="shared" si="38"/>
        <v>5899.091849280032</v>
      </c>
      <c r="L310" t="str">
        <f t="shared" si="39"/>
        <v/>
      </c>
      <c r="O310" s="352"/>
    </row>
    <row r="311" spans="1:15">
      <c r="A311" s="375">
        <v>291</v>
      </c>
      <c r="B311" s="35" t="s">
        <v>170</v>
      </c>
      <c r="C311" s="376">
        <v>18</v>
      </c>
      <c r="D311">
        <f t="shared" si="34"/>
        <v>10.75</v>
      </c>
      <c r="E311">
        <f t="shared" si="32"/>
        <v>20640</v>
      </c>
      <c r="F311">
        <f t="shared" si="35"/>
        <v>3508.8</v>
      </c>
      <c r="G311">
        <f t="shared" si="36"/>
        <v>3368.4479999999999</v>
      </c>
      <c r="H311" s="35">
        <f>'More accurate Energy (Solar)'!N306</f>
        <v>12714219.561755959</v>
      </c>
      <c r="I311">
        <f t="shared" si="33"/>
        <v>3531.727656043322</v>
      </c>
      <c r="J311">
        <f t="shared" si="37"/>
        <v>-163.27965604332212</v>
      </c>
      <c r="K311">
        <f t="shared" si="38"/>
        <v>6000</v>
      </c>
      <c r="L311" t="str">
        <f t="shared" si="39"/>
        <v/>
      </c>
      <c r="O311" s="352"/>
    </row>
    <row r="312" spans="1:15">
      <c r="A312" s="375">
        <v>292</v>
      </c>
      <c r="B312" s="35" t="s">
        <v>170</v>
      </c>
      <c r="C312" s="376">
        <v>19</v>
      </c>
      <c r="D312">
        <f t="shared" si="34"/>
        <v>10.75</v>
      </c>
      <c r="E312">
        <f t="shared" si="32"/>
        <v>20640</v>
      </c>
      <c r="F312">
        <f t="shared" si="35"/>
        <v>3508.8</v>
      </c>
      <c r="G312">
        <f t="shared" si="36"/>
        <v>3368.4479999999999</v>
      </c>
      <c r="H312" s="35">
        <f>'More accurate Energy (Solar)'!N307</f>
        <v>5635364.2431826424</v>
      </c>
      <c r="I312">
        <f t="shared" si="33"/>
        <v>1565.3789564396229</v>
      </c>
      <c r="J312">
        <f t="shared" si="37"/>
        <v>1803.0690435603769</v>
      </c>
      <c r="K312">
        <f t="shared" si="38"/>
        <v>5836.7203439566783</v>
      </c>
      <c r="L312" t="str">
        <f t="shared" si="39"/>
        <v/>
      </c>
      <c r="O312" s="352"/>
    </row>
    <row r="313" spans="1:15">
      <c r="A313" s="375">
        <v>293</v>
      </c>
      <c r="B313" s="35" t="s">
        <v>170</v>
      </c>
      <c r="C313" s="376">
        <v>20</v>
      </c>
      <c r="D313">
        <f t="shared" si="34"/>
        <v>10.75</v>
      </c>
      <c r="E313">
        <f t="shared" si="32"/>
        <v>20640</v>
      </c>
      <c r="F313">
        <f t="shared" si="35"/>
        <v>3508.8</v>
      </c>
      <c r="G313">
        <f t="shared" si="36"/>
        <v>3368.4479999999999</v>
      </c>
      <c r="H313" s="35">
        <f>'More accurate Energy (Solar)'!N308</f>
        <v>11244401.368992183</v>
      </c>
      <c r="I313">
        <f t="shared" si="33"/>
        <v>3123.4448247200507</v>
      </c>
      <c r="J313">
        <f t="shared" si="37"/>
        <v>245.00317527994912</v>
      </c>
      <c r="K313">
        <f t="shared" si="38"/>
        <v>6000</v>
      </c>
      <c r="L313" t="str">
        <f t="shared" si="39"/>
        <v/>
      </c>
      <c r="O313" s="352"/>
    </row>
    <row r="314" spans="1:15">
      <c r="A314" s="375">
        <v>294</v>
      </c>
      <c r="B314" s="35" t="s">
        <v>170</v>
      </c>
      <c r="C314" s="376">
        <v>21</v>
      </c>
      <c r="D314">
        <f t="shared" si="34"/>
        <v>10.75</v>
      </c>
      <c r="E314">
        <f t="shared" si="32"/>
        <v>20640</v>
      </c>
      <c r="F314">
        <f t="shared" si="35"/>
        <v>3508.8</v>
      </c>
      <c r="G314">
        <f t="shared" si="36"/>
        <v>3368.4479999999999</v>
      </c>
      <c r="H314" s="35">
        <f>'More accurate Energy (Solar)'!N309</f>
        <v>8571429.8311990388</v>
      </c>
      <c r="I314">
        <f t="shared" si="33"/>
        <v>2380.9527308886218</v>
      </c>
      <c r="J314">
        <f t="shared" si="37"/>
        <v>987.49526911137809</v>
      </c>
      <c r="K314">
        <f t="shared" si="38"/>
        <v>6000</v>
      </c>
      <c r="L314" t="str">
        <f t="shared" si="39"/>
        <v/>
      </c>
      <c r="O314" s="352"/>
    </row>
    <row r="315" spans="1:15">
      <c r="A315" s="375">
        <v>295</v>
      </c>
      <c r="B315" s="35" t="s">
        <v>170</v>
      </c>
      <c r="C315" s="376">
        <v>22</v>
      </c>
      <c r="D315">
        <f t="shared" si="34"/>
        <v>10.75</v>
      </c>
      <c r="E315">
        <f t="shared" si="32"/>
        <v>20640</v>
      </c>
      <c r="F315">
        <f t="shared" si="35"/>
        <v>3508.8</v>
      </c>
      <c r="G315">
        <f t="shared" si="36"/>
        <v>3368.4479999999999</v>
      </c>
      <c r="H315" s="35">
        <f>'More accurate Energy (Solar)'!N310</f>
        <v>11105874.309436671</v>
      </c>
      <c r="I315">
        <f t="shared" si="33"/>
        <v>3084.9650859546309</v>
      </c>
      <c r="J315">
        <f t="shared" si="37"/>
        <v>283.48291404536894</v>
      </c>
      <c r="K315">
        <f t="shared" si="38"/>
        <v>6000</v>
      </c>
      <c r="L315" t="str">
        <f t="shared" si="39"/>
        <v/>
      </c>
      <c r="O315" s="352"/>
    </row>
    <row r="316" spans="1:15">
      <c r="A316" s="375">
        <v>296</v>
      </c>
      <c r="B316" s="35" t="s">
        <v>170</v>
      </c>
      <c r="C316" s="376">
        <v>23</v>
      </c>
      <c r="D316">
        <f t="shared" si="34"/>
        <v>10.75</v>
      </c>
      <c r="E316">
        <f t="shared" si="32"/>
        <v>20640</v>
      </c>
      <c r="F316">
        <f t="shared" si="35"/>
        <v>3508.8</v>
      </c>
      <c r="G316">
        <f t="shared" si="36"/>
        <v>3368.4479999999999</v>
      </c>
      <c r="H316" s="35">
        <f>'More accurate Energy (Solar)'!N311</f>
        <v>3456000</v>
      </c>
      <c r="I316">
        <f t="shared" si="33"/>
        <v>960</v>
      </c>
      <c r="J316">
        <f t="shared" si="37"/>
        <v>2408.4479999999999</v>
      </c>
      <c r="K316">
        <f t="shared" si="38"/>
        <v>6000</v>
      </c>
      <c r="L316" t="str">
        <f t="shared" si="39"/>
        <v/>
      </c>
      <c r="O316" s="352"/>
    </row>
    <row r="317" spans="1:15">
      <c r="A317" s="375">
        <v>297</v>
      </c>
      <c r="B317" s="35" t="s">
        <v>170</v>
      </c>
      <c r="C317" s="376">
        <v>24</v>
      </c>
      <c r="D317">
        <f t="shared" si="34"/>
        <v>10.75</v>
      </c>
      <c r="E317">
        <f t="shared" si="32"/>
        <v>20640</v>
      </c>
      <c r="F317">
        <f t="shared" si="35"/>
        <v>3508.8</v>
      </c>
      <c r="G317">
        <f t="shared" si="36"/>
        <v>3368.4479999999999</v>
      </c>
      <c r="H317" s="35">
        <f>'More accurate Energy (Solar)'!N312</f>
        <v>9500888.9292397294</v>
      </c>
      <c r="I317">
        <f t="shared" si="33"/>
        <v>2639.1358136777026</v>
      </c>
      <c r="J317">
        <f t="shared" si="37"/>
        <v>729.31218632229729</v>
      </c>
      <c r="K317">
        <f t="shared" si="38"/>
        <v>6000</v>
      </c>
      <c r="L317" t="str">
        <f t="shared" si="39"/>
        <v/>
      </c>
      <c r="O317" s="352"/>
    </row>
    <row r="318" spans="1:15">
      <c r="A318" s="375">
        <v>298</v>
      </c>
      <c r="B318" s="35" t="s">
        <v>170</v>
      </c>
      <c r="C318" s="376">
        <v>25</v>
      </c>
      <c r="D318">
        <f t="shared" si="34"/>
        <v>10.75</v>
      </c>
      <c r="E318">
        <f t="shared" si="32"/>
        <v>20640</v>
      </c>
      <c r="F318">
        <f t="shared" si="35"/>
        <v>3508.8</v>
      </c>
      <c r="G318">
        <f t="shared" si="36"/>
        <v>3368.4479999999999</v>
      </c>
      <c r="H318" s="35">
        <f>'More accurate Energy (Solar)'!N313</f>
        <v>8571429.8311990388</v>
      </c>
      <c r="I318">
        <f t="shared" si="33"/>
        <v>2380.9527308886218</v>
      </c>
      <c r="J318">
        <f t="shared" si="37"/>
        <v>987.49526911137809</v>
      </c>
      <c r="K318">
        <f t="shared" si="38"/>
        <v>6000</v>
      </c>
      <c r="L318" t="str">
        <f t="shared" si="39"/>
        <v/>
      </c>
      <c r="O318" s="352"/>
    </row>
    <row r="319" spans="1:15">
      <c r="A319" s="375">
        <v>299</v>
      </c>
      <c r="B319" s="35" t="s">
        <v>170</v>
      </c>
      <c r="C319" s="376">
        <v>26</v>
      </c>
      <c r="D319">
        <f t="shared" si="34"/>
        <v>10.75</v>
      </c>
      <c r="E319">
        <f t="shared" si="32"/>
        <v>20640</v>
      </c>
      <c r="F319">
        <f t="shared" si="35"/>
        <v>3508.8</v>
      </c>
      <c r="G319">
        <f t="shared" si="36"/>
        <v>3368.4479999999999</v>
      </c>
      <c r="H319" s="35">
        <f>'More accurate Energy (Solar)'!N314</f>
        <v>3456000</v>
      </c>
      <c r="I319">
        <f t="shared" si="33"/>
        <v>960</v>
      </c>
      <c r="J319">
        <f t="shared" si="37"/>
        <v>2408.4479999999999</v>
      </c>
      <c r="K319">
        <f t="shared" si="38"/>
        <v>6000</v>
      </c>
      <c r="L319" t="str">
        <f t="shared" si="39"/>
        <v/>
      </c>
      <c r="O319" s="352"/>
    </row>
    <row r="320" spans="1:15">
      <c r="A320" s="375">
        <v>300</v>
      </c>
      <c r="B320" s="35" t="s">
        <v>170</v>
      </c>
      <c r="C320" s="376">
        <v>27</v>
      </c>
      <c r="D320">
        <f t="shared" si="34"/>
        <v>10.75</v>
      </c>
      <c r="E320">
        <f t="shared" si="32"/>
        <v>20640</v>
      </c>
      <c r="F320">
        <f t="shared" si="35"/>
        <v>3508.8</v>
      </c>
      <c r="G320">
        <f t="shared" si="36"/>
        <v>3368.4479999999999</v>
      </c>
      <c r="H320" s="35">
        <f>'More accurate Energy (Solar)'!N315</f>
        <v>9948529.8113135993</v>
      </c>
      <c r="I320">
        <f t="shared" si="33"/>
        <v>2763.4805031426663</v>
      </c>
      <c r="J320">
        <f t="shared" si="37"/>
        <v>604.96749685733357</v>
      </c>
      <c r="K320">
        <f t="shared" si="38"/>
        <v>6000</v>
      </c>
      <c r="L320" t="str">
        <f t="shared" si="39"/>
        <v/>
      </c>
      <c r="O320" s="352"/>
    </row>
    <row r="321" spans="1:15">
      <c r="A321" s="375">
        <v>301</v>
      </c>
      <c r="B321" s="35" t="s">
        <v>170</v>
      </c>
      <c r="C321" s="376">
        <v>28</v>
      </c>
      <c r="D321">
        <f t="shared" si="34"/>
        <v>10.75</v>
      </c>
      <c r="E321">
        <f t="shared" si="32"/>
        <v>20640</v>
      </c>
      <c r="F321">
        <f t="shared" si="35"/>
        <v>3508.8</v>
      </c>
      <c r="G321">
        <f t="shared" si="36"/>
        <v>3368.4479999999999</v>
      </c>
      <c r="H321" s="35">
        <f>'More accurate Energy (Solar)'!N316</f>
        <v>12714219.561755959</v>
      </c>
      <c r="I321">
        <f t="shared" si="33"/>
        <v>3531.727656043322</v>
      </c>
      <c r="J321">
        <f t="shared" si="37"/>
        <v>-163.27965604332212</v>
      </c>
      <c r="K321">
        <f t="shared" si="38"/>
        <v>6000</v>
      </c>
      <c r="L321" t="str">
        <f t="shared" si="39"/>
        <v/>
      </c>
      <c r="O321" s="352"/>
    </row>
    <row r="322" spans="1:15">
      <c r="A322" s="375">
        <v>302</v>
      </c>
      <c r="B322" s="35" t="s">
        <v>170</v>
      </c>
      <c r="C322" s="376">
        <v>29</v>
      </c>
      <c r="D322">
        <f t="shared" si="34"/>
        <v>10.75</v>
      </c>
      <c r="E322">
        <f t="shared" si="32"/>
        <v>20640</v>
      </c>
      <c r="F322">
        <f t="shared" si="35"/>
        <v>3508.8</v>
      </c>
      <c r="G322">
        <f t="shared" si="36"/>
        <v>3368.4479999999999</v>
      </c>
      <c r="H322" s="35">
        <f>'More accurate Energy (Solar)'!N317</f>
        <v>12714219.561755959</v>
      </c>
      <c r="I322">
        <f t="shared" si="33"/>
        <v>3531.727656043322</v>
      </c>
      <c r="J322">
        <f t="shared" si="37"/>
        <v>-163.27965604332212</v>
      </c>
      <c r="K322">
        <f t="shared" si="38"/>
        <v>5836.7203439566783</v>
      </c>
      <c r="L322" t="str">
        <f t="shared" si="39"/>
        <v/>
      </c>
      <c r="O322" s="352"/>
    </row>
    <row r="323" spans="1:15">
      <c r="A323" s="375">
        <v>303</v>
      </c>
      <c r="B323" s="35" t="s">
        <v>170</v>
      </c>
      <c r="C323" s="376">
        <v>30</v>
      </c>
      <c r="D323">
        <f t="shared" si="34"/>
        <v>10.75</v>
      </c>
      <c r="E323">
        <f t="shared" si="32"/>
        <v>20640</v>
      </c>
      <c r="F323">
        <f t="shared" si="35"/>
        <v>3508.8</v>
      </c>
      <c r="G323">
        <f t="shared" si="36"/>
        <v>3368.4479999999999</v>
      </c>
      <c r="H323" s="35">
        <f>'More accurate Energy (Solar)'!N318</f>
        <v>12714219.561755959</v>
      </c>
      <c r="I323">
        <f t="shared" si="33"/>
        <v>3531.727656043322</v>
      </c>
      <c r="J323">
        <f t="shared" si="37"/>
        <v>-163.27965604332212</v>
      </c>
      <c r="K323">
        <f t="shared" si="38"/>
        <v>5673.4406879133567</v>
      </c>
      <c r="L323" t="str">
        <f t="shared" si="39"/>
        <v/>
      </c>
      <c r="O323" s="352"/>
    </row>
    <row r="324" spans="1:15">
      <c r="A324" s="375">
        <v>304</v>
      </c>
      <c r="B324" s="35" t="s">
        <v>170</v>
      </c>
      <c r="C324" s="376">
        <v>31</v>
      </c>
      <c r="D324">
        <f t="shared" si="34"/>
        <v>10.75</v>
      </c>
      <c r="E324">
        <f t="shared" si="32"/>
        <v>20640</v>
      </c>
      <c r="F324">
        <f t="shared" si="35"/>
        <v>3508.8</v>
      </c>
      <c r="G324">
        <f t="shared" si="36"/>
        <v>3368.4479999999999</v>
      </c>
      <c r="H324" s="35">
        <f>'More accurate Energy (Solar)'!N319</f>
        <v>12714219.561755959</v>
      </c>
      <c r="I324">
        <f t="shared" si="33"/>
        <v>3531.727656043322</v>
      </c>
      <c r="J324">
        <f t="shared" si="37"/>
        <v>-163.27965604332212</v>
      </c>
      <c r="K324">
        <f t="shared" si="38"/>
        <v>5510.161031870035</v>
      </c>
      <c r="L324" t="str">
        <f t="shared" si="39"/>
        <v/>
      </c>
      <c r="O324" s="352"/>
    </row>
    <row r="325" spans="1:15">
      <c r="A325" s="375">
        <v>305</v>
      </c>
      <c r="B325" s="35" t="s">
        <v>171</v>
      </c>
      <c r="C325" s="376">
        <v>1</v>
      </c>
      <c r="D325">
        <f t="shared" si="34"/>
        <v>9</v>
      </c>
      <c r="E325">
        <f t="shared" si="32"/>
        <v>17280</v>
      </c>
      <c r="F325">
        <f t="shared" si="35"/>
        <v>2937.6000000000004</v>
      </c>
      <c r="G325">
        <f t="shared" si="36"/>
        <v>2820.0960000000005</v>
      </c>
      <c r="H325" s="35">
        <f>'More accurate Energy (Solar)'!N320</f>
        <v>6432849.3731696447</v>
      </c>
      <c r="I325">
        <f t="shared" si="33"/>
        <v>1786.9026036582347</v>
      </c>
      <c r="J325">
        <f t="shared" si="37"/>
        <v>1033.1933963417657</v>
      </c>
      <c r="K325">
        <f t="shared" si="38"/>
        <v>5346.8813758267133</v>
      </c>
      <c r="L325" t="str">
        <f t="shared" si="39"/>
        <v/>
      </c>
      <c r="O325" s="352"/>
    </row>
    <row r="326" spans="1:15">
      <c r="A326" s="375">
        <v>306</v>
      </c>
      <c r="B326" s="35" t="s">
        <v>171</v>
      </c>
      <c r="C326" s="376">
        <v>2</v>
      </c>
      <c r="D326">
        <f t="shared" si="34"/>
        <v>9</v>
      </c>
      <c r="E326">
        <f t="shared" si="32"/>
        <v>17280</v>
      </c>
      <c r="F326">
        <f t="shared" si="35"/>
        <v>2937.6000000000004</v>
      </c>
      <c r="G326">
        <f t="shared" si="36"/>
        <v>2820.0960000000005</v>
      </c>
      <c r="H326" s="35">
        <f>'More accurate Energy (Solar)'!N321</f>
        <v>3456000</v>
      </c>
      <c r="I326">
        <f t="shared" si="33"/>
        <v>960</v>
      </c>
      <c r="J326">
        <f t="shared" si="37"/>
        <v>1860.0960000000005</v>
      </c>
      <c r="K326">
        <f t="shared" si="38"/>
        <v>6000</v>
      </c>
      <c r="L326" t="str">
        <f t="shared" si="39"/>
        <v/>
      </c>
      <c r="O326" s="352"/>
    </row>
    <row r="327" spans="1:15">
      <c r="A327" s="375">
        <v>307</v>
      </c>
      <c r="B327" s="35" t="s">
        <v>171</v>
      </c>
      <c r="C327" s="376">
        <v>3</v>
      </c>
      <c r="D327">
        <f t="shared" si="34"/>
        <v>9</v>
      </c>
      <c r="E327">
        <f t="shared" si="32"/>
        <v>17280</v>
      </c>
      <c r="F327">
        <f t="shared" si="35"/>
        <v>2937.6000000000004</v>
      </c>
      <c r="G327">
        <f t="shared" si="36"/>
        <v>2820.0960000000005</v>
      </c>
      <c r="H327" s="35">
        <f>'More accurate Energy (Solar)'!N322</f>
        <v>3456000</v>
      </c>
      <c r="I327">
        <f t="shared" si="33"/>
        <v>960</v>
      </c>
      <c r="J327">
        <f t="shared" si="37"/>
        <v>1860.0960000000005</v>
      </c>
      <c r="K327">
        <f t="shared" si="38"/>
        <v>6000</v>
      </c>
      <c r="L327" t="str">
        <f t="shared" si="39"/>
        <v/>
      </c>
      <c r="O327" s="352"/>
    </row>
    <row r="328" spans="1:15">
      <c r="A328" s="375">
        <v>308</v>
      </c>
      <c r="B328" s="35" t="s">
        <v>171</v>
      </c>
      <c r="C328" s="376">
        <v>4</v>
      </c>
      <c r="D328">
        <f t="shared" si="34"/>
        <v>9</v>
      </c>
      <c r="E328">
        <f t="shared" si="32"/>
        <v>17280</v>
      </c>
      <c r="F328">
        <f t="shared" si="35"/>
        <v>2937.6000000000004</v>
      </c>
      <c r="G328">
        <f t="shared" si="36"/>
        <v>2820.0960000000005</v>
      </c>
      <c r="H328" s="35">
        <f>'More accurate Energy (Solar)'!N323</f>
        <v>8211072.1917604888</v>
      </c>
      <c r="I328">
        <f t="shared" si="33"/>
        <v>2280.8533866001358</v>
      </c>
      <c r="J328">
        <f t="shared" si="37"/>
        <v>539.24261339986469</v>
      </c>
      <c r="K328">
        <f t="shared" si="38"/>
        <v>6000</v>
      </c>
      <c r="L328" t="str">
        <f t="shared" si="39"/>
        <v/>
      </c>
      <c r="O328" s="352"/>
    </row>
    <row r="329" spans="1:15">
      <c r="A329" s="375">
        <v>309</v>
      </c>
      <c r="B329" s="35" t="s">
        <v>171</v>
      </c>
      <c r="C329" s="376">
        <v>5</v>
      </c>
      <c r="D329">
        <f t="shared" si="34"/>
        <v>9</v>
      </c>
      <c r="E329">
        <f t="shared" si="32"/>
        <v>17280</v>
      </c>
      <c r="F329">
        <f t="shared" si="35"/>
        <v>2937.6000000000004</v>
      </c>
      <c r="G329">
        <f t="shared" si="36"/>
        <v>2820.0960000000005</v>
      </c>
      <c r="H329" s="35">
        <f>'More accurate Energy (Solar)'!N324</f>
        <v>9593643.1426751018</v>
      </c>
      <c r="I329">
        <f t="shared" si="33"/>
        <v>2664.900872965306</v>
      </c>
      <c r="J329">
        <f t="shared" si="37"/>
        <v>155.19512703469445</v>
      </c>
      <c r="K329">
        <f t="shared" si="38"/>
        <v>6000</v>
      </c>
      <c r="L329" t="str">
        <f t="shared" si="39"/>
        <v/>
      </c>
      <c r="O329" s="352"/>
    </row>
    <row r="330" spans="1:15">
      <c r="A330" s="375">
        <v>310</v>
      </c>
      <c r="B330" s="35" t="s">
        <v>171</v>
      </c>
      <c r="C330" s="376">
        <v>6</v>
      </c>
      <c r="D330">
        <f t="shared" si="34"/>
        <v>9</v>
      </c>
      <c r="E330">
        <f t="shared" si="32"/>
        <v>17280</v>
      </c>
      <c r="F330">
        <f t="shared" si="35"/>
        <v>2937.6000000000004</v>
      </c>
      <c r="G330">
        <f t="shared" si="36"/>
        <v>2820.0960000000005</v>
      </c>
      <c r="H330" s="35">
        <f>'More accurate Energy (Solar)'!N325</f>
        <v>12714219.561755959</v>
      </c>
      <c r="I330">
        <f t="shared" si="33"/>
        <v>3531.727656043322</v>
      </c>
      <c r="J330">
        <f t="shared" si="37"/>
        <v>-711.63165604332153</v>
      </c>
      <c r="K330">
        <f t="shared" si="38"/>
        <v>6000</v>
      </c>
      <c r="L330" t="str">
        <f t="shared" si="39"/>
        <v/>
      </c>
      <c r="O330" s="352"/>
    </row>
    <row r="331" spans="1:15">
      <c r="A331" s="375">
        <v>311</v>
      </c>
      <c r="B331" s="35" t="s">
        <v>171</v>
      </c>
      <c r="C331" s="376">
        <v>7</v>
      </c>
      <c r="D331">
        <f t="shared" si="34"/>
        <v>9</v>
      </c>
      <c r="E331">
        <f t="shared" si="32"/>
        <v>17280</v>
      </c>
      <c r="F331">
        <f t="shared" si="35"/>
        <v>2937.6000000000004</v>
      </c>
      <c r="G331">
        <f t="shared" si="36"/>
        <v>2820.0960000000005</v>
      </c>
      <c r="H331" s="35">
        <f>'More accurate Energy (Solar)'!N326</f>
        <v>7365801.752635926</v>
      </c>
      <c r="I331">
        <f t="shared" si="33"/>
        <v>2046.0560423988684</v>
      </c>
      <c r="J331">
        <f t="shared" si="37"/>
        <v>774.03995760113207</v>
      </c>
      <c r="K331">
        <f t="shared" si="38"/>
        <v>5288.3683439566785</v>
      </c>
      <c r="L331" t="str">
        <f t="shared" si="39"/>
        <v/>
      </c>
      <c r="O331" s="352"/>
    </row>
    <row r="332" spans="1:15">
      <c r="A332" s="375">
        <v>312</v>
      </c>
      <c r="B332" s="35" t="s">
        <v>171</v>
      </c>
      <c r="C332" s="376">
        <v>8</v>
      </c>
      <c r="D332">
        <f t="shared" si="34"/>
        <v>9</v>
      </c>
      <c r="E332">
        <f t="shared" si="32"/>
        <v>17280</v>
      </c>
      <c r="F332">
        <f t="shared" si="35"/>
        <v>2937.6000000000004</v>
      </c>
      <c r="G332">
        <f t="shared" si="36"/>
        <v>2820.0960000000005</v>
      </c>
      <c r="H332" s="35">
        <f>'More accurate Energy (Solar)'!N327</f>
        <v>6844090.3619094864</v>
      </c>
      <c r="I332">
        <f t="shared" si="33"/>
        <v>1901.1362116415239</v>
      </c>
      <c r="J332">
        <f t="shared" si="37"/>
        <v>918.95978835847654</v>
      </c>
      <c r="K332">
        <f t="shared" si="38"/>
        <v>6000</v>
      </c>
      <c r="L332" t="str">
        <f t="shared" si="39"/>
        <v/>
      </c>
      <c r="O332" s="352"/>
    </row>
    <row r="333" spans="1:15">
      <c r="A333" s="375">
        <v>313</v>
      </c>
      <c r="B333" s="35" t="s">
        <v>171</v>
      </c>
      <c r="C333" s="376">
        <v>9</v>
      </c>
      <c r="D333">
        <f t="shared" si="34"/>
        <v>9</v>
      </c>
      <c r="E333">
        <f t="shared" si="32"/>
        <v>17280</v>
      </c>
      <c r="F333">
        <f t="shared" si="35"/>
        <v>2937.6000000000004</v>
      </c>
      <c r="G333">
        <f t="shared" si="36"/>
        <v>2820.0960000000005</v>
      </c>
      <c r="H333" s="35">
        <f>'More accurate Energy (Solar)'!N328</f>
        <v>3456000</v>
      </c>
      <c r="I333">
        <f t="shared" si="33"/>
        <v>960</v>
      </c>
      <c r="J333">
        <f t="shared" si="37"/>
        <v>1860.0960000000005</v>
      </c>
      <c r="K333">
        <f t="shared" si="38"/>
        <v>6000</v>
      </c>
      <c r="L333" t="str">
        <f t="shared" si="39"/>
        <v/>
      </c>
      <c r="O333" s="352"/>
    </row>
    <row r="334" spans="1:15">
      <c r="A334" s="375">
        <v>314</v>
      </c>
      <c r="B334" s="35" t="s">
        <v>171</v>
      </c>
      <c r="C334" s="376">
        <v>10</v>
      </c>
      <c r="D334">
        <f t="shared" si="34"/>
        <v>9</v>
      </c>
      <c r="E334">
        <f t="shared" si="32"/>
        <v>17280</v>
      </c>
      <c r="F334">
        <f t="shared" si="35"/>
        <v>2937.6000000000004</v>
      </c>
      <c r="G334">
        <f t="shared" si="36"/>
        <v>2820.0960000000005</v>
      </c>
      <c r="H334" s="35">
        <f>'More accurate Energy (Solar)'!N329</f>
        <v>12714219.561755959</v>
      </c>
      <c r="I334">
        <f t="shared" si="33"/>
        <v>3531.727656043322</v>
      </c>
      <c r="J334">
        <f t="shared" si="37"/>
        <v>-711.63165604332153</v>
      </c>
      <c r="K334">
        <f t="shared" si="38"/>
        <v>6000</v>
      </c>
      <c r="L334" t="str">
        <f t="shared" si="39"/>
        <v/>
      </c>
      <c r="O334" s="352"/>
    </row>
    <row r="335" spans="1:15">
      <c r="A335" s="375">
        <v>315</v>
      </c>
      <c r="B335" s="35" t="s">
        <v>171</v>
      </c>
      <c r="C335" s="376">
        <v>11</v>
      </c>
      <c r="D335">
        <f t="shared" si="34"/>
        <v>9</v>
      </c>
      <c r="E335">
        <f t="shared" si="32"/>
        <v>17280</v>
      </c>
      <c r="F335">
        <f t="shared" si="35"/>
        <v>2937.6000000000004</v>
      </c>
      <c r="G335">
        <f t="shared" si="36"/>
        <v>2820.0960000000005</v>
      </c>
      <c r="H335" s="35">
        <f>'More accurate Energy (Solar)'!N330</f>
        <v>12714219.561755959</v>
      </c>
      <c r="I335">
        <f t="shared" si="33"/>
        <v>3531.727656043322</v>
      </c>
      <c r="J335">
        <f t="shared" si="37"/>
        <v>-711.63165604332153</v>
      </c>
      <c r="K335">
        <f t="shared" si="38"/>
        <v>5288.3683439566785</v>
      </c>
      <c r="L335" t="str">
        <f t="shared" si="39"/>
        <v/>
      </c>
      <c r="O335" s="352"/>
    </row>
    <row r="336" spans="1:15">
      <c r="A336" s="375">
        <v>316</v>
      </c>
      <c r="B336" s="35" t="s">
        <v>171</v>
      </c>
      <c r="C336" s="376">
        <v>12</v>
      </c>
      <c r="D336">
        <f t="shared" si="34"/>
        <v>9</v>
      </c>
      <c r="E336">
        <f t="shared" si="32"/>
        <v>17280</v>
      </c>
      <c r="F336">
        <f t="shared" si="35"/>
        <v>2937.6000000000004</v>
      </c>
      <c r="G336">
        <f t="shared" si="36"/>
        <v>2820.0960000000005</v>
      </c>
      <c r="H336" s="35">
        <f>'More accurate Energy (Solar)'!N331</f>
        <v>12714219.561755959</v>
      </c>
      <c r="I336">
        <f t="shared" si="33"/>
        <v>3531.727656043322</v>
      </c>
      <c r="J336">
        <f t="shared" si="37"/>
        <v>-711.63165604332153</v>
      </c>
      <c r="K336">
        <f t="shared" si="38"/>
        <v>4576.7366879133569</v>
      </c>
      <c r="L336" t="str">
        <f t="shared" si="39"/>
        <v/>
      </c>
      <c r="O336" s="352"/>
    </row>
    <row r="337" spans="1:15">
      <c r="A337" s="375">
        <v>317</v>
      </c>
      <c r="B337" s="35" t="s">
        <v>171</v>
      </c>
      <c r="C337" s="376">
        <v>13</v>
      </c>
      <c r="D337">
        <f t="shared" si="34"/>
        <v>9</v>
      </c>
      <c r="E337">
        <f t="shared" si="32"/>
        <v>17280</v>
      </c>
      <c r="F337">
        <f t="shared" si="35"/>
        <v>2937.6000000000004</v>
      </c>
      <c r="G337">
        <f t="shared" si="36"/>
        <v>2820.0960000000005</v>
      </c>
      <c r="H337" s="35">
        <f>'More accurate Energy (Solar)'!N332</f>
        <v>11642767.813382803</v>
      </c>
      <c r="I337">
        <f t="shared" si="33"/>
        <v>3234.102170384112</v>
      </c>
      <c r="J337">
        <f t="shared" si="37"/>
        <v>-414.00617038411156</v>
      </c>
      <c r="K337">
        <f t="shared" si="38"/>
        <v>3865.1050318700354</v>
      </c>
      <c r="L337" t="str">
        <f t="shared" si="39"/>
        <v/>
      </c>
      <c r="O337" s="352"/>
    </row>
    <row r="338" spans="1:15">
      <c r="A338" s="375">
        <v>318</v>
      </c>
      <c r="B338" s="35" t="s">
        <v>171</v>
      </c>
      <c r="C338" s="376">
        <v>14</v>
      </c>
      <c r="D338">
        <f t="shared" si="34"/>
        <v>9</v>
      </c>
      <c r="E338">
        <f t="shared" si="32"/>
        <v>17280</v>
      </c>
      <c r="F338">
        <f t="shared" si="35"/>
        <v>2937.6000000000004</v>
      </c>
      <c r="G338">
        <f t="shared" si="36"/>
        <v>2820.0960000000005</v>
      </c>
      <c r="H338" s="35">
        <f>'More accurate Energy (Solar)'!N333</f>
        <v>5635364.2431826424</v>
      </c>
      <c r="I338">
        <f t="shared" si="33"/>
        <v>1565.3789564396229</v>
      </c>
      <c r="J338">
        <f t="shared" si="37"/>
        <v>1254.7170435603775</v>
      </c>
      <c r="K338">
        <f t="shared" si="38"/>
        <v>3451.0988614859239</v>
      </c>
      <c r="L338" t="str">
        <f t="shared" si="39"/>
        <v/>
      </c>
      <c r="O338" s="352"/>
    </row>
    <row r="339" spans="1:15">
      <c r="A339" s="375">
        <v>319</v>
      </c>
      <c r="B339" s="35" t="s">
        <v>171</v>
      </c>
      <c r="C339" s="376">
        <v>15</v>
      </c>
      <c r="D339">
        <f t="shared" si="34"/>
        <v>9</v>
      </c>
      <c r="E339">
        <f t="shared" si="32"/>
        <v>17280</v>
      </c>
      <c r="F339">
        <f t="shared" si="35"/>
        <v>2937.6000000000004</v>
      </c>
      <c r="G339">
        <f t="shared" si="36"/>
        <v>2820.0960000000005</v>
      </c>
      <c r="H339" s="35">
        <f>'More accurate Energy (Solar)'!N334</f>
        <v>9593643.1426751018</v>
      </c>
      <c r="I339">
        <f t="shared" si="33"/>
        <v>2664.900872965306</v>
      </c>
      <c r="J339">
        <f t="shared" si="37"/>
        <v>155.19512703469445</v>
      </c>
      <c r="K339">
        <f t="shared" si="38"/>
        <v>4705.8159050463019</v>
      </c>
      <c r="L339" t="str">
        <f t="shared" si="39"/>
        <v/>
      </c>
      <c r="O339" s="352"/>
    </row>
    <row r="340" spans="1:15">
      <c r="A340" s="375">
        <v>320</v>
      </c>
      <c r="B340" s="35" t="s">
        <v>171</v>
      </c>
      <c r="C340" s="376">
        <v>16</v>
      </c>
      <c r="D340">
        <f t="shared" si="34"/>
        <v>9</v>
      </c>
      <c r="E340">
        <f t="shared" si="32"/>
        <v>17280</v>
      </c>
      <c r="F340">
        <f t="shared" si="35"/>
        <v>2937.6000000000004</v>
      </c>
      <c r="G340">
        <f t="shared" si="36"/>
        <v>2820.0960000000005</v>
      </c>
      <c r="H340" s="35">
        <f>'More accurate Energy (Solar)'!N335</f>
        <v>12714219.561755959</v>
      </c>
      <c r="I340">
        <f t="shared" si="33"/>
        <v>3531.727656043322</v>
      </c>
      <c r="J340">
        <f t="shared" si="37"/>
        <v>-711.63165604332153</v>
      </c>
      <c r="K340">
        <f t="shared" si="38"/>
        <v>4861.0110320809963</v>
      </c>
      <c r="L340" t="str">
        <f t="shared" si="39"/>
        <v/>
      </c>
      <c r="O340" s="352"/>
    </row>
    <row r="341" spans="1:15">
      <c r="A341" s="375">
        <v>321</v>
      </c>
      <c r="B341" s="35" t="s">
        <v>171</v>
      </c>
      <c r="C341" s="376">
        <v>17</v>
      </c>
      <c r="D341">
        <f t="shared" si="34"/>
        <v>9</v>
      </c>
      <c r="E341">
        <f t="shared" ref="E341:E385" si="40">$B$3*$H$1*$B$8*D341</f>
        <v>17280</v>
      </c>
      <c r="F341">
        <f t="shared" si="35"/>
        <v>2937.6000000000004</v>
      </c>
      <c r="G341">
        <f t="shared" si="36"/>
        <v>2820.0960000000005</v>
      </c>
      <c r="H341" s="35">
        <f>'More accurate Energy (Solar)'!N336</f>
        <v>9684703.7340499982</v>
      </c>
      <c r="I341">
        <f t="shared" ref="I341:I385" si="41">H341/3600</f>
        <v>2690.1954816805551</v>
      </c>
      <c r="J341">
        <f t="shared" si="37"/>
        <v>129.90051831944538</v>
      </c>
      <c r="K341">
        <f t="shared" si="38"/>
        <v>4149.3793760376748</v>
      </c>
      <c r="L341" t="str">
        <f t="shared" si="39"/>
        <v/>
      </c>
      <c r="O341" s="352"/>
    </row>
    <row r="342" spans="1:15">
      <c r="A342" s="375">
        <v>322</v>
      </c>
      <c r="B342" s="35" t="s">
        <v>171</v>
      </c>
      <c r="C342" s="376">
        <v>18</v>
      </c>
      <c r="D342">
        <f t="shared" ref="D342:D385" si="42">INDEX($M$4:$M$15,MATCH(B342,$L$4:$L$15,0))</f>
        <v>9</v>
      </c>
      <c r="E342">
        <f t="shared" si="40"/>
        <v>17280</v>
      </c>
      <c r="F342">
        <f t="shared" ref="F342:F385" si="43">E342*$B$5</f>
        <v>2937.6000000000004</v>
      </c>
      <c r="G342">
        <f t="shared" ref="G342:G385" si="44">F342*$F$4</f>
        <v>2820.0960000000005</v>
      </c>
      <c r="H342" s="35">
        <f>'More accurate Energy (Solar)'!N337</f>
        <v>3456000</v>
      </c>
      <c r="I342">
        <f t="shared" si="41"/>
        <v>960</v>
      </c>
      <c r="J342">
        <f t="shared" ref="J342:J385" si="45">G342-I342</f>
        <v>1860.0960000000005</v>
      </c>
      <c r="K342">
        <f t="shared" ref="K342:K385" si="46">MIN(MAX(K341+J341,0),$F$3*$F$6)</f>
        <v>4279.2798943571197</v>
      </c>
      <c r="L342" t="str">
        <f t="shared" ref="L342:L385" si="47">IF(K342 = 0, 1, "")</f>
        <v/>
      </c>
      <c r="O342" s="352"/>
    </row>
    <row r="343" spans="1:15">
      <c r="A343" s="375">
        <v>323</v>
      </c>
      <c r="B343" s="35" t="s">
        <v>171</v>
      </c>
      <c r="C343" s="376">
        <v>19</v>
      </c>
      <c r="D343">
        <f t="shared" si="42"/>
        <v>9</v>
      </c>
      <c r="E343">
        <f t="shared" si="40"/>
        <v>17280</v>
      </c>
      <c r="F343">
        <f t="shared" si="43"/>
        <v>2937.6000000000004</v>
      </c>
      <c r="G343">
        <f t="shared" si="44"/>
        <v>2820.0960000000005</v>
      </c>
      <c r="H343" s="35">
        <f>'More accurate Energy (Solar)'!N338</f>
        <v>3456000</v>
      </c>
      <c r="I343">
        <f t="shared" si="41"/>
        <v>960</v>
      </c>
      <c r="J343">
        <f t="shared" si="45"/>
        <v>1860.0960000000005</v>
      </c>
      <c r="K343">
        <f t="shared" si="46"/>
        <v>6000</v>
      </c>
      <c r="L343" t="str">
        <f t="shared" si="47"/>
        <v/>
      </c>
      <c r="O343" s="352"/>
    </row>
    <row r="344" spans="1:15">
      <c r="A344" s="375">
        <v>324</v>
      </c>
      <c r="B344" s="35" t="s">
        <v>171</v>
      </c>
      <c r="C344" s="376">
        <v>20</v>
      </c>
      <c r="D344">
        <f t="shared" si="42"/>
        <v>9</v>
      </c>
      <c r="E344">
        <f t="shared" si="40"/>
        <v>17280</v>
      </c>
      <c r="F344">
        <f t="shared" si="43"/>
        <v>2937.6000000000004</v>
      </c>
      <c r="G344">
        <f t="shared" si="44"/>
        <v>2820.0960000000005</v>
      </c>
      <c r="H344" s="35">
        <f>'More accurate Energy (Solar)'!N339</f>
        <v>3456000</v>
      </c>
      <c r="I344">
        <f t="shared" si="41"/>
        <v>960</v>
      </c>
      <c r="J344">
        <f t="shared" si="45"/>
        <v>1860.0960000000005</v>
      </c>
      <c r="K344">
        <f t="shared" si="46"/>
        <v>6000</v>
      </c>
      <c r="L344" t="str">
        <f t="shared" si="47"/>
        <v/>
      </c>
      <c r="O344" s="352"/>
    </row>
    <row r="345" spans="1:15">
      <c r="A345" s="375">
        <v>325</v>
      </c>
      <c r="B345" s="35" t="s">
        <v>171</v>
      </c>
      <c r="C345" s="376">
        <v>21</v>
      </c>
      <c r="D345">
        <f t="shared" si="42"/>
        <v>9</v>
      </c>
      <c r="E345">
        <f t="shared" si="40"/>
        <v>17280</v>
      </c>
      <c r="F345">
        <f t="shared" si="43"/>
        <v>2937.6000000000004</v>
      </c>
      <c r="G345">
        <f t="shared" si="44"/>
        <v>2820.0960000000005</v>
      </c>
      <c r="H345" s="35">
        <f>'More accurate Energy (Solar)'!N340</f>
        <v>3456000</v>
      </c>
      <c r="I345">
        <f t="shared" si="41"/>
        <v>960</v>
      </c>
      <c r="J345">
        <f t="shared" si="45"/>
        <v>1860.0960000000005</v>
      </c>
      <c r="K345">
        <f t="shared" si="46"/>
        <v>6000</v>
      </c>
      <c r="L345" t="str">
        <f t="shared" si="47"/>
        <v/>
      </c>
      <c r="O345" s="352"/>
    </row>
    <row r="346" spans="1:15">
      <c r="A346" s="375">
        <v>326</v>
      </c>
      <c r="B346" s="35" t="s">
        <v>171</v>
      </c>
      <c r="C346" s="376">
        <v>22</v>
      </c>
      <c r="D346">
        <f t="shared" si="42"/>
        <v>9</v>
      </c>
      <c r="E346">
        <f t="shared" si="40"/>
        <v>17280</v>
      </c>
      <c r="F346">
        <f t="shared" si="43"/>
        <v>2937.6000000000004</v>
      </c>
      <c r="G346">
        <f t="shared" si="44"/>
        <v>2820.0960000000005</v>
      </c>
      <c r="H346" s="35">
        <f>'More accurate Energy (Solar)'!N341</f>
        <v>3456000</v>
      </c>
      <c r="I346">
        <f t="shared" si="41"/>
        <v>960</v>
      </c>
      <c r="J346">
        <f t="shared" si="45"/>
        <v>1860.0960000000005</v>
      </c>
      <c r="K346">
        <f t="shared" si="46"/>
        <v>6000</v>
      </c>
      <c r="L346" t="str">
        <f t="shared" si="47"/>
        <v/>
      </c>
      <c r="O346" s="352"/>
    </row>
    <row r="347" spans="1:15">
      <c r="A347" s="375">
        <v>327</v>
      </c>
      <c r="B347" s="35" t="s">
        <v>171</v>
      </c>
      <c r="C347" s="376">
        <v>23</v>
      </c>
      <c r="D347">
        <f t="shared" si="42"/>
        <v>9</v>
      </c>
      <c r="E347">
        <f t="shared" si="40"/>
        <v>17280</v>
      </c>
      <c r="F347">
        <f t="shared" si="43"/>
        <v>2937.6000000000004</v>
      </c>
      <c r="G347">
        <f t="shared" si="44"/>
        <v>2820.0960000000005</v>
      </c>
      <c r="H347" s="35">
        <f>'More accurate Energy (Solar)'!N342</f>
        <v>3456000</v>
      </c>
      <c r="I347">
        <f t="shared" si="41"/>
        <v>960</v>
      </c>
      <c r="J347">
        <f t="shared" si="45"/>
        <v>1860.0960000000005</v>
      </c>
      <c r="K347">
        <f t="shared" si="46"/>
        <v>6000</v>
      </c>
      <c r="L347" t="str">
        <f t="shared" si="47"/>
        <v/>
      </c>
      <c r="O347" s="352"/>
    </row>
    <row r="348" spans="1:15">
      <c r="A348" s="375">
        <v>328</v>
      </c>
      <c r="B348" s="35" t="s">
        <v>171</v>
      </c>
      <c r="C348" s="376">
        <v>24</v>
      </c>
      <c r="D348">
        <f t="shared" si="42"/>
        <v>9</v>
      </c>
      <c r="E348">
        <f t="shared" si="40"/>
        <v>17280</v>
      </c>
      <c r="F348">
        <f t="shared" si="43"/>
        <v>2937.6000000000004</v>
      </c>
      <c r="G348">
        <f t="shared" si="44"/>
        <v>2820.0960000000005</v>
      </c>
      <c r="H348" s="35">
        <f>'More accurate Energy (Solar)'!N343</f>
        <v>3456000</v>
      </c>
      <c r="I348">
        <f t="shared" si="41"/>
        <v>960</v>
      </c>
      <c r="J348">
        <f t="shared" si="45"/>
        <v>1860.0960000000005</v>
      </c>
      <c r="K348">
        <f t="shared" si="46"/>
        <v>6000</v>
      </c>
      <c r="L348" t="str">
        <f t="shared" si="47"/>
        <v/>
      </c>
      <c r="O348" s="352"/>
    </row>
    <row r="349" spans="1:15">
      <c r="A349" s="375">
        <v>329</v>
      </c>
      <c r="B349" s="35" t="s">
        <v>171</v>
      </c>
      <c r="C349" s="376">
        <v>25</v>
      </c>
      <c r="D349">
        <f t="shared" si="42"/>
        <v>9</v>
      </c>
      <c r="E349">
        <f t="shared" si="40"/>
        <v>17280</v>
      </c>
      <c r="F349">
        <f t="shared" si="43"/>
        <v>2937.6000000000004</v>
      </c>
      <c r="G349">
        <f t="shared" si="44"/>
        <v>2820.0960000000005</v>
      </c>
      <c r="H349" s="35">
        <f>'More accurate Energy (Solar)'!N344</f>
        <v>3456000</v>
      </c>
      <c r="I349">
        <f t="shared" si="41"/>
        <v>960</v>
      </c>
      <c r="J349">
        <f t="shared" si="45"/>
        <v>1860.0960000000005</v>
      </c>
      <c r="K349">
        <f t="shared" si="46"/>
        <v>6000</v>
      </c>
      <c r="L349" t="str">
        <f t="shared" si="47"/>
        <v/>
      </c>
      <c r="O349" s="352"/>
    </row>
    <row r="350" spans="1:15">
      <c r="A350" s="375">
        <v>330</v>
      </c>
      <c r="B350" s="35" t="s">
        <v>171</v>
      </c>
      <c r="C350" s="376">
        <v>26</v>
      </c>
      <c r="D350">
        <f t="shared" si="42"/>
        <v>9</v>
      </c>
      <c r="E350">
        <f t="shared" si="40"/>
        <v>17280</v>
      </c>
      <c r="F350">
        <f t="shared" si="43"/>
        <v>2937.6000000000004</v>
      </c>
      <c r="G350">
        <f t="shared" si="44"/>
        <v>2820.0960000000005</v>
      </c>
      <c r="H350" s="35">
        <f>'More accurate Energy (Solar)'!N345</f>
        <v>3456000</v>
      </c>
      <c r="I350">
        <f t="shared" si="41"/>
        <v>960</v>
      </c>
      <c r="J350">
        <f t="shared" si="45"/>
        <v>1860.0960000000005</v>
      </c>
      <c r="K350">
        <f t="shared" si="46"/>
        <v>6000</v>
      </c>
      <c r="L350" t="str">
        <f t="shared" si="47"/>
        <v/>
      </c>
      <c r="O350" s="352"/>
    </row>
    <row r="351" spans="1:15">
      <c r="A351" s="375">
        <v>331</v>
      </c>
      <c r="B351" s="35" t="s">
        <v>171</v>
      </c>
      <c r="C351" s="376">
        <v>27</v>
      </c>
      <c r="D351">
        <f t="shared" si="42"/>
        <v>9</v>
      </c>
      <c r="E351">
        <f t="shared" si="40"/>
        <v>17280</v>
      </c>
      <c r="F351">
        <f t="shared" si="43"/>
        <v>2937.6000000000004</v>
      </c>
      <c r="G351">
        <f t="shared" si="44"/>
        <v>2820.0960000000005</v>
      </c>
      <c r="H351" s="35">
        <f>'More accurate Energy (Solar)'!N346</f>
        <v>3456000</v>
      </c>
      <c r="I351">
        <f t="shared" si="41"/>
        <v>960</v>
      </c>
      <c r="J351">
        <f t="shared" si="45"/>
        <v>1860.0960000000005</v>
      </c>
      <c r="K351">
        <f t="shared" si="46"/>
        <v>6000</v>
      </c>
      <c r="L351" t="str">
        <f t="shared" si="47"/>
        <v/>
      </c>
      <c r="O351" s="352"/>
    </row>
    <row r="352" spans="1:15">
      <c r="A352" s="375">
        <v>332</v>
      </c>
      <c r="B352" s="35" t="s">
        <v>171</v>
      </c>
      <c r="C352" s="376">
        <v>28</v>
      </c>
      <c r="D352">
        <f t="shared" si="42"/>
        <v>9</v>
      </c>
      <c r="E352">
        <f t="shared" si="40"/>
        <v>17280</v>
      </c>
      <c r="F352">
        <f t="shared" si="43"/>
        <v>2937.6000000000004</v>
      </c>
      <c r="G352">
        <f t="shared" si="44"/>
        <v>2820.0960000000005</v>
      </c>
      <c r="H352" s="35">
        <f>'More accurate Energy (Solar)'!N347</f>
        <v>3456000</v>
      </c>
      <c r="I352">
        <f t="shared" si="41"/>
        <v>960</v>
      </c>
      <c r="J352">
        <f t="shared" si="45"/>
        <v>1860.0960000000005</v>
      </c>
      <c r="K352">
        <f t="shared" si="46"/>
        <v>6000</v>
      </c>
      <c r="L352" t="str">
        <f t="shared" si="47"/>
        <v/>
      </c>
      <c r="O352" s="352"/>
    </row>
    <row r="353" spans="1:15">
      <c r="A353" s="375">
        <v>333</v>
      </c>
      <c r="B353" s="35" t="s">
        <v>171</v>
      </c>
      <c r="C353" s="376">
        <v>29</v>
      </c>
      <c r="D353">
        <f t="shared" si="42"/>
        <v>9</v>
      </c>
      <c r="E353">
        <f t="shared" si="40"/>
        <v>17280</v>
      </c>
      <c r="F353">
        <f t="shared" si="43"/>
        <v>2937.6000000000004</v>
      </c>
      <c r="G353">
        <f t="shared" si="44"/>
        <v>2820.0960000000005</v>
      </c>
      <c r="H353" s="35">
        <f>'More accurate Energy (Solar)'!N348</f>
        <v>3456000</v>
      </c>
      <c r="I353">
        <f t="shared" si="41"/>
        <v>960</v>
      </c>
      <c r="J353">
        <f t="shared" si="45"/>
        <v>1860.0960000000005</v>
      </c>
      <c r="K353">
        <f t="shared" si="46"/>
        <v>6000</v>
      </c>
      <c r="L353" t="str">
        <f t="shared" si="47"/>
        <v/>
      </c>
      <c r="O353" s="352"/>
    </row>
    <row r="354" spans="1:15">
      <c r="A354" s="375">
        <v>334</v>
      </c>
      <c r="B354" s="35" t="s">
        <v>171</v>
      </c>
      <c r="C354" s="376">
        <v>30</v>
      </c>
      <c r="D354">
        <f t="shared" si="42"/>
        <v>9</v>
      </c>
      <c r="E354">
        <f t="shared" si="40"/>
        <v>17280</v>
      </c>
      <c r="F354">
        <f t="shared" si="43"/>
        <v>2937.6000000000004</v>
      </c>
      <c r="G354">
        <f t="shared" si="44"/>
        <v>2820.0960000000005</v>
      </c>
      <c r="H354" s="35">
        <f>'More accurate Energy (Solar)'!N349</f>
        <v>12139254.297571084</v>
      </c>
      <c r="I354">
        <f t="shared" si="41"/>
        <v>3372.0150826586341</v>
      </c>
      <c r="J354">
        <f t="shared" si="45"/>
        <v>-551.91908265863367</v>
      </c>
      <c r="K354">
        <f t="shared" si="46"/>
        <v>6000</v>
      </c>
      <c r="L354" t="str">
        <f t="shared" si="47"/>
        <v/>
      </c>
      <c r="O354" s="352"/>
    </row>
    <row r="355" spans="1:15">
      <c r="A355" s="375">
        <v>335</v>
      </c>
      <c r="B355" s="35" t="s">
        <v>172</v>
      </c>
      <c r="C355" s="376">
        <v>1</v>
      </c>
      <c r="D355">
        <f t="shared" si="42"/>
        <v>8.25</v>
      </c>
      <c r="E355">
        <f t="shared" si="40"/>
        <v>15840</v>
      </c>
      <c r="F355">
        <f t="shared" si="43"/>
        <v>2692.8</v>
      </c>
      <c r="G355">
        <f t="shared" si="44"/>
        <v>2585.0880000000002</v>
      </c>
      <c r="H355" s="35">
        <f>'More accurate Energy (Solar)'!N350</f>
        <v>12714219.561755959</v>
      </c>
      <c r="I355">
        <f t="shared" si="41"/>
        <v>3531.727656043322</v>
      </c>
      <c r="J355">
        <f t="shared" si="45"/>
        <v>-946.63965604332179</v>
      </c>
      <c r="K355">
        <f t="shared" si="46"/>
        <v>5448.0809173413663</v>
      </c>
      <c r="L355" t="str">
        <f t="shared" si="47"/>
        <v/>
      </c>
      <c r="O355" s="352"/>
    </row>
    <row r="356" spans="1:15">
      <c r="A356" s="375">
        <v>336</v>
      </c>
      <c r="B356" s="35" t="s">
        <v>172</v>
      </c>
      <c r="C356" s="376">
        <v>2</v>
      </c>
      <c r="D356">
        <f t="shared" si="42"/>
        <v>8.25</v>
      </c>
      <c r="E356">
        <f t="shared" si="40"/>
        <v>15840</v>
      </c>
      <c r="F356">
        <f t="shared" si="43"/>
        <v>2692.8</v>
      </c>
      <c r="G356">
        <f t="shared" si="44"/>
        <v>2585.0880000000002</v>
      </c>
      <c r="H356" s="35">
        <f>'More accurate Energy (Solar)'!N351</f>
        <v>12714219.561755959</v>
      </c>
      <c r="I356">
        <f t="shared" si="41"/>
        <v>3531.727656043322</v>
      </c>
      <c r="J356">
        <f t="shared" si="45"/>
        <v>-946.63965604332179</v>
      </c>
      <c r="K356">
        <f t="shared" si="46"/>
        <v>4501.441261298045</v>
      </c>
      <c r="L356" t="str">
        <f t="shared" si="47"/>
        <v/>
      </c>
      <c r="O356" s="352"/>
    </row>
    <row r="357" spans="1:15">
      <c r="A357" s="375">
        <v>337</v>
      </c>
      <c r="B357" s="35" t="s">
        <v>172</v>
      </c>
      <c r="C357" s="376">
        <v>3</v>
      </c>
      <c r="D357">
        <f t="shared" si="42"/>
        <v>8.25</v>
      </c>
      <c r="E357">
        <f t="shared" si="40"/>
        <v>15840</v>
      </c>
      <c r="F357">
        <f t="shared" si="43"/>
        <v>2692.8</v>
      </c>
      <c r="G357">
        <f t="shared" si="44"/>
        <v>2585.0880000000002</v>
      </c>
      <c r="H357" s="35">
        <f>'More accurate Energy (Solar)'!N352</f>
        <v>12714219.561755959</v>
      </c>
      <c r="I357">
        <f t="shared" si="41"/>
        <v>3531.727656043322</v>
      </c>
      <c r="J357">
        <f t="shared" si="45"/>
        <v>-946.63965604332179</v>
      </c>
      <c r="K357">
        <f t="shared" si="46"/>
        <v>3554.8016052547232</v>
      </c>
      <c r="L357" t="str">
        <f t="shared" si="47"/>
        <v/>
      </c>
      <c r="O357" s="352"/>
    </row>
    <row r="358" spans="1:15">
      <c r="A358" s="375">
        <v>338</v>
      </c>
      <c r="B358" s="35" t="s">
        <v>172</v>
      </c>
      <c r="C358" s="376">
        <v>4</v>
      </c>
      <c r="D358">
        <f t="shared" si="42"/>
        <v>8.25</v>
      </c>
      <c r="E358">
        <f t="shared" si="40"/>
        <v>15840</v>
      </c>
      <c r="F358">
        <f t="shared" si="43"/>
        <v>2692.8</v>
      </c>
      <c r="G358">
        <f t="shared" si="44"/>
        <v>2585.0880000000002</v>
      </c>
      <c r="H358" s="35">
        <f>'More accurate Energy (Solar)'!N353</f>
        <v>12714219.561755959</v>
      </c>
      <c r="I358">
        <f t="shared" si="41"/>
        <v>3531.727656043322</v>
      </c>
      <c r="J358">
        <f t="shared" si="45"/>
        <v>-946.63965604332179</v>
      </c>
      <c r="K358">
        <f t="shared" si="46"/>
        <v>2608.1619492114014</v>
      </c>
      <c r="L358" t="str">
        <f t="shared" si="47"/>
        <v/>
      </c>
      <c r="O358" s="352"/>
    </row>
    <row r="359" spans="1:15">
      <c r="A359" s="375">
        <v>339</v>
      </c>
      <c r="B359" s="35" t="s">
        <v>172</v>
      </c>
      <c r="C359" s="376">
        <v>5</v>
      </c>
      <c r="D359">
        <f t="shared" si="42"/>
        <v>8.25</v>
      </c>
      <c r="E359">
        <f t="shared" si="40"/>
        <v>15840</v>
      </c>
      <c r="F359">
        <f t="shared" si="43"/>
        <v>2692.8</v>
      </c>
      <c r="G359">
        <f t="shared" si="44"/>
        <v>2585.0880000000002</v>
      </c>
      <c r="H359" s="35">
        <f>'More accurate Energy (Solar)'!N354</f>
        <v>12714219.561755959</v>
      </c>
      <c r="I359">
        <f t="shared" si="41"/>
        <v>3531.727656043322</v>
      </c>
      <c r="J359">
        <f t="shared" si="45"/>
        <v>-946.63965604332179</v>
      </c>
      <c r="K359">
        <f t="shared" si="46"/>
        <v>1661.5222931680796</v>
      </c>
      <c r="L359" t="str">
        <f t="shared" si="47"/>
        <v/>
      </c>
      <c r="O359" s="352"/>
    </row>
    <row r="360" spans="1:15">
      <c r="A360" s="375">
        <v>340</v>
      </c>
      <c r="B360" s="35" t="s">
        <v>172</v>
      </c>
      <c r="C360" s="376">
        <v>6</v>
      </c>
      <c r="D360">
        <f t="shared" si="42"/>
        <v>8.25</v>
      </c>
      <c r="E360">
        <f t="shared" si="40"/>
        <v>15840</v>
      </c>
      <c r="F360">
        <f t="shared" si="43"/>
        <v>2692.8</v>
      </c>
      <c r="G360">
        <f t="shared" si="44"/>
        <v>2585.0880000000002</v>
      </c>
      <c r="H360" s="35">
        <f>'More accurate Energy (Solar)'!N355</f>
        <v>12714219.561755959</v>
      </c>
      <c r="I360">
        <f t="shared" si="41"/>
        <v>3531.727656043322</v>
      </c>
      <c r="J360">
        <f t="shared" si="45"/>
        <v>-946.63965604332179</v>
      </c>
      <c r="K360">
        <f t="shared" si="46"/>
        <v>714.88263712475782</v>
      </c>
      <c r="L360" t="str">
        <f t="shared" si="47"/>
        <v/>
      </c>
      <c r="O360" s="352"/>
    </row>
    <row r="361" spans="1:15">
      <c r="A361" s="375">
        <v>341</v>
      </c>
      <c r="B361" s="35" t="s">
        <v>172</v>
      </c>
      <c r="C361" s="376">
        <v>7</v>
      </c>
      <c r="D361">
        <f t="shared" si="42"/>
        <v>8.25</v>
      </c>
      <c r="E361">
        <f t="shared" si="40"/>
        <v>15840</v>
      </c>
      <c r="F361">
        <f t="shared" si="43"/>
        <v>2692.8</v>
      </c>
      <c r="G361">
        <f t="shared" si="44"/>
        <v>2585.0880000000002</v>
      </c>
      <c r="H361" s="35">
        <f>'More accurate Energy (Solar)'!N356</f>
        <v>12714219.561755959</v>
      </c>
      <c r="I361">
        <f t="shared" si="41"/>
        <v>3531.727656043322</v>
      </c>
      <c r="J361">
        <f t="shared" si="45"/>
        <v>-946.63965604332179</v>
      </c>
      <c r="K361">
        <f t="shared" si="46"/>
        <v>0</v>
      </c>
      <c r="L361">
        <f t="shared" si="47"/>
        <v>1</v>
      </c>
      <c r="O361" s="352"/>
    </row>
    <row r="362" spans="1:15">
      <c r="A362" s="375">
        <v>342</v>
      </c>
      <c r="B362" s="35" t="s">
        <v>172</v>
      </c>
      <c r="C362" s="376">
        <v>8</v>
      </c>
      <c r="D362">
        <f t="shared" si="42"/>
        <v>8.25</v>
      </c>
      <c r="E362">
        <f t="shared" si="40"/>
        <v>15840</v>
      </c>
      <c r="F362">
        <f t="shared" si="43"/>
        <v>2692.8</v>
      </c>
      <c r="G362">
        <f t="shared" si="44"/>
        <v>2585.0880000000002</v>
      </c>
      <c r="H362" s="35">
        <f>'More accurate Energy (Solar)'!N357</f>
        <v>12714219.561755959</v>
      </c>
      <c r="I362">
        <f t="shared" si="41"/>
        <v>3531.727656043322</v>
      </c>
      <c r="J362">
        <f t="shared" si="45"/>
        <v>-946.63965604332179</v>
      </c>
      <c r="K362">
        <f t="shared" si="46"/>
        <v>0</v>
      </c>
      <c r="L362">
        <f t="shared" si="47"/>
        <v>1</v>
      </c>
      <c r="O362" s="352"/>
    </row>
    <row r="363" spans="1:15">
      <c r="A363" s="375">
        <v>343</v>
      </c>
      <c r="B363" s="35" t="s">
        <v>172</v>
      </c>
      <c r="C363" s="376">
        <v>9</v>
      </c>
      <c r="D363">
        <f t="shared" si="42"/>
        <v>8.25</v>
      </c>
      <c r="E363">
        <f t="shared" si="40"/>
        <v>15840</v>
      </c>
      <c r="F363">
        <f t="shared" si="43"/>
        <v>2692.8</v>
      </c>
      <c r="G363">
        <f t="shared" si="44"/>
        <v>2585.0880000000002</v>
      </c>
      <c r="H363" s="35">
        <f>'More accurate Energy (Solar)'!N358</f>
        <v>9008199.5736775883</v>
      </c>
      <c r="I363">
        <f t="shared" si="41"/>
        <v>2502.2776593548856</v>
      </c>
      <c r="J363">
        <f t="shared" si="45"/>
        <v>82.810340645114593</v>
      </c>
      <c r="K363">
        <f t="shared" si="46"/>
        <v>0</v>
      </c>
      <c r="L363">
        <f t="shared" si="47"/>
        <v>1</v>
      </c>
      <c r="O363" s="352"/>
    </row>
    <row r="364" spans="1:15">
      <c r="A364" s="375">
        <v>344</v>
      </c>
      <c r="B364" s="35" t="s">
        <v>172</v>
      </c>
      <c r="C364" s="376">
        <v>10</v>
      </c>
      <c r="D364">
        <f t="shared" si="42"/>
        <v>8.25</v>
      </c>
      <c r="E364">
        <f t="shared" si="40"/>
        <v>15840</v>
      </c>
      <c r="F364">
        <f t="shared" si="43"/>
        <v>2692.8</v>
      </c>
      <c r="G364">
        <f t="shared" si="44"/>
        <v>2585.0880000000002</v>
      </c>
      <c r="H364" s="35">
        <f>'More accurate Energy (Solar)'!N359</f>
        <v>11895536.097289201</v>
      </c>
      <c r="I364">
        <f t="shared" si="41"/>
        <v>3304.3155825803337</v>
      </c>
      <c r="J364">
        <f t="shared" si="45"/>
        <v>-719.22758258033355</v>
      </c>
      <c r="K364">
        <f t="shared" si="46"/>
        <v>82.810340645114593</v>
      </c>
      <c r="L364" t="str">
        <f t="shared" si="47"/>
        <v/>
      </c>
      <c r="O364" s="352"/>
    </row>
    <row r="365" spans="1:15">
      <c r="A365" s="375">
        <v>345</v>
      </c>
      <c r="B365" s="35" t="s">
        <v>172</v>
      </c>
      <c r="C365" s="376">
        <v>11</v>
      </c>
      <c r="D365">
        <f t="shared" si="42"/>
        <v>8.25</v>
      </c>
      <c r="E365">
        <f t="shared" si="40"/>
        <v>15840</v>
      </c>
      <c r="F365">
        <f t="shared" si="43"/>
        <v>2692.8</v>
      </c>
      <c r="G365">
        <f t="shared" si="44"/>
        <v>2585.0880000000002</v>
      </c>
      <c r="H365" s="35">
        <f>'More accurate Energy (Solar)'!N360</f>
        <v>8211072.1917604888</v>
      </c>
      <c r="I365">
        <f t="shared" si="41"/>
        <v>2280.8533866001358</v>
      </c>
      <c r="J365">
        <f t="shared" si="45"/>
        <v>304.23461339986443</v>
      </c>
      <c r="K365">
        <f t="shared" si="46"/>
        <v>0</v>
      </c>
      <c r="L365">
        <f t="shared" si="47"/>
        <v>1</v>
      </c>
      <c r="O365" s="352"/>
    </row>
    <row r="366" spans="1:15">
      <c r="A366" s="375">
        <v>346</v>
      </c>
      <c r="B366" s="35" t="s">
        <v>172</v>
      </c>
      <c r="C366" s="376">
        <v>12</v>
      </c>
      <c r="D366">
        <f t="shared" si="42"/>
        <v>8.25</v>
      </c>
      <c r="E366">
        <f t="shared" si="40"/>
        <v>15840</v>
      </c>
      <c r="F366">
        <f t="shared" si="43"/>
        <v>2692.8</v>
      </c>
      <c r="G366">
        <f t="shared" si="44"/>
        <v>2585.0880000000002</v>
      </c>
      <c r="H366" s="35">
        <f>'More accurate Energy (Solar)'!N361</f>
        <v>12714219.561755959</v>
      </c>
      <c r="I366">
        <f t="shared" si="41"/>
        <v>3531.727656043322</v>
      </c>
      <c r="J366">
        <f t="shared" si="45"/>
        <v>-946.63965604332179</v>
      </c>
      <c r="K366">
        <f t="shared" si="46"/>
        <v>304.23461339986443</v>
      </c>
      <c r="L366" t="str">
        <f t="shared" si="47"/>
        <v/>
      </c>
      <c r="O366" s="352"/>
    </row>
    <row r="367" spans="1:15">
      <c r="A367" s="375">
        <v>347</v>
      </c>
      <c r="B367" s="35" t="s">
        <v>172</v>
      </c>
      <c r="C367" s="376">
        <v>13</v>
      </c>
      <c r="D367">
        <f t="shared" si="42"/>
        <v>8.25</v>
      </c>
      <c r="E367">
        <f t="shared" si="40"/>
        <v>15840</v>
      </c>
      <c r="F367">
        <f t="shared" si="43"/>
        <v>2692.8</v>
      </c>
      <c r="G367">
        <f t="shared" si="44"/>
        <v>2585.0880000000002</v>
      </c>
      <c r="H367" s="35">
        <f>'More accurate Energy (Solar)'!N362</f>
        <v>3456000</v>
      </c>
      <c r="I367">
        <f t="shared" si="41"/>
        <v>960</v>
      </c>
      <c r="J367">
        <f t="shared" si="45"/>
        <v>1625.0880000000002</v>
      </c>
      <c r="K367">
        <f t="shared" si="46"/>
        <v>0</v>
      </c>
      <c r="L367">
        <f t="shared" si="47"/>
        <v>1</v>
      </c>
      <c r="O367" s="352"/>
    </row>
    <row r="368" spans="1:15">
      <c r="A368" s="375">
        <v>348</v>
      </c>
      <c r="B368" s="35" t="s">
        <v>172</v>
      </c>
      <c r="C368" s="376">
        <v>14</v>
      </c>
      <c r="D368">
        <f t="shared" si="42"/>
        <v>8.25</v>
      </c>
      <c r="E368">
        <f t="shared" si="40"/>
        <v>15840</v>
      </c>
      <c r="F368">
        <f t="shared" si="43"/>
        <v>2692.8</v>
      </c>
      <c r="G368">
        <f t="shared" si="44"/>
        <v>2585.0880000000002</v>
      </c>
      <c r="H368" s="35">
        <f>'More accurate Energy (Solar)'!N363</f>
        <v>7521813.3267471371</v>
      </c>
      <c r="I368">
        <f t="shared" si="41"/>
        <v>2089.3925907630937</v>
      </c>
      <c r="J368">
        <f t="shared" si="45"/>
        <v>495.69540923690647</v>
      </c>
      <c r="K368">
        <f t="shared" si="46"/>
        <v>1625.0880000000002</v>
      </c>
      <c r="L368" t="str">
        <f t="shared" si="47"/>
        <v/>
      </c>
      <c r="O368" s="352"/>
    </row>
    <row r="369" spans="1:15">
      <c r="A369" s="375">
        <v>349</v>
      </c>
      <c r="B369" s="35" t="s">
        <v>172</v>
      </c>
      <c r="C369" s="376">
        <v>15</v>
      </c>
      <c r="D369">
        <f t="shared" si="42"/>
        <v>8.25</v>
      </c>
      <c r="E369">
        <f t="shared" si="40"/>
        <v>15840</v>
      </c>
      <c r="F369">
        <f t="shared" si="43"/>
        <v>2692.8</v>
      </c>
      <c r="G369">
        <f t="shared" si="44"/>
        <v>2585.0880000000002</v>
      </c>
      <c r="H369" s="35">
        <f>'More accurate Energy (Solar)'!N364</f>
        <v>7950904.5817043055</v>
      </c>
      <c r="I369">
        <f t="shared" si="41"/>
        <v>2208.5846060289737</v>
      </c>
      <c r="J369">
        <f t="shared" si="45"/>
        <v>376.50339397102653</v>
      </c>
      <c r="K369">
        <f t="shared" si="46"/>
        <v>2120.7834092369067</v>
      </c>
      <c r="L369" t="str">
        <f t="shared" si="47"/>
        <v/>
      </c>
      <c r="O369" s="352"/>
    </row>
    <row r="370" spans="1:15">
      <c r="A370" s="375">
        <v>350</v>
      </c>
      <c r="B370" s="35" t="s">
        <v>172</v>
      </c>
      <c r="C370" s="376">
        <v>16</v>
      </c>
      <c r="D370">
        <f t="shared" si="42"/>
        <v>8.25</v>
      </c>
      <c r="E370">
        <f t="shared" si="40"/>
        <v>15840</v>
      </c>
      <c r="F370">
        <f t="shared" si="43"/>
        <v>2692.8</v>
      </c>
      <c r="G370">
        <f t="shared" si="44"/>
        <v>2585.0880000000002</v>
      </c>
      <c r="H370" s="35">
        <f>'More accurate Energy (Solar)'!N365</f>
        <v>7365801.752635926</v>
      </c>
      <c r="I370">
        <f t="shared" si="41"/>
        <v>2046.0560423988684</v>
      </c>
      <c r="J370">
        <f t="shared" si="45"/>
        <v>539.03195760113181</v>
      </c>
      <c r="K370">
        <f t="shared" si="46"/>
        <v>2497.2868032079332</v>
      </c>
      <c r="L370" t="str">
        <f t="shared" si="47"/>
        <v/>
      </c>
      <c r="O370" s="352"/>
    </row>
    <row r="371" spans="1:15">
      <c r="A371" s="375">
        <v>351</v>
      </c>
      <c r="B371" s="35" t="s">
        <v>172</v>
      </c>
      <c r="C371" s="376">
        <v>17</v>
      </c>
      <c r="D371">
        <f t="shared" si="42"/>
        <v>8.25</v>
      </c>
      <c r="E371">
        <f t="shared" si="40"/>
        <v>15840</v>
      </c>
      <c r="F371">
        <f t="shared" si="43"/>
        <v>2692.8</v>
      </c>
      <c r="G371">
        <f t="shared" si="44"/>
        <v>2585.0880000000002</v>
      </c>
      <c r="H371" s="35">
        <f>'More accurate Energy (Solar)'!N366</f>
        <v>12714219.561755959</v>
      </c>
      <c r="I371">
        <f t="shared" si="41"/>
        <v>3531.727656043322</v>
      </c>
      <c r="J371">
        <f t="shared" si="45"/>
        <v>-946.63965604332179</v>
      </c>
      <c r="K371">
        <f t="shared" si="46"/>
        <v>3036.3187608090648</v>
      </c>
      <c r="L371" t="str">
        <f t="shared" si="47"/>
        <v/>
      </c>
      <c r="O371" s="352"/>
    </row>
    <row r="372" spans="1:15">
      <c r="A372" s="375">
        <v>352</v>
      </c>
      <c r="B372" s="35" t="s">
        <v>172</v>
      </c>
      <c r="C372" s="376">
        <v>18</v>
      </c>
      <c r="D372">
        <f t="shared" si="42"/>
        <v>8.25</v>
      </c>
      <c r="E372">
        <f t="shared" si="40"/>
        <v>15840</v>
      </c>
      <c r="F372">
        <f t="shared" si="43"/>
        <v>2692.8</v>
      </c>
      <c r="G372">
        <f t="shared" si="44"/>
        <v>2585.0880000000002</v>
      </c>
      <c r="H372" s="35">
        <f>'More accurate Energy (Solar)'!N367</f>
        <v>12714219.561755959</v>
      </c>
      <c r="I372">
        <f t="shared" si="41"/>
        <v>3531.727656043322</v>
      </c>
      <c r="J372">
        <f t="shared" si="45"/>
        <v>-946.63965604332179</v>
      </c>
      <c r="K372">
        <f t="shared" si="46"/>
        <v>2089.679104765743</v>
      </c>
      <c r="L372" t="str">
        <f t="shared" si="47"/>
        <v/>
      </c>
      <c r="O372" s="352"/>
    </row>
    <row r="373" spans="1:15">
      <c r="A373" s="375">
        <v>353</v>
      </c>
      <c r="B373" s="35" t="s">
        <v>172</v>
      </c>
      <c r="C373" s="376">
        <v>19</v>
      </c>
      <c r="D373">
        <f t="shared" si="42"/>
        <v>8.25</v>
      </c>
      <c r="E373">
        <f t="shared" si="40"/>
        <v>15840</v>
      </c>
      <c r="F373">
        <f t="shared" si="43"/>
        <v>2692.8</v>
      </c>
      <c r="G373">
        <f t="shared" si="44"/>
        <v>2585.0880000000002</v>
      </c>
      <c r="H373" s="35">
        <f>'More accurate Energy (Solar)'!N368</f>
        <v>12714219.561755959</v>
      </c>
      <c r="I373">
        <f t="shared" si="41"/>
        <v>3531.727656043322</v>
      </c>
      <c r="J373">
        <f t="shared" si="45"/>
        <v>-946.63965604332179</v>
      </c>
      <c r="K373">
        <f t="shared" si="46"/>
        <v>1143.0394487224212</v>
      </c>
      <c r="L373" t="str">
        <f t="shared" si="47"/>
        <v/>
      </c>
      <c r="O373" s="352"/>
    </row>
    <row r="374" spans="1:15">
      <c r="A374" s="375">
        <v>354</v>
      </c>
      <c r="B374" s="35" t="s">
        <v>172</v>
      </c>
      <c r="C374" s="376">
        <v>20</v>
      </c>
      <c r="D374">
        <f t="shared" si="42"/>
        <v>8.25</v>
      </c>
      <c r="E374">
        <f t="shared" si="40"/>
        <v>15840</v>
      </c>
      <c r="F374">
        <f t="shared" si="43"/>
        <v>2692.8</v>
      </c>
      <c r="G374">
        <f t="shared" si="44"/>
        <v>2585.0880000000002</v>
      </c>
      <c r="H374" s="35">
        <f>'More accurate Energy (Solar)'!N369</f>
        <v>12714219.561755959</v>
      </c>
      <c r="I374">
        <f t="shared" si="41"/>
        <v>3531.727656043322</v>
      </c>
      <c r="J374">
        <f t="shared" si="45"/>
        <v>-946.63965604332179</v>
      </c>
      <c r="K374">
        <f t="shared" si="46"/>
        <v>196.39979267909939</v>
      </c>
      <c r="L374" t="str">
        <f t="shared" si="47"/>
        <v/>
      </c>
      <c r="O374" s="352"/>
    </row>
    <row r="375" spans="1:15">
      <c r="A375" s="375">
        <v>355</v>
      </c>
      <c r="B375" s="35" t="s">
        <v>172</v>
      </c>
      <c r="C375" s="376">
        <v>21</v>
      </c>
      <c r="D375">
        <f t="shared" si="42"/>
        <v>8.25</v>
      </c>
      <c r="E375">
        <f t="shared" si="40"/>
        <v>15840</v>
      </c>
      <c r="F375">
        <f t="shared" si="43"/>
        <v>2692.8</v>
      </c>
      <c r="G375">
        <f t="shared" si="44"/>
        <v>2585.0880000000002</v>
      </c>
      <c r="H375" s="35">
        <f>'More accurate Energy (Solar)'!N370</f>
        <v>10819093.756604306</v>
      </c>
      <c r="I375">
        <f t="shared" si="41"/>
        <v>3005.3038212789738</v>
      </c>
      <c r="J375">
        <f t="shared" si="45"/>
        <v>-420.21582127897364</v>
      </c>
      <c r="K375">
        <f t="shared" si="46"/>
        <v>0</v>
      </c>
      <c r="L375">
        <f t="shared" si="47"/>
        <v>1</v>
      </c>
      <c r="O375" s="352"/>
    </row>
    <row r="376" spans="1:15">
      <c r="A376" s="375">
        <v>356</v>
      </c>
      <c r="B376" s="35" t="s">
        <v>172</v>
      </c>
      <c r="C376" s="376">
        <v>22</v>
      </c>
      <c r="D376">
        <f t="shared" si="42"/>
        <v>8.25</v>
      </c>
      <c r="E376">
        <f t="shared" si="40"/>
        <v>15840</v>
      </c>
      <c r="F376">
        <f t="shared" si="43"/>
        <v>2692.8</v>
      </c>
      <c r="G376">
        <f t="shared" si="44"/>
        <v>2585.0880000000002</v>
      </c>
      <c r="H376" s="35">
        <f>'More accurate Energy (Solar)'!N371</f>
        <v>12714219.561755959</v>
      </c>
      <c r="I376">
        <f t="shared" si="41"/>
        <v>3531.727656043322</v>
      </c>
      <c r="J376">
        <f t="shared" si="45"/>
        <v>-946.63965604332179</v>
      </c>
      <c r="K376">
        <f t="shared" si="46"/>
        <v>0</v>
      </c>
      <c r="L376">
        <f t="shared" si="47"/>
        <v>1</v>
      </c>
      <c r="O376" s="352"/>
    </row>
    <row r="377" spans="1:15">
      <c r="A377" s="375">
        <v>357</v>
      </c>
      <c r="B377" s="35" t="s">
        <v>172</v>
      </c>
      <c r="C377" s="376">
        <v>23</v>
      </c>
      <c r="D377">
        <f t="shared" si="42"/>
        <v>8.25</v>
      </c>
      <c r="E377">
        <f t="shared" si="40"/>
        <v>15840</v>
      </c>
      <c r="F377">
        <f t="shared" si="43"/>
        <v>2692.8</v>
      </c>
      <c r="G377">
        <f t="shared" si="44"/>
        <v>2585.0880000000002</v>
      </c>
      <c r="H377" s="35">
        <f>'More accurate Energy (Solar)'!N372</f>
        <v>10964175.537861586</v>
      </c>
      <c r="I377">
        <f t="shared" si="41"/>
        <v>3045.6043160726626</v>
      </c>
      <c r="J377">
        <f t="shared" si="45"/>
        <v>-460.51631607266245</v>
      </c>
      <c r="K377">
        <f t="shared" si="46"/>
        <v>0</v>
      </c>
      <c r="L377">
        <f t="shared" si="47"/>
        <v>1</v>
      </c>
      <c r="O377" s="352"/>
    </row>
    <row r="378" spans="1:15">
      <c r="A378" s="375">
        <v>358</v>
      </c>
      <c r="B378" s="35" t="s">
        <v>172</v>
      </c>
      <c r="C378" s="376">
        <v>24</v>
      </c>
      <c r="D378">
        <f t="shared" si="42"/>
        <v>8.25</v>
      </c>
      <c r="E378">
        <f t="shared" si="40"/>
        <v>15840</v>
      </c>
      <c r="F378">
        <f t="shared" si="43"/>
        <v>2692.8</v>
      </c>
      <c r="G378">
        <f t="shared" si="44"/>
        <v>2585.0880000000002</v>
      </c>
      <c r="H378" s="35">
        <f>'More accurate Energy (Solar)'!N373</f>
        <v>3456000</v>
      </c>
      <c r="I378">
        <f t="shared" si="41"/>
        <v>960</v>
      </c>
      <c r="J378">
        <f t="shared" si="45"/>
        <v>1625.0880000000002</v>
      </c>
      <c r="K378">
        <f t="shared" si="46"/>
        <v>0</v>
      </c>
      <c r="L378">
        <f t="shared" si="47"/>
        <v>1</v>
      </c>
      <c r="O378" s="352"/>
    </row>
    <row r="379" spans="1:15">
      <c r="A379" s="375">
        <v>359</v>
      </c>
      <c r="B379" s="35" t="s">
        <v>172</v>
      </c>
      <c r="C379" s="376">
        <v>25</v>
      </c>
      <c r="D379">
        <f t="shared" si="42"/>
        <v>8.25</v>
      </c>
      <c r="E379">
        <f t="shared" si="40"/>
        <v>15840</v>
      </c>
      <c r="F379">
        <f t="shared" si="43"/>
        <v>2692.8</v>
      </c>
      <c r="G379">
        <f t="shared" si="44"/>
        <v>2585.0880000000002</v>
      </c>
      <c r="H379" s="35">
        <f>'More accurate Energy (Solar)'!N374</f>
        <v>3456000</v>
      </c>
      <c r="I379">
        <f t="shared" si="41"/>
        <v>960</v>
      </c>
      <c r="J379">
        <f t="shared" si="45"/>
        <v>1625.0880000000002</v>
      </c>
      <c r="K379">
        <f t="shared" si="46"/>
        <v>1625.0880000000002</v>
      </c>
      <c r="L379" t="str">
        <f t="shared" si="47"/>
        <v/>
      </c>
      <c r="O379" s="352"/>
    </row>
    <row r="380" spans="1:15">
      <c r="A380" s="375">
        <v>360</v>
      </c>
      <c r="B380" s="35" t="s">
        <v>172</v>
      </c>
      <c r="C380" s="376">
        <v>26</v>
      </c>
      <c r="D380">
        <f t="shared" si="42"/>
        <v>8.25</v>
      </c>
      <c r="E380">
        <f t="shared" si="40"/>
        <v>15840</v>
      </c>
      <c r="F380">
        <f t="shared" si="43"/>
        <v>2692.8</v>
      </c>
      <c r="G380">
        <f t="shared" si="44"/>
        <v>2585.0880000000002</v>
      </c>
      <c r="H380" s="35">
        <f>'More accurate Energy (Solar)'!N375</f>
        <v>12714219.561755959</v>
      </c>
      <c r="I380">
        <f t="shared" si="41"/>
        <v>3531.727656043322</v>
      </c>
      <c r="J380">
        <f t="shared" si="45"/>
        <v>-946.63965604332179</v>
      </c>
      <c r="K380">
        <f t="shared" si="46"/>
        <v>3250.1760000000004</v>
      </c>
      <c r="L380" t="str">
        <f t="shared" si="47"/>
        <v/>
      </c>
      <c r="O380" s="352"/>
    </row>
    <row r="381" spans="1:15">
      <c r="A381" s="375">
        <v>361</v>
      </c>
      <c r="B381" s="35" t="s">
        <v>172</v>
      </c>
      <c r="C381" s="376">
        <v>27</v>
      </c>
      <c r="D381">
        <f t="shared" si="42"/>
        <v>8.25</v>
      </c>
      <c r="E381">
        <f t="shared" si="40"/>
        <v>15840</v>
      </c>
      <c r="F381">
        <f t="shared" si="43"/>
        <v>2692.8</v>
      </c>
      <c r="G381">
        <f t="shared" si="44"/>
        <v>2585.0880000000002</v>
      </c>
      <c r="H381" s="35">
        <f>'More accurate Energy (Solar)'!N376</f>
        <v>6844090.3619094864</v>
      </c>
      <c r="I381">
        <f t="shared" si="41"/>
        <v>1901.1362116415239</v>
      </c>
      <c r="J381">
        <f t="shared" si="45"/>
        <v>683.95178835847628</v>
      </c>
      <c r="K381">
        <f t="shared" si="46"/>
        <v>2303.5363439566786</v>
      </c>
      <c r="L381" t="str">
        <f t="shared" si="47"/>
        <v/>
      </c>
      <c r="O381" s="352"/>
    </row>
    <row r="382" spans="1:15">
      <c r="A382" s="375">
        <v>362</v>
      </c>
      <c r="B382" s="35" t="s">
        <v>172</v>
      </c>
      <c r="C382" s="376">
        <v>28</v>
      </c>
      <c r="D382">
        <f t="shared" si="42"/>
        <v>8.25</v>
      </c>
      <c r="E382">
        <f t="shared" si="40"/>
        <v>15840</v>
      </c>
      <c r="F382">
        <f t="shared" si="43"/>
        <v>2692.8</v>
      </c>
      <c r="G382">
        <f t="shared" si="44"/>
        <v>2585.0880000000002</v>
      </c>
      <c r="H382" s="35">
        <f>'More accurate Energy (Solar)'!N377</f>
        <v>4785381.2882989179</v>
      </c>
      <c r="I382">
        <f t="shared" si="41"/>
        <v>1329.2725800830328</v>
      </c>
      <c r="J382">
        <f t="shared" si="45"/>
        <v>1255.8154199169674</v>
      </c>
      <c r="K382">
        <f t="shared" si="46"/>
        <v>2987.4881323151549</v>
      </c>
      <c r="L382" t="str">
        <f t="shared" si="47"/>
        <v/>
      </c>
      <c r="O382" s="352"/>
    </row>
    <row r="383" spans="1:15">
      <c r="A383" s="375">
        <v>363</v>
      </c>
      <c r="B383" s="35" t="s">
        <v>172</v>
      </c>
      <c r="C383" s="376">
        <v>29</v>
      </c>
      <c r="D383">
        <f t="shared" si="42"/>
        <v>8.25</v>
      </c>
      <c r="E383">
        <f t="shared" si="40"/>
        <v>15840</v>
      </c>
      <c r="F383">
        <f t="shared" si="43"/>
        <v>2692.8</v>
      </c>
      <c r="G383">
        <f t="shared" si="44"/>
        <v>2585.0880000000002</v>
      </c>
      <c r="H383" s="35">
        <f>'More accurate Energy (Solar)'!N378</f>
        <v>3456000</v>
      </c>
      <c r="I383">
        <f t="shared" si="41"/>
        <v>960</v>
      </c>
      <c r="J383">
        <f t="shared" si="45"/>
        <v>1625.0880000000002</v>
      </c>
      <c r="K383">
        <f t="shared" si="46"/>
        <v>4243.3035522321225</v>
      </c>
      <c r="L383" t="str">
        <f t="shared" si="47"/>
        <v/>
      </c>
      <c r="O383" s="352"/>
    </row>
    <row r="384" spans="1:15">
      <c r="A384" s="375">
        <v>364</v>
      </c>
      <c r="B384" s="35" t="s">
        <v>172</v>
      </c>
      <c r="C384" s="376">
        <v>30</v>
      </c>
      <c r="D384">
        <f t="shared" si="42"/>
        <v>8.25</v>
      </c>
      <c r="E384">
        <f t="shared" si="40"/>
        <v>15840</v>
      </c>
      <c r="F384">
        <f t="shared" si="43"/>
        <v>2692.8</v>
      </c>
      <c r="G384">
        <f t="shared" si="44"/>
        <v>2585.0880000000002</v>
      </c>
      <c r="H384" s="35">
        <f>'More accurate Energy (Solar)'!N379</f>
        <v>3456000</v>
      </c>
      <c r="I384">
        <f t="shared" si="41"/>
        <v>960</v>
      </c>
      <c r="J384">
        <f t="shared" si="45"/>
        <v>1625.0880000000002</v>
      </c>
      <c r="K384">
        <f t="shared" si="46"/>
        <v>5868.3915522321222</v>
      </c>
      <c r="L384" t="str">
        <f t="shared" si="47"/>
        <v/>
      </c>
      <c r="O384" s="352"/>
    </row>
    <row r="385" spans="1:15">
      <c r="A385" s="377">
        <v>365</v>
      </c>
      <c r="B385" s="378" t="s">
        <v>172</v>
      </c>
      <c r="C385" s="269">
        <v>31</v>
      </c>
      <c r="D385">
        <f t="shared" si="42"/>
        <v>8.25</v>
      </c>
      <c r="E385">
        <f t="shared" si="40"/>
        <v>15840</v>
      </c>
      <c r="F385">
        <f t="shared" si="43"/>
        <v>2692.8</v>
      </c>
      <c r="G385">
        <f t="shared" si="44"/>
        <v>2585.0880000000002</v>
      </c>
      <c r="H385" s="35">
        <f>'More accurate Energy (Solar)'!N380</f>
        <v>3456000</v>
      </c>
      <c r="I385">
        <f t="shared" si="41"/>
        <v>960</v>
      </c>
      <c r="J385">
        <f t="shared" si="45"/>
        <v>1625.0880000000002</v>
      </c>
      <c r="K385">
        <f t="shared" si="46"/>
        <v>6000</v>
      </c>
      <c r="L385" t="str">
        <f t="shared" si="47"/>
        <v/>
      </c>
      <c r="O385" s="352"/>
    </row>
    <row r="386" spans="1:15">
      <c r="A386" s="372"/>
      <c r="I386" s="35"/>
    </row>
  </sheetData>
  <mergeCells count="1"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FBD6-7AA8-4C4C-8F9E-E1023A598367}">
  <dimension ref="A1:O79"/>
  <sheetViews>
    <sheetView zoomScale="65" workbookViewId="0">
      <selection activeCell="C2" sqref="C2"/>
    </sheetView>
  </sheetViews>
  <sheetFormatPr defaultRowHeight="14.45"/>
  <cols>
    <col min="1" max="1" width="20.42578125" customWidth="1"/>
    <col min="3" max="3" width="24" bestFit="1" customWidth="1"/>
    <col min="4" max="4" width="15.5703125" bestFit="1" customWidth="1"/>
    <col min="7" max="7" width="14.85546875" customWidth="1"/>
    <col min="12" max="12" width="23.5703125" bestFit="1" customWidth="1"/>
  </cols>
  <sheetData>
    <row r="1" spans="1:14">
      <c r="A1" s="132" t="str">
        <f>InputOutputData!A1</f>
        <v>Storage Tank Height</v>
      </c>
      <c r="B1" s="133" t="str">
        <f>InputOutputData!B1</f>
        <v>h</v>
      </c>
      <c r="C1" s="137">
        <f>InputOutputData!C1</f>
        <v>20</v>
      </c>
      <c r="D1" s="129" t="str">
        <f>InputOutputData!D1</f>
        <v>m</v>
      </c>
    </row>
    <row r="2" spans="1:14">
      <c r="A2" s="134" t="str">
        <f>InputOutputData!A2</f>
        <v>Distance to Storage Tank</v>
      </c>
      <c r="B2" s="88" t="str">
        <f>InputOutputData!B2</f>
        <v>L</v>
      </c>
      <c r="C2" s="138">
        <f>SQRT(InputOutputData!P4^2+InputOutputData!P3^2+InputOutputData!C1^2)</f>
        <v>63.442887702247603</v>
      </c>
      <c r="D2" s="130" t="str">
        <f>InputOutputData!D2</f>
        <v>m</v>
      </c>
    </row>
    <row r="3" spans="1:14">
      <c r="A3" s="134" t="str">
        <f>InputOutputData!A3</f>
        <v>Pipe diameter</v>
      </c>
      <c r="B3" s="88" t="str">
        <f>InputOutputData!B3</f>
        <v>D</v>
      </c>
      <c r="C3" s="138">
        <f>InputOutputData!C3</f>
        <v>0.02</v>
      </c>
      <c r="D3" s="130" t="str">
        <f>InputOutputData!D3</f>
        <v>m</v>
      </c>
      <c r="G3" t="str">
        <f>InputOutputData!G3</f>
        <v>Measured Cf</v>
      </c>
      <c r="H3" s="140">
        <f>InputOutputData!H3</f>
        <v>15040</v>
      </c>
      <c r="L3" s="445" t="s">
        <v>51</v>
      </c>
      <c r="M3" s="446" t="str">
        <f>InputOutputData!P11</f>
        <v>Up</v>
      </c>
    </row>
    <row r="4" spans="1:14">
      <c r="A4" s="134" t="str">
        <f>InputOutputData!A4</f>
        <v>Pipe area</v>
      </c>
      <c r="B4" s="88" t="str">
        <f>InputOutputData!B4</f>
        <v>A</v>
      </c>
      <c r="C4" s="138">
        <f>InputOutputData!C4</f>
        <v>3.1415926535897931E-4</v>
      </c>
      <c r="D4" s="130" t="str">
        <f>InputOutputData!D4</f>
        <v>m^2</v>
      </c>
    </row>
    <row r="5" spans="1:14">
      <c r="A5" s="134" t="str">
        <f>InputOutputData!A5</f>
        <v>Pipe friction factor</v>
      </c>
      <c r="B5" s="88" t="str">
        <f>InputOutputData!B5</f>
        <v>f</v>
      </c>
      <c r="C5" s="138">
        <f>InputOutputData!C5</f>
        <v>0.05</v>
      </c>
      <c r="D5" s="130"/>
    </row>
    <row r="6" spans="1:14">
      <c r="A6" s="134" t="str">
        <f>InputOutputData!A6</f>
        <v>Loss coefficient</v>
      </c>
      <c r="B6" s="88" t="str">
        <f>InputOutputData!B6</f>
        <v>K</v>
      </c>
      <c r="C6" s="138">
        <f>InputOutputData!D6</f>
        <v>12</v>
      </c>
      <c r="D6" s="130"/>
    </row>
    <row r="7" spans="1:14">
      <c r="A7" s="134" t="str">
        <f>InputOutputData!A7</f>
        <v>Pressure from storage</v>
      </c>
      <c r="B7" s="88" t="str">
        <f>InputOutputData!B7</f>
        <v>rho g h</v>
      </c>
      <c r="C7" s="138">
        <f>InputOutputData!C7</f>
        <v>196200</v>
      </c>
      <c r="D7" s="130" t="str">
        <f>InputOutputData!D7</f>
        <v>Pa</v>
      </c>
    </row>
    <row r="8" spans="1:14">
      <c r="A8" s="135" t="str">
        <f>InputOutputData!A8</f>
        <v>Consumption</v>
      </c>
      <c r="B8" s="136" t="str">
        <f>InputOutputData!B8</f>
        <v>C</v>
      </c>
      <c r="C8" s="139">
        <f>InputOutputData!C8</f>
        <v>432</v>
      </c>
      <c r="D8" s="131" t="str">
        <f>InputOutputData!D8</f>
        <v>L/day</v>
      </c>
    </row>
    <row r="9" spans="1:14">
      <c r="C9" s="140"/>
    </row>
    <row r="11" spans="1:14">
      <c r="A11" s="141"/>
      <c r="B11" s="141"/>
      <c r="C11" s="142" t="str">
        <f>InputOutputData!C11</f>
        <v>Cf</v>
      </c>
      <c r="D11" s="142" t="str">
        <f>InputOutputData!D11</f>
        <v>Actual Filter</v>
      </c>
      <c r="E11" s="143" t="str">
        <f>InputOutputData!E11</f>
        <v>Filter Life Data [L]</v>
      </c>
      <c r="F11" s="141"/>
      <c r="G11" s="141"/>
    </row>
    <row r="12" spans="1:14">
      <c r="A12" s="144" t="str">
        <f>InputOutputData!A12</f>
        <v>Filter Size</v>
      </c>
      <c r="B12" s="145" t="str">
        <f>InputOutputData!B12</f>
        <v>Present?</v>
      </c>
      <c r="C12" s="146" t="str">
        <f>InputOutputData!C12</f>
        <v>[Pa/(m/s)]</v>
      </c>
      <c r="D12" s="147" t="str">
        <f>InputOutputData!D12</f>
        <v>Life [L]</v>
      </c>
      <c r="E12" s="141" t="str">
        <f>InputOutputData!E12</f>
        <v>Non pre-filter</v>
      </c>
      <c r="F12" s="145" t="str">
        <f>InputOutputData!F12</f>
        <v>5 micron pre</v>
      </c>
      <c r="G12" s="148" t="str">
        <f>InputOutputData!G12</f>
        <v>200 micron pre</v>
      </c>
      <c r="L12" s="168" t="s">
        <v>189</v>
      </c>
      <c r="M12" s="186"/>
      <c r="N12" s="187"/>
    </row>
    <row r="13" spans="1:14">
      <c r="A13" s="149" t="str">
        <f>InputOutputData!A13</f>
        <v>1 micron</v>
      </c>
      <c r="B13" s="141" t="str">
        <f>InputOutputData!B13</f>
        <v>y</v>
      </c>
      <c r="C13" s="146">
        <f>InputOutputData!C13</f>
        <v>2511.6800000000003</v>
      </c>
      <c r="D13" s="147">
        <f>InputOutputData!D13</f>
        <v>20000</v>
      </c>
      <c r="E13" s="141">
        <f>InputOutputData!E13</f>
        <v>5000</v>
      </c>
      <c r="F13" s="141">
        <f>InputOutputData!F13</f>
        <v>20000</v>
      </c>
      <c r="G13" s="147">
        <f>InputOutputData!G13</f>
        <v>15000</v>
      </c>
      <c r="L13" s="170" t="s">
        <v>23</v>
      </c>
      <c r="M13" s="35">
        <f>(C5*C2/C3*1000/2) +(C6*1000/2)</f>
        <v>85303.609627809506</v>
      </c>
      <c r="N13" s="176"/>
    </row>
    <row r="14" spans="1:14">
      <c r="A14" s="149" t="str">
        <f>InputOutputData!A14</f>
        <v>5 micron</v>
      </c>
      <c r="B14" s="141" t="str">
        <f>InputOutputData!B14</f>
        <v>y</v>
      </c>
      <c r="C14" s="146">
        <f>InputOutputData!C14</f>
        <v>1252.8319999999999</v>
      </c>
      <c r="D14" s="147">
        <f>InputOutputData!D14</f>
        <v>20000</v>
      </c>
      <c r="E14" s="141">
        <f>InputOutputData!E14</f>
        <v>10000</v>
      </c>
      <c r="F14" s="141">
        <f>InputOutputData!F14</f>
        <v>0</v>
      </c>
      <c r="G14" s="147">
        <f>InputOutputData!G14</f>
        <v>20000</v>
      </c>
      <c r="L14" s="170" t="s">
        <v>72</v>
      </c>
      <c r="M14" s="35">
        <f>IF(M3="Up",0,C16)</f>
        <v>0</v>
      </c>
      <c r="N14" s="176"/>
    </row>
    <row r="15" spans="1:14">
      <c r="A15" s="149" t="str">
        <f>InputOutputData!A15</f>
        <v>200 micron</v>
      </c>
      <c r="B15" s="141" t="str">
        <f>InputOutputData!B15</f>
        <v>y</v>
      </c>
      <c r="C15" s="150">
        <f>InputOutputData!C15</f>
        <v>62.716799999999999</v>
      </c>
      <c r="D15" s="151">
        <f>InputOutputData!D15</f>
        <v>20000</v>
      </c>
      <c r="E15" s="152">
        <f>InputOutputData!E15</f>
        <v>20000</v>
      </c>
      <c r="F15" s="152">
        <f>InputOutputData!F15</f>
        <v>0</v>
      </c>
      <c r="G15" s="151">
        <f>InputOutputData!G15</f>
        <v>0</v>
      </c>
      <c r="L15" s="170" t="s">
        <v>45</v>
      </c>
      <c r="M15" s="35">
        <f>-C7</f>
        <v>-196200</v>
      </c>
      <c r="N15" s="176"/>
    </row>
    <row r="16" spans="1:14">
      <c r="A16" s="142" t="str">
        <f>InputOutputData!A16</f>
        <v>=IF('InputOutputData'!E36="Data 1(</v>
      </c>
      <c r="B16" s="153"/>
      <c r="C16" s="151">
        <f>InputOutputData!C16</f>
        <v>3827.2288000000003</v>
      </c>
      <c r="D16" s="141"/>
      <c r="E16" s="141"/>
      <c r="F16" s="141"/>
      <c r="G16" s="141"/>
      <c r="L16" s="170"/>
      <c r="M16" s="35"/>
      <c r="N16" s="176"/>
    </row>
    <row r="17" spans="1:15">
      <c r="L17" s="170" t="s">
        <v>190</v>
      </c>
      <c r="M17" s="35">
        <f>(-M14+SQRT(M14^2-4*M13*M15))/(2*M13)</f>
        <v>1.5165816508462018</v>
      </c>
      <c r="N17" s="176" t="s">
        <v>191</v>
      </c>
    </row>
    <row r="18" spans="1:15">
      <c r="L18" s="170" t="s">
        <v>192</v>
      </c>
      <c r="M18" s="35">
        <f>(-M14-SQRT(M14^2-4*M13*M15))/(2*M13)</f>
        <v>-1.5165816508462018</v>
      </c>
      <c r="N18" s="176" t="s">
        <v>191</v>
      </c>
    </row>
    <row r="19" spans="1:15">
      <c r="L19" s="170"/>
      <c r="M19" s="35"/>
      <c r="N19" s="176"/>
    </row>
    <row r="20" spans="1:15">
      <c r="L20" s="170" t="s">
        <v>193</v>
      </c>
      <c r="M20" s="270">
        <f>IF(M17&gt;M18,M17,M18)</f>
        <v>1.5165816508462018</v>
      </c>
      <c r="N20" s="176" t="s">
        <v>191</v>
      </c>
      <c r="O20" s="141" t="str">
        <f>"v="&amp;TEXT(M20,"0.0")&amp;" m/s"</f>
        <v>v=1.5 m/s</v>
      </c>
    </row>
    <row r="21" spans="1:15">
      <c r="L21" s="171" t="s">
        <v>194</v>
      </c>
      <c r="M21" s="271">
        <f>M20*C4*60*1000</f>
        <v>28.586890637205048</v>
      </c>
      <c r="N21" s="269" t="s">
        <v>105</v>
      </c>
      <c r="O21" s="141" t="str">
        <f>"Q="&amp;TEXT(M21,"0.0")&amp;" L/min"</f>
        <v>Q=28.6 L/min</v>
      </c>
    </row>
    <row r="24" spans="1:15">
      <c r="A24" s="272" t="s">
        <v>193</v>
      </c>
      <c r="B24" s="273" t="s">
        <v>195</v>
      </c>
      <c r="C24" s="274" t="s">
        <v>196</v>
      </c>
      <c r="D24" t="s">
        <v>197</v>
      </c>
    </row>
    <row r="25" spans="1:15">
      <c r="A25" s="275" t="s">
        <v>198</v>
      </c>
      <c r="B25" s="8" t="s">
        <v>199</v>
      </c>
      <c r="C25" s="276" t="s">
        <v>200</v>
      </c>
      <c r="D25" t="s">
        <v>200</v>
      </c>
    </row>
    <row r="26" spans="1:15">
      <c r="A26" s="170">
        <v>0</v>
      </c>
      <c r="B26" s="35">
        <v>0</v>
      </c>
      <c r="C26" s="176">
        <v>0</v>
      </c>
      <c r="D26">
        <f>$C$7</f>
        <v>196200</v>
      </c>
    </row>
    <row r="27" spans="1:15">
      <c r="A27" s="277">
        <f>A26+0.05</f>
        <v>0.05</v>
      </c>
      <c r="B27" s="278">
        <f>A27*$C$4*60*1000</f>
        <v>0.94247779607693805</v>
      </c>
      <c r="C27" s="279">
        <f>$M$13*(A27)^2+$M$14*A27</f>
        <v>213.2590240695238</v>
      </c>
      <c r="D27">
        <f t="shared" ref="D27:D79" si="0">$C$7</f>
        <v>196200</v>
      </c>
    </row>
    <row r="28" spans="1:15">
      <c r="A28" s="277">
        <f t="shared" ref="A28:A79" si="1">A27+0.05</f>
        <v>0.1</v>
      </c>
      <c r="B28" s="278">
        <f t="shared" ref="B28:B79" si="2">A28*$C$4*60*1000</f>
        <v>1.8849555921538761</v>
      </c>
      <c r="C28" s="279">
        <f t="shared" ref="C28:C79" si="3">$M$13*(A28)^2+$M$14*A28</f>
        <v>853.03609627809521</v>
      </c>
      <c r="D28">
        <f t="shared" si="0"/>
        <v>196200</v>
      </c>
    </row>
    <row r="29" spans="1:15">
      <c r="A29" s="277">
        <f t="shared" si="1"/>
        <v>0.15000000000000002</v>
      </c>
      <c r="B29" s="278">
        <f t="shared" si="2"/>
        <v>2.8274333882308147</v>
      </c>
      <c r="C29" s="279">
        <f t="shared" si="3"/>
        <v>1919.3312166257144</v>
      </c>
      <c r="D29">
        <f t="shared" si="0"/>
        <v>196200</v>
      </c>
    </row>
    <row r="30" spans="1:15">
      <c r="A30" s="277">
        <f t="shared" si="1"/>
        <v>0.2</v>
      </c>
      <c r="B30" s="278">
        <f t="shared" si="2"/>
        <v>3.7699111843077522</v>
      </c>
      <c r="C30" s="279">
        <f t="shared" si="3"/>
        <v>3412.1443851123809</v>
      </c>
      <c r="D30">
        <f t="shared" si="0"/>
        <v>196200</v>
      </c>
    </row>
    <row r="31" spans="1:15">
      <c r="A31" s="277">
        <f t="shared" si="1"/>
        <v>0.25</v>
      </c>
      <c r="B31" s="278">
        <f t="shared" si="2"/>
        <v>4.7123889803846897</v>
      </c>
      <c r="C31" s="279">
        <f t="shared" si="3"/>
        <v>5331.4756017380942</v>
      </c>
      <c r="D31">
        <f t="shared" si="0"/>
        <v>196200</v>
      </c>
    </row>
    <row r="32" spans="1:15">
      <c r="A32" s="277">
        <f t="shared" si="1"/>
        <v>0.3</v>
      </c>
      <c r="B32" s="278">
        <f t="shared" si="2"/>
        <v>5.6548667764616276</v>
      </c>
      <c r="C32" s="279">
        <f t="shared" si="3"/>
        <v>7677.324866502855</v>
      </c>
      <c r="D32">
        <f t="shared" si="0"/>
        <v>196200</v>
      </c>
    </row>
    <row r="33" spans="1:4">
      <c r="A33" s="277">
        <f t="shared" si="1"/>
        <v>0.35</v>
      </c>
      <c r="B33" s="278">
        <f t="shared" si="2"/>
        <v>6.5973445725385647</v>
      </c>
      <c r="C33" s="279">
        <f t="shared" si="3"/>
        <v>10449.692179406664</v>
      </c>
      <c r="D33">
        <f t="shared" si="0"/>
        <v>196200</v>
      </c>
    </row>
    <row r="34" spans="1:4">
      <c r="A34" s="277">
        <f t="shared" si="1"/>
        <v>0.39999999999999997</v>
      </c>
      <c r="B34" s="278">
        <f t="shared" si="2"/>
        <v>7.5398223686155026</v>
      </c>
      <c r="C34" s="279">
        <f t="shared" si="3"/>
        <v>13648.57754044952</v>
      </c>
      <c r="D34">
        <f t="shared" si="0"/>
        <v>196200</v>
      </c>
    </row>
    <row r="35" spans="1:4">
      <c r="A35" s="277">
        <f t="shared" si="1"/>
        <v>0.44999999999999996</v>
      </c>
      <c r="B35" s="278">
        <f t="shared" si="2"/>
        <v>8.4823001646924414</v>
      </c>
      <c r="C35" s="279">
        <f t="shared" si="3"/>
        <v>17273.980949631423</v>
      </c>
      <c r="D35">
        <f t="shared" si="0"/>
        <v>196200</v>
      </c>
    </row>
    <row r="36" spans="1:4">
      <c r="A36" s="277">
        <f t="shared" si="1"/>
        <v>0.49999999999999994</v>
      </c>
      <c r="B36" s="278">
        <f t="shared" si="2"/>
        <v>9.4247779607693776</v>
      </c>
      <c r="C36" s="279">
        <f t="shared" si="3"/>
        <v>21325.902406952373</v>
      </c>
      <c r="D36">
        <f t="shared" si="0"/>
        <v>196200</v>
      </c>
    </row>
    <row r="37" spans="1:4">
      <c r="A37" s="277">
        <f t="shared" si="1"/>
        <v>0.54999999999999993</v>
      </c>
      <c r="B37" s="278">
        <f t="shared" si="2"/>
        <v>10.367255756846316</v>
      </c>
      <c r="C37" s="279">
        <f t="shared" si="3"/>
        <v>25804.341912412368</v>
      </c>
      <c r="D37">
        <f t="shared" si="0"/>
        <v>196200</v>
      </c>
    </row>
    <row r="38" spans="1:4">
      <c r="A38" s="277">
        <f t="shared" si="1"/>
        <v>0.6</v>
      </c>
      <c r="B38" s="278">
        <f t="shared" si="2"/>
        <v>11.309733552923255</v>
      </c>
      <c r="C38" s="279">
        <f t="shared" si="3"/>
        <v>30709.29946601142</v>
      </c>
      <c r="D38">
        <f t="shared" si="0"/>
        <v>196200</v>
      </c>
    </row>
    <row r="39" spans="1:4">
      <c r="A39" s="277">
        <f t="shared" si="1"/>
        <v>0.65</v>
      </c>
      <c r="B39" s="278">
        <f t="shared" si="2"/>
        <v>12.252211349000193</v>
      </c>
      <c r="C39" s="279">
        <f t="shared" si="3"/>
        <v>36040.775067749521</v>
      </c>
      <c r="D39">
        <f t="shared" si="0"/>
        <v>196200</v>
      </c>
    </row>
    <row r="40" spans="1:4">
      <c r="A40" s="277">
        <f t="shared" si="1"/>
        <v>0.70000000000000007</v>
      </c>
      <c r="B40" s="278">
        <f t="shared" si="2"/>
        <v>13.194689145077131</v>
      </c>
      <c r="C40" s="279">
        <f t="shared" si="3"/>
        <v>41798.76871762667</v>
      </c>
      <c r="D40">
        <f t="shared" si="0"/>
        <v>196200</v>
      </c>
    </row>
    <row r="41" spans="1:4">
      <c r="A41" s="277">
        <f t="shared" si="1"/>
        <v>0.75000000000000011</v>
      </c>
      <c r="B41" s="278">
        <f t="shared" si="2"/>
        <v>14.137166941154071</v>
      </c>
      <c r="C41" s="279">
        <f t="shared" si="3"/>
        <v>47983.280415642868</v>
      </c>
      <c r="D41">
        <f t="shared" si="0"/>
        <v>196200</v>
      </c>
    </row>
    <row r="42" spans="1:4">
      <c r="A42" s="277">
        <f t="shared" si="1"/>
        <v>0.80000000000000016</v>
      </c>
      <c r="B42" s="278">
        <f t="shared" si="2"/>
        <v>15.079644737231009</v>
      </c>
      <c r="C42" s="279">
        <f t="shared" si="3"/>
        <v>54594.310161798101</v>
      </c>
      <c r="D42">
        <f t="shared" si="0"/>
        <v>196200</v>
      </c>
    </row>
    <row r="43" spans="1:4">
      <c r="A43" s="277">
        <f t="shared" si="1"/>
        <v>0.8500000000000002</v>
      </c>
      <c r="B43" s="278">
        <f t="shared" si="2"/>
        <v>16.022122533307947</v>
      </c>
      <c r="C43" s="279">
        <f t="shared" si="3"/>
        <v>61631.857956092397</v>
      </c>
      <c r="D43">
        <f t="shared" si="0"/>
        <v>196200</v>
      </c>
    </row>
    <row r="44" spans="1:4">
      <c r="A44" s="277">
        <f t="shared" si="1"/>
        <v>0.90000000000000024</v>
      </c>
      <c r="B44" s="278">
        <f t="shared" si="2"/>
        <v>16.964600329384886</v>
      </c>
      <c r="C44" s="279">
        <f t="shared" si="3"/>
        <v>69095.923798525735</v>
      </c>
      <c r="D44">
        <f t="shared" si="0"/>
        <v>196200</v>
      </c>
    </row>
    <row r="45" spans="1:4">
      <c r="A45" s="277">
        <f t="shared" si="1"/>
        <v>0.95000000000000029</v>
      </c>
      <c r="B45" s="278">
        <f t="shared" si="2"/>
        <v>17.90707812546183</v>
      </c>
      <c r="C45" s="279">
        <f t="shared" si="3"/>
        <v>76986.507689098129</v>
      </c>
      <c r="D45">
        <f t="shared" si="0"/>
        <v>196200</v>
      </c>
    </row>
    <row r="46" spans="1:4">
      <c r="A46" s="277">
        <f t="shared" si="1"/>
        <v>1.0000000000000002</v>
      </c>
      <c r="B46" s="278">
        <f t="shared" si="2"/>
        <v>18.849555921538762</v>
      </c>
      <c r="C46" s="279">
        <f t="shared" si="3"/>
        <v>85303.60962780955</v>
      </c>
      <c r="D46">
        <f t="shared" si="0"/>
        <v>196200</v>
      </c>
    </row>
    <row r="47" spans="1:4">
      <c r="A47" s="277">
        <f t="shared" si="1"/>
        <v>1.0500000000000003</v>
      </c>
      <c r="B47" s="278">
        <f t="shared" si="2"/>
        <v>19.792033717615698</v>
      </c>
      <c r="C47" s="279">
        <f t="shared" si="3"/>
        <v>94047.229614660027</v>
      </c>
      <c r="D47">
        <f t="shared" si="0"/>
        <v>196200</v>
      </c>
    </row>
    <row r="48" spans="1:4">
      <c r="A48" s="277">
        <f t="shared" si="1"/>
        <v>1.1000000000000003</v>
      </c>
      <c r="B48" s="278">
        <f t="shared" si="2"/>
        <v>20.734511513692642</v>
      </c>
      <c r="C48" s="279">
        <f t="shared" si="3"/>
        <v>103217.36764964956</v>
      </c>
      <c r="D48">
        <f t="shared" si="0"/>
        <v>196200</v>
      </c>
    </row>
    <row r="49" spans="1:4">
      <c r="A49" s="277">
        <f t="shared" si="1"/>
        <v>1.1500000000000004</v>
      </c>
      <c r="B49" s="278">
        <f t="shared" si="2"/>
        <v>21.676989309769578</v>
      </c>
      <c r="C49" s="279">
        <f t="shared" si="3"/>
        <v>112814.02373277815</v>
      </c>
      <c r="D49">
        <f t="shared" si="0"/>
        <v>196200</v>
      </c>
    </row>
    <row r="50" spans="1:4">
      <c r="A50" s="277">
        <f t="shared" si="1"/>
        <v>1.2000000000000004</v>
      </c>
      <c r="B50" s="278">
        <f t="shared" si="2"/>
        <v>22.619467105846518</v>
      </c>
      <c r="C50" s="279">
        <f t="shared" si="3"/>
        <v>122837.19786404578</v>
      </c>
      <c r="D50">
        <f t="shared" si="0"/>
        <v>196200</v>
      </c>
    </row>
    <row r="51" spans="1:4">
      <c r="A51" s="277">
        <f t="shared" si="1"/>
        <v>1.2500000000000004</v>
      </c>
      <c r="B51" s="278">
        <f t="shared" si="2"/>
        <v>23.561944901923457</v>
      </c>
      <c r="C51" s="279">
        <f t="shared" si="3"/>
        <v>133286.89004345244</v>
      </c>
      <c r="D51">
        <f t="shared" si="0"/>
        <v>196200</v>
      </c>
    </row>
    <row r="52" spans="1:4">
      <c r="A52" s="277">
        <f t="shared" si="1"/>
        <v>1.3000000000000005</v>
      </c>
      <c r="B52" s="278">
        <f t="shared" si="2"/>
        <v>24.504422698000393</v>
      </c>
      <c r="C52" s="279">
        <f t="shared" si="3"/>
        <v>144163.10027099817</v>
      </c>
      <c r="D52">
        <f t="shared" si="0"/>
        <v>196200</v>
      </c>
    </row>
    <row r="53" spans="1:4">
      <c r="A53" s="277">
        <f t="shared" si="1"/>
        <v>1.3500000000000005</v>
      </c>
      <c r="B53" s="278">
        <f t="shared" si="2"/>
        <v>25.446900494077333</v>
      </c>
      <c r="C53" s="279">
        <f t="shared" si="3"/>
        <v>155465.82854668293</v>
      </c>
      <c r="D53">
        <f t="shared" si="0"/>
        <v>196200</v>
      </c>
    </row>
    <row r="54" spans="1:4">
      <c r="A54" s="277">
        <f t="shared" si="1"/>
        <v>1.4000000000000006</v>
      </c>
      <c r="B54" s="278">
        <f t="shared" si="2"/>
        <v>26.389378290154273</v>
      </c>
      <c r="C54" s="279">
        <f t="shared" si="3"/>
        <v>167195.07487050677</v>
      </c>
      <c r="D54">
        <f t="shared" si="0"/>
        <v>196200</v>
      </c>
    </row>
    <row r="55" spans="1:4">
      <c r="A55" s="277">
        <f t="shared" si="1"/>
        <v>1.4500000000000006</v>
      </c>
      <c r="B55" s="278">
        <f t="shared" si="2"/>
        <v>27.331856086231213</v>
      </c>
      <c r="C55" s="279">
        <f t="shared" si="3"/>
        <v>179350.83924246964</v>
      </c>
      <c r="D55">
        <f t="shared" si="0"/>
        <v>196200</v>
      </c>
    </row>
    <row r="56" spans="1:4">
      <c r="A56" s="277">
        <f t="shared" si="1"/>
        <v>1.5000000000000007</v>
      </c>
      <c r="B56" s="278">
        <f t="shared" si="2"/>
        <v>28.274333882308152</v>
      </c>
      <c r="C56" s="279">
        <f t="shared" si="3"/>
        <v>191933.12166257153</v>
      </c>
      <c r="D56">
        <f t="shared" si="0"/>
        <v>196200</v>
      </c>
    </row>
    <row r="57" spans="1:4">
      <c r="A57" s="277">
        <f t="shared" si="1"/>
        <v>1.5500000000000007</v>
      </c>
      <c r="B57" s="278">
        <f t="shared" si="2"/>
        <v>29.216811678385088</v>
      </c>
      <c r="C57" s="279">
        <f t="shared" si="3"/>
        <v>204941.92213081251</v>
      </c>
      <c r="D57">
        <f t="shared" si="0"/>
        <v>196200</v>
      </c>
    </row>
    <row r="58" spans="1:4">
      <c r="A58" s="277">
        <f t="shared" si="1"/>
        <v>1.6000000000000008</v>
      </c>
      <c r="B58" s="278">
        <f t="shared" si="2"/>
        <v>30.159289474462032</v>
      </c>
      <c r="C58" s="279">
        <f t="shared" si="3"/>
        <v>218377.24064719252</v>
      </c>
      <c r="D58">
        <f t="shared" si="0"/>
        <v>196200</v>
      </c>
    </row>
    <row r="59" spans="1:4">
      <c r="A59" s="277">
        <f t="shared" si="1"/>
        <v>1.6500000000000008</v>
      </c>
      <c r="B59" s="278">
        <f t="shared" si="2"/>
        <v>31.101767270538964</v>
      </c>
      <c r="C59" s="279">
        <f t="shared" si="3"/>
        <v>232239.07721171161</v>
      </c>
      <c r="D59">
        <f t="shared" si="0"/>
        <v>196200</v>
      </c>
    </row>
    <row r="60" spans="1:4">
      <c r="A60" s="277">
        <f t="shared" si="1"/>
        <v>1.7000000000000008</v>
      </c>
      <c r="B60" s="278">
        <f t="shared" si="2"/>
        <v>32.044245066615908</v>
      </c>
      <c r="C60" s="279">
        <f t="shared" si="3"/>
        <v>246527.43182436971</v>
      </c>
      <c r="D60">
        <f t="shared" si="0"/>
        <v>196200</v>
      </c>
    </row>
    <row r="61" spans="1:4">
      <c r="A61" s="277">
        <f t="shared" si="1"/>
        <v>1.7500000000000009</v>
      </c>
      <c r="B61" s="278">
        <f t="shared" si="2"/>
        <v>32.986722862692844</v>
      </c>
      <c r="C61" s="279">
        <f t="shared" si="3"/>
        <v>261242.30448516688</v>
      </c>
      <c r="D61">
        <f t="shared" si="0"/>
        <v>196200</v>
      </c>
    </row>
    <row r="62" spans="1:4">
      <c r="A62" s="277">
        <f t="shared" si="1"/>
        <v>1.8000000000000009</v>
      </c>
      <c r="B62" s="278">
        <f t="shared" si="2"/>
        <v>33.92920065876978</v>
      </c>
      <c r="C62" s="279">
        <f t="shared" si="3"/>
        <v>276383.69519410306</v>
      </c>
      <c r="D62">
        <f t="shared" si="0"/>
        <v>196200</v>
      </c>
    </row>
    <row r="63" spans="1:4">
      <c r="A63" s="277">
        <f t="shared" si="1"/>
        <v>1.850000000000001</v>
      </c>
      <c r="B63" s="278">
        <f t="shared" si="2"/>
        <v>34.871678454846716</v>
      </c>
      <c r="C63" s="279">
        <f t="shared" si="3"/>
        <v>291951.60395117832</v>
      </c>
      <c r="D63">
        <f t="shared" si="0"/>
        <v>196200</v>
      </c>
    </row>
    <row r="64" spans="1:4">
      <c r="A64" s="277">
        <f t="shared" si="1"/>
        <v>1.900000000000001</v>
      </c>
      <c r="B64" s="278">
        <f t="shared" si="2"/>
        <v>35.814156250923659</v>
      </c>
      <c r="C64" s="279">
        <f t="shared" si="3"/>
        <v>307946.03075639263</v>
      </c>
      <c r="D64">
        <f t="shared" si="0"/>
        <v>196200</v>
      </c>
    </row>
    <row r="65" spans="1:4">
      <c r="A65" s="277">
        <f t="shared" si="1"/>
        <v>1.9500000000000011</v>
      </c>
      <c r="B65" s="278">
        <f t="shared" si="2"/>
        <v>36.756634047000603</v>
      </c>
      <c r="C65" s="279">
        <f t="shared" si="3"/>
        <v>324366.975609746</v>
      </c>
      <c r="D65">
        <f t="shared" si="0"/>
        <v>196200</v>
      </c>
    </row>
    <row r="66" spans="1:4">
      <c r="A66" s="277">
        <f t="shared" si="1"/>
        <v>2.0000000000000009</v>
      </c>
      <c r="B66" s="278">
        <f t="shared" si="2"/>
        <v>37.699111843077539</v>
      </c>
      <c r="C66" s="279">
        <f t="shared" si="3"/>
        <v>341214.43851123832</v>
      </c>
      <c r="D66">
        <f t="shared" si="0"/>
        <v>196200</v>
      </c>
    </row>
    <row r="67" spans="1:4">
      <c r="A67" s="277">
        <f t="shared" si="1"/>
        <v>2.0500000000000007</v>
      </c>
      <c r="B67" s="278">
        <f t="shared" si="2"/>
        <v>38.641589639154468</v>
      </c>
      <c r="C67" s="279">
        <f t="shared" si="3"/>
        <v>358488.41946086974</v>
      </c>
      <c r="D67">
        <f t="shared" si="0"/>
        <v>196200</v>
      </c>
    </row>
    <row r="68" spans="1:4">
      <c r="A68" s="277">
        <f t="shared" si="1"/>
        <v>2.1000000000000005</v>
      </c>
      <c r="B68" s="278">
        <f t="shared" si="2"/>
        <v>39.584067435231397</v>
      </c>
      <c r="C68" s="279">
        <f t="shared" si="3"/>
        <v>376188.91845864011</v>
      </c>
      <c r="D68">
        <f t="shared" si="0"/>
        <v>196200</v>
      </c>
    </row>
    <row r="69" spans="1:4">
      <c r="A69" s="277">
        <f t="shared" si="1"/>
        <v>2.1500000000000004</v>
      </c>
      <c r="B69" s="278">
        <f t="shared" si="2"/>
        <v>40.52654523130834</v>
      </c>
      <c r="C69" s="279">
        <f t="shared" si="3"/>
        <v>394315.93550454959</v>
      </c>
      <c r="D69">
        <f t="shared" si="0"/>
        <v>196200</v>
      </c>
    </row>
    <row r="70" spans="1:4">
      <c r="A70" s="277">
        <f t="shared" si="1"/>
        <v>2.2000000000000002</v>
      </c>
      <c r="B70" s="278">
        <f t="shared" si="2"/>
        <v>41.469023027385269</v>
      </c>
      <c r="C70" s="279">
        <f t="shared" si="3"/>
        <v>412869.47059859807</v>
      </c>
      <c r="D70">
        <f t="shared" si="0"/>
        <v>196200</v>
      </c>
    </row>
    <row r="71" spans="1:4">
      <c r="A71" s="277">
        <f t="shared" si="1"/>
        <v>2.25</v>
      </c>
      <c r="B71" s="278">
        <f t="shared" si="2"/>
        <v>42.411500823462205</v>
      </c>
      <c r="C71" s="279">
        <f t="shared" si="3"/>
        <v>431849.5237407856</v>
      </c>
      <c r="D71">
        <f t="shared" si="0"/>
        <v>196200</v>
      </c>
    </row>
    <row r="72" spans="1:4">
      <c r="A72" s="277">
        <f t="shared" si="1"/>
        <v>2.2999999999999998</v>
      </c>
      <c r="B72" s="278">
        <f t="shared" si="2"/>
        <v>43.353978619539141</v>
      </c>
      <c r="C72" s="279">
        <f t="shared" si="3"/>
        <v>451256.09493111219</v>
      </c>
      <c r="D72">
        <f t="shared" si="0"/>
        <v>196200</v>
      </c>
    </row>
    <row r="73" spans="1:4">
      <c r="A73" s="277">
        <f t="shared" si="1"/>
        <v>2.3499999999999996</v>
      </c>
      <c r="B73" s="278">
        <f t="shared" si="2"/>
        <v>44.296456415616078</v>
      </c>
      <c r="C73" s="279">
        <f t="shared" si="3"/>
        <v>471089.18416957784</v>
      </c>
      <c r="D73">
        <f t="shared" si="0"/>
        <v>196200</v>
      </c>
    </row>
    <row r="74" spans="1:4">
      <c r="A74" s="277">
        <f t="shared" si="1"/>
        <v>2.3999999999999995</v>
      </c>
      <c r="B74" s="278">
        <f t="shared" si="2"/>
        <v>45.238934211693014</v>
      </c>
      <c r="C74" s="279">
        <f t="shared" si="3"/>
        <v>491348.79145618249</v>
      </c>
      <c r="D74">
        <f t="shared" si="0"/>
        <v>196200</v>
      </c>
    </row>
    <row r="75" spans="1:4">
      <c r="A75" s="277">
        <f t="shared" si="1"/>
        <v>2.4499999999999993</v>
      </c>
      <c r="B75" s="278">
        <f t="shared" si="2"/>
        <v>46.181412007769943</v>
      </c>
      <c r="C75" s="279">
        <f t="shared" si="3"/>
        <v>512034.91679092631</v>
      </c>
      <c r="D75">
        <f t="shared" si="0"/>
        <v>196200</v>
      </c>
    </row>
    <row r="76" spans="1:4">
      <c r="A76" s="277">
        <f t="shared" si="1"/>
        <v>2.4999999999999991</v>
      </c>
      <c r="B76" s="278">
        <f t="shared" si="2"/>
        <v>47.123889803846879</v>
      </c>
      <c r="C76" s="279">
        <f t="shared" si="3"/>
        <v>533147.56017380906</v>
      </c>
      <c r="D76">
        <f t="shared" si="0"/>
        <v>196200</v>
      </c>
    </row>
    <row r="77" spans="1:4">
      <c r="A77" s="277">
        <f t="shared" si="1"/>
        <v>2.5499999999999989</v>
      </c>
      <c r="B77" s="278">
        <f t="shared" si="2"/>
        <v>48.066367599923815</v>
      </c>
      <c r="C77" s="279">
        <f t="shared" si="3"/>
        <v>554686.72160483082</v>
      </c>
      <c r="D77">
        <f t="shared" si="0"/>
        <v>196200</v>
      </c>
    </row>
    <row r="78" spans="1:4">
      <c r="A78" s="277">
        <f t="shared" si="1"/>
        <v>2.5999999999999988</v>
      </c>
      <c r="B78" s="278">
        <f t="shared" si="2"/>
        <v>49.008845396000751</v>
      </c>
      <c r="C78" s="279">
        <f t="shared" si="3"/>
        <v>576652.40108399175</v>
      </c>
      <c r="D78">
        <f t="shared" si="0"/>
        <v>196200</v>
      </c>
    </row>
    <row r="79" spans="1:4">
      <c r="A79" s="280">
        <f t="shared" si="1"/>
        <v>2.6499999999999986</v>
      </c>
      <c r="B79" s="271">
        <f t="shared" si="2"/>
        <v>49.951323192077687</v>
      </c>
      <c r="C79" s="281">
        <f t="shared" si="3"/>
        <v>599044.59861129161</v>
      </c>
      <c r="D79">
        <f t="shared" si="0"/>
        <v>196200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1F4C-6C4E-4039-91F5-B40985185EC5}">
  <dimension ref="A1:N31"/>
  <sheetViews>
    <sheetView workbookViewId="0">
      <selection activeCell="B13" sqref="B13"/>
    </sheetView>
  </sheetViews>
  <sheetFormatPr defaultRowHeight="14.45"/>
  <cols>
    <col min="1" max="1" width="27" customWidth="1"/>
    <col min="2" max="2" width="26.7109375" customWidth="1"/>
    <col min="3" max="3" width="26.42578125" bestFit="1" customWidth="1"/>
    <col min="4" max="4" width="12.5703125" bestFit="1" customWidth="1"/>
    <col min="5" max="5" width="24.5703125" customWidth="1"/>
    <col min="6" max="6" width="18.42578125" customWidth="1"/>
    <col min="7" max="7" width="23.140625" customWidth="1"/>
    <col min="8" max="8" width="17.85546875" customWidth="1"/>
    <col min="9" max="9" width="12.85546875" bestFit="1" customWidth="1"/>
    <col min="13" max="13" width="11.28515625" bestFit="1" customWidth="1"/>
  </cols>
  <sheetData>
    <row r="1" spans="1:14" ht="41.25" customHeight="1">
      <c r="A1" s="32" t="s">
        <v>201</v>
      </c>
      <c r="B1" s="26">
        <v>4</v>
      </c>
      <c r="C1" s="29" t="s">
        <v>202</v>
      </c>
      <c r="E1" s="41" t="s">
        <v>203</v>
      </c>
      <c r="F1" s="36">
        <f>IF('E + U + G satisfaction'!N1="Chlorine",365/Cost!L17,0)</f>
        <v>52.142857142857146</v>
      </c>
      <c r="G1" s="37" t="s">
        <v>204</v>
      </c>
      <c r="I1" s="42" t="s">
        <v>205</v>
      </c>
      <c r="J1" s="49">
        <v>1</v>
      </c>
      <c r="K1" s="43" t="s">
        <v>202</v>
      </c>
      <c r="M1" s="329" t="s">
        <v>76</v>
      </c>
      <c r="N1" s="330" t="str">
        <f>InputOutputData!K20</f>
        <v>Chlorine</v>
      </c>
    </row>
    <row r="2" spans="1:14">
      <c r="A2" s="33" t="s">
        <v>206</v>
      </c>
      <c r="B2" s="27">
        <v>3</v>
      </c>
      <c r="C2" s="30" t="s">
        <v>202</v>
      </c>
      <c r="E2" s="38" t="s">
        <v>207</v>
      </c>
      <c r="F2" s="39">
        <f>IF(N2="Diesel",365/Cost!L20,0)</f>
        <v>0</v>
      </c>
      <c r="G2" s="40" t="s">
        <v>204</v>
      </c>
      <c r="I2" s="44" t="s">
        <v>208</v>
      </c>
      <c r="J2" s="50">
        <v>32</v>
      </c>
      <c r="K2" s="45" t="s">
        <v>202</v>
      </c>
      <c r="M2" s="331" t="s">
        <v>112</v>
      </c>
      <c r="N2" s="332" t="str">
        <f>InputOutputData!K23</f>
        <v>Solar</v>
      </c>
    </row>
    <row r="3" spans="1:14">
      <c r="A3" s="33" t="s">
        <v>209</v>
      </c>
      <c r="B3" s="27">
        <v>2</v>
      </c>
      <c r="C3" s="30" t="s">
        <v>202</v>
      </c>
    </row>
    <row r="4" spans="1:14" ht="15" thickBot="1">
      <c r="A4" s="34" t="s">
        <v>210</v>
      </c>
      <c r="B4" s="28">
        <v>3</v>
      </c>
      <c r="C4" s="31" t="s">
        <v>202</v>
      </c>
    </row>
    <row r="6" spans="1:14" ht="15" customHeight="1">
      <c r="A6" s="46" t="s">
        <v>211</v>
      </c>
      <c r="B6" s="46" t="s">
        <v>212</v>
      </c>
      <c r="C6" s="35"/>
      <c r="D6" s="35"/>
      <c r="E6" s="46" t="s">
        <v>213</v>
      </c>
      <c r="F6" s="46" t="s">
        <v>214</v>
      </c>
      <c r="G6" s="14" t="s">
        <v>215</v>
      </c>
      <c r="H6" s="14" t="s">
        <v>216</v>
      </c>
    </row>
    <row r="7" spans="1:14">
      <c r="A7" s="24">
        <f>4-0.5*LN($F$1)</f>
        <v>2.0230063977364106</v>
      </c>
      <c r="B7" s="24" t="e">
        <f>4-0.5*LN($F$2)</f>
        <v>#NUM!</v>
      </c>
      <c r="C7" s="35"/>
      <c r="D7" s="35"/>
      <c r="E7" s="47">
        <f>IF(N1="Chlorine",($B$1+$B$2)*$A$7,0)</f>
        <v>14.161044784154875</v>
      </c>
      <c r="F7" s="48">
        <f>IF(N2="Diesel",($B$3+$B$4)*$B$7,0)</f>
        <v>0</v>
      </c>
      <c r="G7" s="48">
        <f>MAX(1,SUM(E7:F7))</f>
        <v>14.161044784154875</v>
      </c>
      <c r="H7" s="48">
        <f>0.5*(1+COS((G7-$J$1)/($J$2-$J$1)*PI()))*100</f>
        <v>61.741014975442312</v>
      </c>
    </row>
    <row r="13" spans="1:14">
      <c r="A13" s="324" t="s">
        <v>217</v>
      </c>
      <c r="B13" s="325">
        <f>IF(D18="N/A",MIN((D13)^(2/3)/25 + D14^(2/3)/(25*D15^0.5) + D16/(25*D15^0.5),1),MIN((D13)^(2/3)/25 + D14^(2/3)/(25*D15^0.5) + D16/(25*D15^0.5) +D17/(25*D18^0.5),1))</f>
        <v>0.10861892675750173</v>
      </c>
      <c r="C13" s="323" t="s">
        <v>218</v>
      </c>
      <c r="D13" s="319">
        <f>InputOutputData!K6/1000</f>
        <v>1.5</v>
      </c>
      <c r="E13" s="314" t="s">
        <v>12</v>
      </c>
    </row>
    <row r="14" spans="1:14">
      <c r="C14" s="315" t="s">
        <v>219</v>
      </c>
      <c r="D14" s="320">
        <f>InputOutputData!O2</f>
        <v>36</v>
      </c>
      <c r="E14" s="316" t="s">
        <v>12</v>
      </c>
    </row>
    <row r="15" spans="1:14">
      <c r="C15" s="315" t="s">
        <v>220</v>
      </c>
      <c r="D15" s="320">
        <f>SQRT(InputOutputData!P3^2+InputOutputData!P4^2)</f>
        <v>60.207972893961475</v>
      </c>
      <c r="E15" s="316" t="s">
        <v>2</v>
      </c>
    </row>
    <row r="16" spans="1:14">
      <c r="C16" s="315" t="s">
        <v>37</v>
      </c>
      <c r="D16" s="320">
        <f>InputOutputData!O7</f>
        <v>0</v>
      </c>
      <c r="E16" s="316" t="s">
        <v>2</v>
      </c>
    </row>
    <row r="17" spans="1:12">
      <c r="C17" s="315" t="s">
        <v>221</v>
      </c>
      <c r="D17" s="320">
        <f>InputOutputData!K3</f>
        <v>0</v>
      </c>
      <c r="E17" s="316" t="s">
        <v>24</v>
      </c>
    </row>
    <row r="18" spans="1:12">
      <c r="C18" s="317" t="s">
        <v>222</v>
      </c>
      <c r="D18" s="321" t="str">
        <f>InputOutputData!S5</f>
        <v>N/A</v>
      </c>
      <c r="E18" s="318" t="s">
        <v>21</v>
      </c>
    </row>
    <row r="21" spans="1:12">
      <c r="A21" s="299" t="s">
        <v>223</v>
      </c>
      <c r="B21" s="359">
        <f>I31/D28 %</f>
        <v>69.192576268486306</v>
      </c>
      <c r="D21" t="s">
        <v>44</v>
      </c>
      <c r="E21" s="141">
        <f>InputOutputData!C8</f>
        <v>432</v>
      </c>
    </row>
    <row r="23" spans="1:12">
      <c r="C23" s="514" t="s">
        <v>224</v>
      </c>
      <c r="D23" s="515"/>
      <c r="E23" s="516"/>
      <c r="G23" s="514" t="s">
        <v>225</v>
      </c>
      <c r="H23" s="515"/>
      <c r="I23" s="515"/>
      <c r="J23" s="180"/>
    </row>
    <row r="24" spans="1:12">
      <c r="C24" s="310" t="s">
        <v>226</v>
      </c>
      <c r="D24" s="357">
        <f>E21*365*5</f>
        <v>788400</v>
      </c>
      <c r="E24" s="311" t="s">
        <v>8</v>
      </c>
      <c r="G24" s="170" t="s">
        <v>227</v>
      </c>
      <c r="H24" s="295" t="str">
        <f>InputOutputData!K23</f>
        <v>Solar</v>
      </c>
      <c r="J24" s="311"/>
    </row>
    <row r="25" spans="1:12">
      <c r="C25" s="310" t="s">
        <v>228</v>
      </c>
      <c r="D25" s="357">
        <f>D24*(0.1/1000)</f>
        <v>78.84</v>
      </c>
      <c r="E25" s="311" t="s">
        <v>140</v>
      </c>
      <c r="G25" s="170" t="s">
        <v>229</v>
      </c>
      <c r="H25" s="295" t="str">
        <f>InputOutputData!I26</f>
        <v>HES-260</v>
      </c>
      <c r="I25" s="352">
        <f>IF(H24="Solar",InputOutputData!I30*L25,0)</f>
        <v>1984</v>
      </c>
      <c r="J25" s="311" t="s">
        <v>140</v>
      </c>
      <c r="K25" t="s">
        <v>145</v>
      </c>
      <c r="L25">
        <f>InputOutputData!I32</f>
        <v>4</v>
      </c>
    </row>
    <row r="26" spans="1:12">
      <c r="C26" s="310" t="s">
        <v>230</v>
      </c>
      <c r="D26" s="357">
        <f>D24*6.4/1000</f>
        <v>5045.76</v>
      </c>
      <c r="E26" s="311" t="s">
        <v>140</v>
      </c>
      <c r="G26" s="170" t="s">
        <v>231</v>
      </c>
      <c r="H26" s="295">
        <f>InputOutputData!O25</f>
        <v>3</v>
      </c>
      <c r="I26" s="352">
        <f>H26*240</f>
        <v>720</v>
      </c>
      <c r="J26" s="311" t="s">
        <v>140</v>
      </c>
    </row>
    <row r="27" spans="1:12">
      <c r="C27" s="310" t="s">
        <v>232</v>
      </c>
      <c r="D27" s="353">
        <v>2408</v>
      </c>
      <c r="E27" s="311" t="s">
        <v>140</v>
      </c>
      <c r="G27" s="170" t="s">
        <v>233</v>
      </c>
      <c r="H27" s="295" t="str">
        <f>InputOutputData!I33</f>
        <v>Yes</v>
      </c>
      <c r="I27" s="352">
        <f>IF(H27="Yes",100,0)</f>
        <v>100</v>
      </c>
      <c r="J27" s="311" t="s">
        <v>140</v>
      </c>
    </row>
    <row r="28" spans="1:12">
      <c r="C28" s="284" t="s">
        <v>234</v>
      </c>
      <c r="D28" s="354">
        <f>SUM(D25:D27)</f>
        <v>7532.6</v>
      </c>
      <c r="E28" s="351" t="s">
        <v>140</v>
      </c>
      <c r="G28" s="170" t="s">
        <v>235</v>
      </c>
      <c r="H28" s="295" t="str">
        <f>InputOutputData!M33</f>
        <v>no</v>
      </c>
      <c r="I28" s="352">
        <f>IF(H28="y",1250,0)</f>
        <v>0</v>
      </c>
      <c r="J28" s="311" t="s">
        <v>140</v>
      </c>
    </row>
    <row r="29" spans="1:12">
      <c r="G29" s="170" t="s">
        <v>236</v>
      </c>
      <c r="H29" s="358">
        <f>'More accurate Energy (diesel)'!R13*5</f>
        <v>910.48853887562598</v>
      </c>
      <c r="I29" s="352">
        <f>IF(H28="no",0,H29*3.25)</f>
        <v>0</v>
      </c>
      <c r="J29" s="311" t="s">
        <v>140</v>
      </c>
    </row>
    <row r="30" spans="1:12">
      <c r="G30" s="170" t="s">
        <v>232</v>
      </c>
      <c r="H30" s="35"/>
      <c r="I30" s="353">
        <v>2408</v>
      </c>
      <c r="J30" s="311" t="s">
        <v>140</v>
      </c>
    </row>
    <row r="31" spans="1:12">
      <c r="G31" s="517" t="s">
        <v>135</v>
      </c>
      <c r="H31" s="518"/>
      <c r="I31" s="354">
        <f>SUM(I25:I30)</f>
        <v>5212</v>
      </c>
      <c r="J31" s="313" t="s">
        <v>140</v>
      </c>
    </row>
  </sheetData>
  <mergeCells count="3">
    <mergeCell ref="C23:E23"/>
    <mergeCell ref="G23:I23"/>
    <mergeCell ref="G31:H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19CC-EF84-4897-AFC0-9B272B751642}">
  <dimension ref="A1:O433"/>
  <sheetViews>
    <sheetView workbookViewId="0">
      <selection activeCell="J29" sqref="J29"/>
    </sheetView>
  </sheetViews>
  <sheetFormatPr defaultRowHeight="14.45"/>
  <cols>
    <col min="1" max="1" width="19.5703125" customWidth="1"/>
    <col min="3" max="3" width="16" customWidth="1"/>
    <col min="4" max="4" width="17.28515625" customWidth="1"/>
    <col min="7" max="7" width="15" customWidth="1"/>
    <col min="8" max="8" width="9.7109375" style="167" bestFit="1" customWidth="1"/>
    <col min="11" max="11" width="17.28515625" bestFit="1" customWidth="1"/>
    <col min="14" max="14" width="11.28515625" bestFit="1" customWidth="1"/>
  </cols>
  <sheetData>
    <row r="1" spans="1:15">
      <c r="A1" s="88" t="s">
        <v>0</v>
      </c>
      <c r="B1" s="88" t="s">
        <v>1</v>
      </c>
      <c r="C1" s="138">
        <f>InputOutputData!C1</f>
        <v>20</v>
      </c>
      <c r="D1" s="89" t="s">
        <v>2</v>
      </c>
      <c r="H1"/>
    </row>
    <row r="2" spans="1:15">
      <c r="A2" s="88" t="s">
        <v>7</v>
      </c>
      <c r="B2" s="88" t="s">
        <v>8</v>
      </c>
      <c r="C2" s="138">
        <f>InputOutputData!C2</f>
        <v>63.93160407810835</v>
      </c>
      <c r="D2" s="89" t="s">
        <v>2</v>
      </c>
      <c r="H2"/>
      <c r="N2" s="480" t="s">
        <v>76</v>
      </c>
      <c r="O2" s="482" t="str">
        <f>InputOutputData!K20</f>
        <v>Chlorine</v>
      </c>
    </row>
    <row r="3" spans="1:15">
      <c r="A3" s="88" t="s">
        <v>14</v>
      </c>
      <c r="B3" s="88" t="s">
        <v>15</v>
      </c>
      <c r="C3" s="138">
        <f>InputOutputData!C3</f>
        <v>0.02</v>
      </c>
      <c r="D3" s="89" t="s">
        <v>2</v>
      </c>
      <c r="H3"/>
      <c r="N3" s="481" t="s">
        <v>112</v>
      </c>
      <c r="O3" s="483" t="str">
        <f>InputOutputData!K23</f>
        <v>Solar</v>
      </c>
    </row>
    <row r="4" spans="1:15">
      <c r="A4" s="88" t="s">
        <v>22</v>
      </c>
      <c r="B4" s="88" t="s">
        <v>23</v>
      </c>
      <c r="C4" s="138">
        <f>InputOutputData!C4</f>
        <v>3.1415926535897931E-4</v>
      </c>
      <c r="D4" s="89" t="s">
        <v>24</v>
      </c>
      <c r="H4"/>
    </row>
    <row r="5" spans="1:15">
      <c r="A5" s="88" t="s">
        <v>29</v>
      </c>
      <c r="B5" s="88" t="s">
        <v>30</v>
      </c>
      <c r="C5" s="138">
        <f>InputOutputData!C5</f>
        <v>0.05</v>
      </c>
      <c r="D5" s="89"/>
      <c r="H5"/>
    </row>
    <row r="6" spans="1:15" ht="14.25" customHeight="1">
      <c r="A6" s="88" t="s">
        <v>33</v>
      </c>
      <c r="B6" s="88" t="s">
        <v>34</v>
      </c>
      <c r="C6" s="138">
        <f>InputOutputData!C6</f>
        <v>8</v>
      </c>
      <c r="D6" s="89"/>
      <c r="H6"/>
    </row>
    <row r="7" spans="1:15" ht="15" customHeight="1">
      <c r="A7" s="88" t="s">
        <v>38</v>
      </c>
      <c r="B7" s="88" t="s">
        <v>39</v>
      </c>
      <c r="C7" s="138">
        <f>InputOutputData!C7</f>
        <v>196200</v>
      </c>
      <c r="D7" s="89" t="s">
        <v>40</v>
      </c>
      <c r="H7"/>
      <c r="K7" t="s">
        <v>142</v>
      </c>
    </row>
    <row r="8" spans="1:15" ht="14.25" customHeight="1">
      <c r="A8" s="90" t="s">
        <v>44</v>
      </c>
      <c r="B8" s="90" t="s">
        <v>45</v>
      </c>
      <c r="C8" s="154">
        <f>InputOutputData!C8</f>
        <v>432</v>
      </c>
      <c r="D8" s="91" t="s">
        <v>46</v>
      </c>
      <c r="H8"/>
      <c r="K8" s="484" t="s">
        <v>237</v>
      </c>
      <c r="L8" s="485">
        <f>B21</f>
        <v>7</v>
      </c>
    </row>
    <row r="9" spans="1:15" ht="14.25" customHeight="1">
      <c r="H9"/>
      <c r="K9" s="213" t="s">
        <v>93</v>
      </c>
      <c r="L9" s="486">
        <f>IF(O2="Ozone",1,Cost!L17)</f>
        <v>7</v>
      </c>
    </row>
    <row r="10" spans="1:15" ht="15" customHeight="1">
      <c r="H10"/>
      <c r="K10" s="213" t="s">
        <v>73</v>
      </c>
      <c r="L10" s="486">
        <f>1</f>
        <v>1</v>
      </c>
    </row>
    <row r="11" spans="1:15" ht="14.25" customHeight="1">
      <c r="H11"/>
      <c r="K11" s="213" t="s">
        <v>50</v>
      </c>
      <c r="L11" s="486">
        <v>1</v>
      </c>
    </row>
    <row r="12" spans="1:15" ht="14.25" customHeight="1">
      <c r="C12" s="102" t="s">
        <v>52</v>
      </c>
      <c r="D12" s="104" t="s">
        <v>53</v>
      </c>
      <c r="E12" s="502" t="s">
        <v>54</v>
      </c>
      <c r="F12" s="502"/>
      <c r="G12" s="503"/>
      <c r="H12"/>
      <c r="K12" s="213" t="s">
        <v>238</v>
      </c>
      <c r="L12" s="486">
        <f>IF(O3="Solar",4,Cost!L20)</f>
        <v>4</v>
      </c>
    </row>
    <row r="13" spans="1:15" ht="14.25" customHeight="1">
      <c r="A13" s="92" t="s">
        <v>58</v>
      </c>
      <c r="B13" s="103" t="s">
        <v>59</v>
      </c>
      <c r="C13" s="105" t="s">
        <v>60</v>
      </c>
      <c r="D13" s="1" t="s">
        <v>61</v>
      </c>
      <c r="E13" s="100" t="s">
        <v>62</v>
      </c>
      <c r="F13" s="1" t="s">
        <v>63</v>
      </c>
      <c r="G13" s="101" t="s">
        <v>64</v>
      </c>
      <c r="H13"/>
      <c r="K13" s="215" t="s">
        <v>148</v>
      </c>
      <c r="L13" s="487">
        <f>Cost!L21</f>
        <v>0</v>
      </c>
    </row>
    <row r="14" spans="1:15" ht="14.25" customHeight="1">
      <c r="A14" s="96" t="s">
        <v>66</v>
      </c>
      <c r="B14" s="158" t="str">
        <f>InputOutputData!B13</f>
        <v>y</v>
      </c>
      <c r="C14" s="141">
        <f>InputOutputData!C13</f>
        <v>2511.6800000000003</v>
      </c>
      <c r="D14" s="144">
        <f>InputOutputData!D13</f>
        <v>20000</v>
      </c>
      <c r="E14" s="144">
        <f>InputOutputData!E13</f>
        <v>5000</v>
      </c>
      <c r="F14" s="159">
        <f>InputOutputData!F13</f>
        <v>20000</v>
      </c>
      <c r="G14" s="160">
        <f>InputOutputData!G13</f>
        <v>15000</v>
      </c>
      <c r="H14"/>
      <c r="K14" t="s">
        <v>239</v>
      </c>
      <c r="L14">
        <f>SUM(L8:L13)</f>
        <v>20</v>
      </c>
    </row>
    <row r="15" spans="1:15" ht="14.25" customHeight="1">
      <c r="A15" s="97" t="s">
        <v>68</v>
      </c>
      <c r="B15" s="161" t="str">
        <f>InputOutputData!B14</f>
        <v>y</v>
      </c>
      <c r="C15" s="141">
        <f>InputOutputData!C14</f>
        <v>1252.8319999999999</v>
      </c>
      <c r="D15" s="149">
        <f>InputOutputData!D14</f>
        <v>20000</v>
      </c>
      <c r="E15" s="162">
        <f>InputOutputData!E14</f>
        <v>10000</v>
      </c>
      <c r="F15" s="141"/>
      <c r="G15" s="163">
        <f>InputOutputData!G14</f>
        <v>20000</v>
      </c>
      <c r="H15"/>
    </row>
    <row r="16" spans="1:15" ht="14.25" customHeight="1">
      <c r="A16" s="97" t="s">
        <v>70</v>
      </c>
      <c r="B16" s="161" t="str">
        <f>InputOutputData!B15</f>
        <v>y</v>
      </c>
      <c r="C16" s="141">
        <f>InputOutputData!C15</f>
        <v>62.716799999999999</v>
      </c>
      <c r="D16" s="165">
        <f>InputOutputData!D15</f>
        <v>20000</v>
      </c>
      <c r="E16" s="164">
        <f>InputOutputData!E15</f>
        <v>20000</v>
      </c>
      <c r="F16" s="152"/>
      <c r="G16" s="151"/>
      <c r="H16"/>
    </row>
    <row r="17" spans="1:8">
      <c r="A17" s="116" t="s">
        <v>135</v>
      </c>
      <c r="B17" s="107"/>
      <c r="C17" s="106">
        <f>InputOutputData!C16</f>
        <v>3827.2288000000003</v>
      </c>
      <c r="H17"/>
    </row>
    <row r="18" spans="1:8">
      <c r="H18"/>
    </row>
    <row r="19" spans="1:8">
      <c r="H19"/>
    </row>
    <row r="20" spans="1:8">
      <c r="A20" s="155" t="s">
        <v>240</v>
      </c>
      <c r="B20" s="98"/>
      <c r="C20" s="98"/>
      <c r="D20" s="98"/>
      <c r="E20" s="156" t="s">
        <v>241</v>
      </c>
      <c r="F20" s="98"/>
      <c r="G20" s="127"/>
      <c r="H20"/>
    </row>
    <row r="21" spans="1:8">
      <c r="A21" s="93" t="s">
        <v>99</v>
      </c>
      <c r="B21">
        <f>SUM(H26:H389)</f>
        <v>7</v>
      </c>
      <c r="C21" t="s">
        <v>242</v>
      </c>
      <c r="E21" s="96" t="s">
        <v>66</v>
      </c>
      <c r="F21" s="97" t="s">
        <v>68</v>
      </c>
      <c r="G21" s="97" t="s">
        <v>70</v>
      </c>
      <c r="H21"/>
    </row>
    <row r="22" spans="1:8">
      <c r="A22" s="94" t="s">
        <v>101</v>
      </c>
      <c r="B22" s="157">
        <f>'Satisfaction Values'!J8</f>
        <v>81.174490092936679</v>
      </c>
      <c r="C22" s="99"/>
      <c r="D22" s="99"/>
      <c r="E22" s="95">
        <f>SUM(E26:E389)</f>
        <v>7</v>
      </c>
      <c r="F22" s="95">
        <f t="shared" ref="F22:G22" si="0">SUM(F26:F389)</f>
        <v>7</v>
      </c>
      <c r="G22" s="95">
        <f t="shared" si="0"/>
        <v>7</v>
      </c>
      <c r="H22"/>
    </row>
    <row r="23" spans="1:8">
      <c r="E23" s="95"/>
      <c r="F23" s="98"/>
      <c r="G23" s="127"/>
      <c r="H23"/>
    </row>
    <row r="24" spans="1:8">
      <c r="A24" s="95"/>
      <c r="B24" s="517" t="s">
        <v>243</v>
      </c>
      <c r="C24" s="518"/>
      <c r="D24" s="518"/>
      <c r="E24" s="519" t="s">
        <v>244</v>
      </c>
      <c r="F24" s="520"/>
      <c r="G24" s="521"/>
      <c r="H24" s="180" t="s">
        <v>245</v>
      </c>
    </row>
    <row r="25" spans="1:8">
      <c r="A25" s="168" t="s">
        <v>173</v>
      </c>
      <c r="B25" s="172" t="s">
        <v>66</v>
      </c>
      <c r="C25" s="173" t="s">
        <v>68</v>
      </c>
      <c r="D25" s="114" t="s">
        <v>70</v>
      </c>
      <c r="E25" s="177" t="s">
        <v>66</v>
      </c>
      <c r="F25" s="178" t="s">
        <v>68</v>
      </c>
      <c r="G25" s="179" t="s">
        <v>70</v>
      </c>
      <c r="H25" s="181"/>
    </row>
    <row r="26" spans="1:8">
      <c r="A26" s="169">
        <v>1</v>
      </c>
      <c r="B26" s="169">
        <f>IF(B14="y",C8,"")</f>
        <v>432</v>
      </c>
      <c r="C26" s="174">
        <f>IF(B15="y",C8,"")</f>
        <v>432</v>
      </c>
      <c r="D26" s="175">
        <f>IF(B16="y",C8,"")</f>
        <v>432</v>
      </c>
      <c r="E26" s="35"/>
      <c r="F26" s="35"/>
      <c r="G26" s="35"/>
    </row>
    <row r="27" spans="1:8" ht="21.75" customHeight="1">
      <c r="A27" s="170">
        <f>1+A26</f>
        <v>2</v>
      </c>
      <c r="B27" s="170">
        <f>IF($B$14="y",IF(B26+$C$8&gt;$D$14,$C$8,B26+$C$8),"")</f>
        <v>864</v>
      </c>
      <c r="C27" s="184">
        <f>IF($B$15="y",IF(C26+$C$8&gt;$D$15,$C$8,C26+$C$8),"")</f>
        <v>864</v>
      </c>
      <c r="D27" s="176">
        <f>IF($B$16="y",IF(D26+$C$8&gt;$D$16,$C$8,D26+$C$8),"")</f>
        <v>864</v>
      </c>
      <c r="E27" s="35" t="str">
        <f>IF(B27=$C$8,1,"")</f>
        <v/>
      </c>
      <c r="F27" s="35" t="str">
        <f>IF(C27=$C$8,1,"")</f>
        <v/>
      </c>
      <c r="G27" s="35" t="str">
        <f>IF(D27=$C$8,1,"")</f>
        <v/>
      </c>
      <c r="H27" s="167" t="str">
        <f>IF(SUM(E27:G27)&gt;0,1,"")</f>
        <v/>
      </c>
    </row>
    <row r="28" spans="1:8">
      <c r="A28" s="170">
        <f t="shared" ref="A28:A91" si="1">1+A27</f>
        <v>3</v>
      </c>
      <c r="B28" s="170">
        <f t="shared" ref="B28:B91" si="2">IF($B$14="y",IF(B27+$C$8&gt;$D$14,$C$8,B27+$C$8),"")</f>
        <v>1296</v>
      </c>
      <c r="C28" s="184">
        <f t="shared" ref="C28:C91" si="3">IF($B$15="y",IF(C27+$C$8&gt;$D$15,$C$8,C27+$C$8),"")</f>
        <v>1296</v>
      </c>
      <c r="D28" s="176">
        <f t="shared" ref="D28:D91" si="4">IF($B$16="y",IF(D27+$C$8&gt;$D$16,$C$8,D27+$C$8),"")</f>
        <v>1296</v>
      </c>
      <c r="E28" s="35" t="str">
        <f t="shared" ref="E28:E91" si="5">IF(B28=$C$8,1,"")</f>
        <v/>
      </c>
      <c r="F28" s="35" t="str">
        <f t="shared" ref="F28:F91" si="6">IF(C28=$C$8,1,"")</f>
        <v/>
      </c>
      <c r="G28" s="35" t="str">
        <f t="shared" ref="G28:G91" si="7">IF(D28=$C$8,1,"")</f>
        <v/>
      </c>
      <c r="H28" s="167" t="str">
        <f t="shared" ref="H28:H91" si="8">IF(SUM(E28:G28)&gt;0,1,"")</f>
        <v/>
      </c>
    </row>
    <row r="29" spans="1:8">
      <c r="A29" s="170">
        <f t="shared" si="1"/>
        <v>4</v>
      </c>
      <c r="B29" s="170">
        <f t="shared" si="2"/>
        <v>1728</v>
      </c>
      <c r="C29" s="184">
        <f t="shared" si="3"/>
        <v>1728</v>
      </c>
      <c r="D29" s="176">
        <f t="shared" si="4"/>
        <v>1728</v>
      </c>
      <c r="E29" s="35" t="str">
        <f t="shared" si="5"/>
        <v/>
      </c>
      <c r="F29" s="35" t="str">
        <f t="shared" si="6"/>
        <v/>
      </c>
      <c r="G29" s="35" t="str">
        <f t="shared" si="7"/>
        <v/>
      </c>
      <c r="H29" s="167" t="str">
        <f t="shared" si="8"/>
        <v/>
      </c>
    </row>
    <row r="30" spans="1:8">
      <c r="A30" s="170">
        <f t="shared" si="1"/>
        <v>5</v>
      </c>
      <c r="B30" s="170">
        <f t="shared" si="2"/>
        <v>2160</v>
      </c>
      <c r="C30" s="184">
        <f t="shared" si="3"/>
        <v>2160</v>
      </c>
      <c r="D30" s="176">
        <f t="shared" si="4"/>
        <v>2160</v>
      </c>
      <c r="E30" s="35" t="str">
        <f t="shared" si="5"/>
        <v/>
      </c>
      <c r="F30" s="35" t="str">
        <f t="shared" si="6"/>
        <v/>
      </c>
      <c r="G30" s="35" t="str">
        <f t="shared" si="7"/>
        <v/>
      </c>
      <c r="H30" s="167" t="str">
        <f t="shared" si="8"/>
        <v/>
      </c>
    </row>
    <row r="31" spans="1:8">
      <c r="A31" s="170">
        <f t="shared" si="1"/>
        <v>6</v>
      </c>
      <c r="B31" s="170">
        <f t="shared" si="2"/>
        <v>2592</v>
      </c>
      <c r="C31" s="184">
        <f t="shared" si="3"/>
        <v>2592</v>
      </c>
      <c r="D31" s="176">
        <f t="shared" si="4"/>
        <v>2592</v>
      </c>
      <c r="E31" s="35" t="str">
        <f t="shared" si="5"/>
        <v/>
      </c>
      <c r="F31" s="35" t="str">
        <f t="shared" si="6"/>
        <v/>
      </c>
      <c r="G31" s="35" t="str">
        <f t="shared" si="7"/>
        <v/>
      </c>
      <c r="H31" s="167" t="str">
        <f t="shared" si="8"/>
        <v/>
      </c>
    </row>
    <row r="32" spans="1:8">
      <c r="A32" s="170">
        <f t="shared" si="1"/>
        <v>7</v>
      </c>
      <c r="B32" s="170">
        <f t="shared" si="2"/>
        <v>3024</v>
      </c>
      <c r="C32" s="184">
        <f t="shared" si="3"/>
        <v>3024</v>
      </c>
      <c r="D32" s="176">
        <f t="shared" si="4"/>
        <v>3024</v>
      </c>
      <c r="E32" s="35" t="str">
        <f t="shared" si="5"/>
        <v/>
      </c>
      <c r="F32" s="35" t="str">
        <f t="shared" si="6"/>
        <v/>
      </c>
      <c r="G32" s="35" t="str">
        <f t="shared" si="7"/>
        <v/>
      </c>
      <c r="H32" s="167" t="str">
        <f t="shared" si="8"/>
        <v/>
      </c>
    </row>
    <row r="33" spans="1:8">
      <c r="A33" s="170">
        <f t="shared" si="1"/>
        <v>8</v>
      </c>
      <c r="B33" s="170">
        <f t="shared" si="2"/>
        <v>3456</v>
      </c>
      <c r="C33" s="184">
        <f t="shared" si="3"/>
        <v>3456</v>
      </c>
      <c r="D33" s="176">
        <f t="shared" si="4"/>
        <v>3456</v>
      </c>
      <c r="E33" s="35" t="str">
        <f t="shared" si="5"/>
        <v/>
      </c>
      <c r="F33" s="35" t="str">
        <f t="shared" si="6"/>
        <v/>
      </c>
      <c r="G33" s="35" t="str">
        <f t="shared" si="7"/>
        <v/>
      </c>
      <c r="H33" s="167" t="str">
        <f t="shared" si="8"/>
        <v/>
      </c>
    </row>
    <row r="34" spans="1:8">
      <c r="A34" s="170">
        <f t="shared" si="1"/>
        <v>9</v>
      </c>
      <c r="B34" s="170">
        <f t="shared" si="2"/>
        <v>3888</v>
      </c>
      <c r="C34" s="184">
        <f t="shared" si="3"/>
        <v>3888</v>
      </c>
      <c r="D34" s="176">
        <f t="shared" si="4"/>
        <v>3888</v>
      </c>
      <c r="E34" s="35" t="str">
        <f t="shared" si="5"/>
        <v/>
      </c>
      <c r="F34" s="35" t="str">
        <f t="shared" si="6"/>
        <v/>
      </c>
      <c r="G34" s="35" t="str">
        <f t="shared" si="7"/>
        <v/>
      </c>
      <c r="H34" s="167" t="str">
        <f t="shared" si="8"/>
        <v/>
      </c>
    </row>
    <row r="35" spans="1:8">
      <c r="A35" s="170">
        <f t="shared" si="1"/>
        <v>10</v>
      </c>
      <c r="B35" s="170">
        <f t="shared" si="2"/>
        <v>4320</v>
      </c>
      <c r="C35" s="184">
        <f t="shared" si="3"/>
        <v>4320</v>
      </c>
      <c r="D35" s="176">
        <f t="shared" si="4"/>
        <v>4320</v>
      </c>
      <c r="E35" s="35" t="str">
        <f t="shared" si="5"/>
        <v/>
      </c>
      <c r="F35" s="35" t="str">
        <f t="shared" si="6"/>
        <v/>
      </c>
      <c r="G35" s="35" t="str">
        <f t="shared" si="7"/>
        <v/>
      </c>
      <c r="H35" s="167" t="str">
        <f t="shared" si="8"/>
        <v/>
      </c>
    </row>
    <row r="36" spans="1:8">
      <c r="A36" s="170">
        <f t="shared" si="1"/>
        <v>11</v>
      </c>
      <c r="B36" s="170">
        <f t="shared" si="2"/>
        <v>4752</v>
      </c>
      <c r="C36" s="184">
        <f t="shared" si="3"/>
        <v>4752</v>
      </c>
      <c r="D36" s="176">
        <f t="shared" si="4"/>
        <v>4752</v>
      </c>
      <c r="E36" s="35" t="str">
        <f t="shared" si="5"/>
        <v/>
      </c>
      <c r="F36" s="35" t="str">
        <f t="shared" si="6"/>
        <v/>
      </c>
      <c r="G36" s="35" t="str">
        <f t="shared" si="7"/>
        <v/>
      </c>
      <c r="H36" s="167" t="str">
        <f t="shared" si="8"/>
        <v/>
      </c>
    </row>
    <row r="37" spans="1:8">
      <c r="A37" s="170">
        <f t="shared" si="1"/>
        <v>12</v>
      </c>
      <c r="B37" s="170">
        <f t="shared" si="2"/>
        <v>5184</v>
      </c>
      <c r="C37" s="184">
        <f t="shared" si="3"/>
        <v>5184</v>
      </c>
      <c r="D37" s="176">
        <f t="shared" si="4"/>
        <v>5184</v>
      </c>
      <c r="E37" s="35" t="str">
        <f t="shared" si="5"/>
        <v/>
      </c>
      <c r="F37" s="35" t="str">
        <f t="shared" si="6"/>
        <v/>
      </c>
      <c r="G37" s="35" t="str">
        <f t="shared" si="7"/>
        <v/>
      </c>
      <c r="H37" s="167" t="str">
        <f t="shared" si="8"/>
        <v/>
      </c>
    </row>
    <row r="38" spans="1:8">
      <c r="A38" s="170">
        <f t="shared" si="1"/>
        <v>13</v>
      </c>
      <c r="B38" s="170">
        <f t="shared" si="2"/>
        <v>5616</v>
      </c>
      <c r="C38" s="184">
        <f t="shared" si="3"/>
        <v>5616</v>
      </c>
      <c r="D38" s="176">
        <f t="shared" si="4"/>
        <v>5616</v>
      </c>
      <c r="E38" s="35" t="str">
        <f t="shared" si="5"/>
        <v/>
      </c>
      <c r="F38" s="35" t="str">
        <f t="shared" si="6"/>
        <v/>
      </c>
      <c r="G38" s="35" t="str">
        <f t="shared" si="7"/>
        <v/>
      </c>
      <c r="H38" s="167" t="str">
        <f t="shared" si="8"/>
        <v/>
      </c>
    </row>
    <row r="39" spans="1:8">
      <c r="A39" s="170">
        <f t="shared" si="1"/>
        <v>14</v>
      </c>
      <c r="B39" s="170">
        <f t="shared" si="2"/>
        <v>6048</v>
      </c>
      <c r="C39" s="184">
        <f t="shared" si="3"/>
        <v>6048</v>
      </c>
      <c r="D39" s="176">
        <f t="shared" si="4"/>
        <v>6048</v>
      </c>
      <c r="E39" s="35" t="str">
        <f t="shared" si="5"/>
        <v/>
      </c>
      <c r="F39" s="35" t="str">
        <f t="shared" si="6"/>
        <v/>
      </c>
      <c r="G39" s="35" t="str">
        <f t="shared" si="7"/>
        <v/>
      </c>
      <c r="H39" s="167" t="str">
        <f t="shared" si="8"/>
        <v/>
      </c>
    </row>
    <row r="40" spans="1:8">
      <c r="A40" s="170">
        <f t="shared" si="1"/>
        <v>15</v>
      </c>
      <c r="B40" s="170">
        <f t="shared" si="2"/>
        <v>6480</v>
      </c>
      <c r="C40" s="184">
        <f t="shared" si="3"/>
        <v>6480</v>
      </c>
      <c r="D40" s="176">
        <f t="shared" si="4"/>
        <v>6480</v>
      </c>
      <c r="E40" s="35" t="str">
        <f t="shared" si="5"/>
        <v/>
      </c>
      <c r="F40" s="35" t="str">
        <f t="shared" si="6"/>
        <v/>
      </c>
      <c r="G40" s="35" t="str">
        <f t="shared" si="7"/>
        <v/>
      </c>
      <c r="H40" s="167" t="str">
        <f t="shared" si="8"/>
        <v/>
      </c>
    </row>
    <row r="41" spans="1:8">
      <c r="A41" s="170">
        <f t="shared" si="1"/>
        <v>16</v>
      </c>
      <c r="B41" s="170">
        <f t="shared" si="2"/>
        <v>6912</v>
      </c>
      <c r="C41" s="184">
        <f t="shared" si="3"/>
        <v>6912</v>
      </c>
      <c r="D41" s="176">
        <f t="shared" si="4"/>
        <v>6912</v>
      </c>
      <c r="E41" s="35" t="str">
        <f t="shared" si="5"/>
        <v/>
      </c>
      <c r="F41" s="35" t="str">
        <f t="shared" si="6"/>
        <v/>
      </c>
      <c r="G41" s="35" t="str">
        <f t="shared" si="7"/>
        <v/>
      </c>
      <c r="H41" s="167" t="str">
        <f t="shared" si="8"/>
        <v/>
      </c>
    </row>
    <row r="42" spans="1:8">
      <c r="A42" s="170">
        <f t="shared" si="1"/>
        <v>17</v>
      </c>
      <c r="B42" s="170">
        <f t="shared" si="2"/>
        <v>7344</v>
      </c>
      <c r="C42" s="184">
        <f t="shared" si="3"/>
        <v>7344</v>
      </c>
      <c r="D42" s="176">
        <f t="shared" si="4"/>
        <v>7344</v>
      </c>
      <c r="E42" s="35" t="str">
        <f t="shared" si="5"/>
        <v/>
      </c>
      <c r="F42" s="35" t="str">
        <f t="shared" si="6"/>
        <v/>
      </c>
      <c r="G42" s="35" t="str">
        <f t="shared" si="7"/>
        <v/>
      </c>
      <c r="H42" s="167" t="str">
        <f t="shared" si="8"/>
        <v/>
      </c>
    </row>
    <row r="43" spans="1:8">
      <c r="A43" s="170">
        <f t="shared" si="1"/>
        <v>18</v>
      </c>
      <c r="B43" s="170">
        <f t="shared" si="2"/>
        <v>7776</v>
      </c>
      <c r="C43" s="184">
        <f t="shared" si="3"/>
        <v>7776</v>
      </c>
      <c r="D43" s="176">
        <f t="shared" si="4"/>
        <v>7776</v>
      </c>
      <c r="E43" s="35" t="str">
        <f t="shared" si="5"/>
        <v/>
      </c>
      <c r="F43" s="35" t="str">
        <f t="shared" si="6"/>
        <v/>
      </c>
      <c r="G43" s="35" t="str">
        <f t="shared" si="7"/>
        <v/>
      </c>
      <c r="H43" s="167" t="str">
        <f t="shared" si="8"/>
        <v/>
      </c>
    </row>
    <row r="44" spans="1:8">
      <c r="A44" s="170">
        <f t="shared" si="1"/>
        <v>19</v>
      </c>
      <c r="B44" s="170">
        <f t="shared" si="2"/>
        <v>8208</v>
      </c>
      <c r="C44" s="184">
        <f t="shared" si="3"/>
        <v>8208</v>
      </c>
      <c r="D44" s="176">
        <f t="shared" si="4"/>
        <v>8208</v>
      </c>
      <c r="E44" s="35" t="str">
        <f t="shared" si="5"/>
        <v/>
      </c>
      <c r="F44" s="35" t="str">
        <f t="shared" si="6"/>
        <v/>
      </c>
      <c r="G44" s="35" t="str">
        <f t="shared" si="7"/>
        <v/>
      </c>
      <c r="H44" s="167" t="str">
        <f t="shared" si="8"/>
        <v/>
      </c>
    </row>
    <row r="45" spans="1:8">
      <c r="A45" s="170">
        <f t="shared" si="1"/>
        <v>20</v>
      </c>
      <c r="B45" s="170">
        <f t="shared" si="2"/>
        <v>8640</v>
      </c>
      <c r="C45" s="184">
        <f t="shared" si="3"/>
        <v>8640</v>
      </c>
      <c r="D45" s="176">
        <f t="shared" si="4"/>
        <v>8640</v>
      </c>
      <c r="E45" s="35" t="str">
        <f t="shared" si="5"/>
        <v/>
      </c>
      <c r="F45" s="35" t="str">
        <f t="shared" si="6"/>
        <v/>
      </c>
      <c r="G45" s="35" t="str">
        <f t="shared" si="7"/>
        <v/>
      </c>
      <c r="H45" s="167" t="str">
        <f t="shared" si="8"/>
        <v/>
      </c>
    </row>
    <row r="46" spans="1:8">
      <c r="A46" s="170">
        <f t="shared" si="1"/>
        <v>21</v>
      </c>
      <c r="B46" s="170">
        <f t="shared" si="2"/>
        <v>9072</v>
      </c>
      <c r="C46" s="184">
        <f t="shared" si="3"/>
        <v>9072</v>
      </c>
      <c r="D46" s="176">
        <f t="shared" si="4"/>
        <v>9072</v>
      </c>
      <c r="E46" s="35" t="str">
        <f t="shared" si="5"/>
        <v/>
      </c>
      <c r="F46" s="35" t="str">
        <f t="shared" si="6"/>
        <v/>
      </c>
      <c r="G46" s="35" t="str">
        <f t="shared" si="7"/>
        <v/>
      </c>
      <c r="H46" s="167" t="str">
        <f t="shared" si="8"/>
        <v/>
      </c>
    </row>
    <row r="47" spans="1:8">
      <c r="A47" s="170">
        <f t="shared" si="1"/>
        <v>22</v>
      </c>
      <c r="B47" s="170">
        <f t="shared" si="2"/>
        <v>9504</v>
      </c>
      <c r="C47" s="184">
        <f t="shared" si="3"/>
        <v>9504</v>
      </c>
      <c r="D47" s="176">
        <f t="shared" si="4"/>
        <v>9504</v>
      </c>
      <c r="E47" s="35" t="str">
        <f t="shared" si="5"/>
        <v/>
      </c>
      <c r="F47" s="35" t="str">
        <f t="shared" si="6"/>
        <v/>
      </c>
      <c r="G47" s="35" t="str">
        <f t="shared" si="7"/>
        <v/>
      </c>
      <c r="H47" s="167" t="str">
        <f t="shared" si="8"/>
        <v/>
      </c>
    </row>
    <row r="48" spans="1:8">
      <c r="A48" s="170">
        <f t="shared" si="1"/>
        <v>23</v>
      </c>
      <c r="B48" s="170">
        <f t="shared" si="2"/>
        <v>9936</v>
      </c>
      <c r="C48" s="184">
        <f t="shared" si="3"/>
        <v>9936</v>
      </c>
      <c r="D48" s="176">
        <f t="shared" si="4"/>
        <v>9936</v>
      </c>
      <c r="E48" s="35" t="str">
        <f t="shared" si="5"/>
        <v/>
      </c>
      <c r="F48" s="35" t="str">
        <f t="shared" si="6"/>
        <v/>
      </c>
      <c r="G48" s="35" t="str">
        <f t="shared" si="7"/>
        <v/>
      </c>
      <c r="H48" s="167" t="str">
        <f t="shared" si="8"/>
        <v/>
      </c>
    </row>
    <row r="49" spans="1:8">
      <c r="A49" s="170">
        <f t="shared" si="1"/>
        <v>24</v>
      </c>
      <c r="B49" s="170">
        <f t="shared" si="2"/>
        <v>10368</v>
      </c>
      <c r="C49" s="184">
        <f t="shared" si="3"/>
        <v>10368</v>
      </c>
      <c r="D49" s="176">
        <f t="shared" si="4"/>
        <v>10368</v>
      </c>
      <c r="E49" s="35" t="str">
        <f t="shared" si="5"/>
        <v/>
      </c>
      <c r="F49" s="35" t="str">
        <f t="shared" si="6"/>
        <v/>
      </c>
      <c r="G49" s="35" t="str">
        <f t="shared" si="7"/>
        <v/>
      </c>
      <c r="H49" s="167" t="str">
        <f t="shared" si="8"/>
        <v/>
      </c>
    </row>
    <row r="50" spans="1:8">
      <c r="A50" s="170">
        <f t="shared" si="1"/>
        <v>25</v>
      </c>
      <c r="B50" s="170">
        <f t="shared" si="2"/>
        <v>10800</v>
      </c>
      <c r="C50" s="184">
        <f t="shared" si="3"/>
        <v>10800</v>
      </c>
      <c r="D50" s="176">
        <f t="shared" si="4"/>
        <v>10800</v>
      </c>
      <c r="E50" s="35" t="str">
        <f t="shared" si="5"/>
        <v/>
      </c>
      <c r="F50" s="35" t="str">
        <f t="shared" si="6"/>
        <v/>
      </c>
      <c r="G50" s="35" t="str">
        <f t="shared" si="7"/>
        <v/>
      </c>
      <c r="H50" s="167" t="str">
        <f t="shared" si="8"/>
        <v/>
      </c>
    </row>
    <row r="51" spans="1:8">
      <c r="A51" s="170">
        <f t="shared" si="1"/>
        <v>26</v>
      </c>
      <c r="B51" s="170">
        <f t="shared" si="2"/>
        <v>11232</v>
      </c>
      <c r="C51" s="184">
        <f t="shared" si="3"/>
        <v>11232</v>
      </c>
      <c r="D51" s="176">
        <f t="shared" si="4"/>
        <v>11232</v>
      </c>
      <c r="E51" s="35" t="str">
        <f t="shared" si="5"/>
        <v/>
      </c>
      <c r="F51" s="35" t="str">
        <f t="shared" si="6"/>
        <v/>
      </c>
      <c r="G51" s="35" t="str">
        <f t="shared" si="7"/>
        <v/>
      </c>
      <c r="H51" s="167" t="str">
        <f t="shared" si="8"/>
        <v/>
      </c>
    </row>
    <row r="52" spans="1:8">
      <c r="A52" s="170">
        <f t="shared" si="1"/>
        <v>27</v>
      </c>
      <c r="B52" s="170">
        <f t="shared" si="2"/>
        <v>11664</v>
      </c>
      <c r="C52" s="184">
        <f t="shared" si="3"/>
        <v>11664</v>
      </c>
      <c r="D52" s="176">
        <f t="shared" si="4"/>
        <v>11664</v>
      </c>
      <c r="E52" s="35" t="str">
        <f t="shared" si="5"/>
        <v/>
      </c>
      <c r="F52" s="35" t="str">
        <f t="shared" si="6"/>
        <v/>
      </c>
      <c r="G52" s="35" t="str">
        <f t="shared" si="7"/>
        <v/>
      </c>
      <c r="H52" s="167" t="str">
        <f t="shared" si="8"/>
        <v/>
      </c>
    </row>
    <row r="53" spans="1:8">
      <c r="A53" s="170">
        <f t="shared" si="1"/>
        <v>28</v>
      </c>
      <c r="B53" s="170">
        <f t="shared" si="2"/>
        <v>12096</v>
      </c>
      <c r="C53" s="184">
        <f t="shared" si="3"/>
        <v>12096</v>
      </c>
      <c r="D53" s="176">
        <f t="shared" si="4"/>
        <v>12096</v>
      </c>
      <c r="E53" s="35" t="str">
        <f t="shared" si="5"/>
        <v/>
      </c>
      <c r="F53" s="35" t="str">
        <f t="shared" si="6"/>
        <v/>
      </c>
      <c r="G53" s="35" t="str">
        <f t="shared" si="7"/>
        <v/>
      </c>
      <c r="H53" s="167" t="str">
        <f t="shared" si="8"/>
        <v/>
      </c>
    </row>
    <row r="54" spans="1:8">
      <c r="A54" s="170">
        <f t="shared" si="1"/>
        <v>29</v>
      </c>
      <c r="B54" s="170">
        <f t="shared" si="2"/>
        <v>12528</v>
      </c>
      <c r="C54" s="184">
        <f t="shared" si="3"/>
        <v>12528</v>
      </c>
      <c r="D54" s="176">
        <f t="shared" si="4"/>
        <v>12528</v>
      </c>
      <c r="E54" s="35" t="str">
        <f t="shared" si="5"/>
        <v/>
      </c>
      <c r="F54" s="35" t="str">
        <f t="shared" si="6"/>
        <v/>
      </c>
      <c r="G54" s="35" t="str">
        <f t="shared" si="7"/>
        <v/>
      </c>
      <c r="H54" s="167" t="str">
        <f t="shared" si="8"/>
        <v/>
      </c>
    </row>
    <row r="55" spans="1:8">
      <c r="A55" s="170">
        <f t="shared" si="1"/>
        <v>30</v>
      </c>
      <c r="B55" s="170">
        <f t="shared" si="2"/>
        <v>12960</v>
      </c>
      <c r="C55" s="184">
        <f t="shared" si="3"/>
        <v>12960</v>
      </c>
      <c r="D55" s="176">
        <f t="shared" si="4"/>
        <v>12960</v>
      </c>
      <c r="E55" s="35" t="str">
        <f t="shared" si="5"/>
        <v/>
      </c>
      <c r="F55" s="35" t="str">
        <f t="shared" si="6"/>
        <v/>
      </c>
      <c r="G55" s="35" t="str">
        <f t="shared" si="7"/>
        <v/>
      </c>
      <c r="H55" s="167" t="str">
        <f t="shared" si="8"/>
        <v/>
      </c>
    </row>
    <row r="56" spans="1:8">
      <c r="A56" s="170">
        <f t="shared" si="1"/>
        <v>31</v>
      </c>
      <c r="B56" s="170">
        <f t="shared" si="2"/>
        <v>13392</v>
      </c>
      <c r="C56" s="184">
        <f t="shared" si="3"/>
        <v>13392</v>
      </c>
      <c r="D56" s="176">
        <f t="shared" si="4"/>
        <v>13392</v>
      </c>
      <c r="E56" s="35" t="str">
        <f t="shared" si="5"/>
        <v/>
      </c>
      <c r="F56" s="35" t="str">
        <f t="shared" si="6"/>
        <v/>
      </c>
      <c r="G56" s="35" t="str">
        <f t="shared" si="7"/>
        <v/>
      </c>
      <c r="H56" s="167" t="str">
        <f t="shared" si="8"/>
        <v/>
      </c>
    </row>
    <row r="57" spans="1:8">
      <c r="A57" s="170">
        <f t="shared" si="1"/>
        <v>32</v>
      </c>
      <c r="B57" s="170">
        <f t="shared" si="2"/>
        <v>13824</v>
      </c>
      <c r="C57" s="184">
        <f t="shared" si="3"/>
        <v>13824</v>
      </c>
      <c r="D57" s="176">
        <f t="shared" si="4"/>
        <v>13824</v>
      </c>
      <c r="E57" s="35" t="str">
        <f t="shared" si="5"/>
        <v/>
      </c>
      <c r="F57" s="35" t="str">
        <f t="shared" si="6"/>
        <v/>
      </c>
      <c r="G57" s="35" t="str">
        <f t="shared" si="7"/>
        <v/>
      </c>
      <c r="H57" s="167" t="str">
        <f t="shared" si="8"/>
        <v/>
      </c>
    </row>
    <row r="58" spans="1:8">
      <c r="A58" s="170">
        <f t="shared" si="1"/>
        <v>33</v>
      </c>
      <c r="B58" s="170">
        <f t="shared" si="2"/>
        <v>14256</v>
      </c>
      <c r="C58" s="184">
        <f t="shared" si="3"/>
        <v>14256</v>
      </c>
      <c r="D58" s="176">
        <f t="shared" si="4"/>
        <v>14256</v>
      </c>
      <c r="E58" s="35" t="str">
        <f t="shared" si="5"/>
        <v/>
      </c>
      <c r="F58" s="35" t="str">
        <f t="shared" si="6"/>
        <v/>
      </c>
      <c r="G58" s="35" t="str">
        <f t="shared" si="7"/>
        <v/>
      </c>
      <c r="H58" s="167" t="str">
        <f t="shared" si="8"/>
        <v/>
      </c>
    </row>
    <row r="59" spans="1:8">
      <c r="A59" s="170">
        <f t="shared" si="1"/>
        <v>34</v>
      </c>
      <c r="B59" s="170">
        <f t="shared" si="2"/>
        <v>14688</v>
      </c>
      <c r="C59" s="184">
        <f t="shared" si="3"/>
        <v>14688</v>
      </c>
      <c r="D59" s="176">
        <f t="shared" si="4"/>
        <v>14688</v>
      </c>
      <c r="E59" s="35" t="str">
        <f t="shared" si="5"/>
        <v/>
      </c>
      <c r="F59" s="35" t="str">
        <f t="shared" si="6"/>
        <v/>
      </c>
      <c r="G59" s="35" t="str">
        <f t="shared" si="7"/>
        <v/>
      </c>
      <c r="H59" s="167" t="str">
        <f t="shared" si="8"/>
        <v/>
      </c>
    </row>
    <row r="60" spans="1:8">
      <c r="A60" s="170">
        <f t="shared" si="1"/>
        <v>35</v>
      </c>
      <c r="B60" s="170">
        <f t="shared" si="2"/>
        <v>15120</v>
      </c>
      <c r="C60" s="184">
        <f t="shared" si="3"/>
        <v>15120</v>
      </c>
      <c r="D60" s="176">
        <f t="shared" si="4"/>
        <v>15120</v>
      </c>
      <c r="E60" s="35" t="str">
        <f t="shared" si="5"/>
        <v/>
      </c>
      <c r="F60" s="35" t="str">
        <f t="shared" si="6"/>
        <v/>
      </c>
      <c r="G60" s="35" t="str">
        <f t="shared" si="7"/>
        <v/>
      </c>
      <c r="H60" s="167" t="str">
        <f t="shared" si="8"/>
        <v/>
      </c>
    </row>
    <row r="61" spans="1:8">
      <c r="A61" s="170">
        <f t="shared" si="1"/>
        <v>36</v>
      </c>
      <c r="B61" s="170">
        <f t="shared" si="2"/>
        <v>15552</v>
      </c>
      <c r="C61" s="184">
        <f t="shared" si="3"/>
        <v>15552</v>
      </c>
      <c r="D61" s="176">
        <f t="shared" si="4"/>
        <v>15552</v>
      </c>
      <c r="E61" s="35" t="str">
        <f t="shared" si="5"/>
        <v/>
      </c>
      <c r="F61" s="35" t="str">
        <f t="shared" si="6"/>
        <v/>
      </c>
      <c r="G61" s="35" t="str">
        <f t="shared" si="7"/>
        <v/>
      </c>
      <c r="H61" s="167" t="str">
        <f t="shared" si="8"/>
        <v/>
      </c>
    </row>
    <row r="62" spans="1:8">
      <c r="A62" s="170">
        <f t="shared" si="1"/>
        <v>37</v>
      </c>
      <c r="B62" s="170">
        <f t="shared" si="2"/>
        <v>15984</v>
      </c>
      <c r="C62" s="184">
        <f t="shared" si="3"/>
        <v>15984</v>
      </c>
      <c r="D62" s="176">
        <f t="shared" si="4"/>
        <v>15984</v>
      </c>
      <c r="E62" s="35" t="str">
        <f t="shared" si="5"/>
        <v/>
      </c>
      <c r="F62" s="35" t="str">
        <f t="shared" si="6"/>
        <v/>
      </c>
      <c r="G62" s="35" t="str">
        <f t="shared" si="7"/>
        <v/>
      </c>
      <c r="H62" s="167" t="str">
        <f t="shared" si="8"/>
        <v/>
      </c>
    </row>
    <row r="63" spans="1:8">
      <c r="A63" s="170">
        <f t="shared" si="1"/>
        <v>38</v>
      </c>
      <c r="B63" s="170">
        <f t="shared" si="2"/>
        <v>16416</v>
      </c>
      <c r="C63" s="184">
        <f t="shared" si="3"/>
        <v>16416</v>
      </c>
      <c r="D63" s="176">
        <f t="shared" si="4"/>
        <v>16416</v>
      </c>
      <c r="E63" s="35" t="str">
        <f t="shared" si="5"/>
        <v/>
      </c>
      <c r="F63" s="35" t="str">
        <f t="shared" si="6"/>
        <v/>
      </c>
      <c r="G63" s="35" t="str">
        <f t="shared" si="7"/>
        <v/>
      </c>
      <c r="H63" s="167" t="str">
        <f t="shared" si="8"/>
        <v/>
      </c>
    </row>
    <row r="64" spans="1:8">
      <c r="A64" s="170">
        <f t="shared" si="1"/>
        <v>39</v>
      </c>
      <c r="B64" s="170">
        <f t="shared" si="2"/>
        <v>16848</v>
      </c>
      <c r="C64" s="184">
        <f t="shared" si="3"/>
        <v>16848</v>
      </c>
      <c r="D64" s="176">
        <f t="shared" si="4"/>
        <v>16848</v>
      </c>
      <c r="E64" s="35" t="str">
        <f t="shared" si="5"/>
        <v/>
      </c>
      <c r="F64" s="35" t="str">
        <f t="shared" si="6"/>
        <v/>
      </c>
      <c r="G64" s="35" t="str">
        <f t="shared" si="7"/>
        <v/>
      </c>
      <c r="H64" s="167" t="str">
        <f t="shared" si="8"/>
        <v/>
      </c>
    </row>
    <row r="65" spans="1:8">
      <c r="A65" s="170">
        <f t="shared" si="1"/>
        <v>40</v>
      </c>
      <c r="B65" s="170">
        <f t="shared" si="2"/>
        <v>17280</v>
      </c>
      <c r="C65" s="184">
        <f t="shared" si="3"/>
        <v>17280</v>
      </c>
      <c r="D65" s="176">
        <f t="shared" si="4"/>
        <v>17280</v>
      </c>
      <c r="E65" s="35" t="str">
        <f t="shared" si="5"/>
        <v/>
      </c>
      <c r="F65" s="35" t="str">
        <f t="shared" si="6"/>
        <v/>
      </c>
      <c r="G65" s="35" t="str">
        <f t="shared" si="7"/>
        <v/>
      </c>
      <c r="H65" s="167" t="str">
        <f t="shared" si="8"/>
        <v/>
      </c>
    </row>
    <row r="66" spans="1:8">
      <c r="A66" s="170">
        <f t="shared" si="1"/>
        <v>41</v>
      </c>
      <c r="B66" s="170">
        <f t="shared" si="2"/>
        <v>17712</v>
      </c>
      <c r="C66" s="184">
        <f t="shared" si="3"/>
        <v>17712</v>
      </c>
      <c r="D66" s="176">
        <f t="shared" si="4"/>
        <v>17712</v>
      </c>
      <c r="E66" s="35" t="str">
        <f t="shared" si="5"/>
        <v/>
      </c>
      <c r="F66" s="35" t="str">
        <f t="shared" si="6"/>
        <v/>
      </c>
      <c r="G66" s="35" t="str">
        <f t="shared" si="7"/>
        <v/>
      </c>
      <c r="H66" s="167" t="str">
        <f t="shared" si="8"/>
        <v/>
      </c>
    </row>
    <row r="67" spans="1:8">
      <c r="A67" s="170">
        <f t="shared" si="1"/>
        <v>42</v>
      </c>
      <c r="B67" s="170">
        <f t="shared" si="2"/>
        <v>18144</v>
      </c>
      <c r="C67" s="184">
        <f t="shared" si="3"/>
        <v>18144</v>
      </c>
      <c r="D67" s="176">
        <f t="shared" si="4"/>
        <v>18144</v>
      </c>
      <c r="E67" s="35" t="str">
        <f t="shared" si="5"/>
        <v/>
      </c>
      <c r="F67" s="35" t="str">
        <f t="shared" si="6"/>
        <v/>
      </c>
      <c r="G67" s="35" t="str">
        <f t="shared" si="7"/>
        <v/>
      </c>
      <c r="H67" s="167" t="str">
        <f t="shared" si="8"/>
        <v/>
      </c>
    </row>
    <row r="68" spans="1:8">
      <c r="A68" s="170">
        <f t="shared" si="1"/>
        <v>43</v>
      </c>
      <c r="B68" s="170">
        <f t="shared" si="2"/>
        <v>18576</v>
      </c>
      <c r="C68" s="184">
        <f t="shared" si="3"/>
        <v>18576</v>
      </c>
      <c r="D68" s="176">
        <f t="shared" si="4"/>
        <v>18576</v>
      </c>
      <c r="E68" s="35" t="str">
        <f t="shared" si="5"/>
        <v/>
      </c>
      <c r="F68" s="35" t="str">
        <f t="shared" si="6"/>
        <v/>
      </c>
      <c r="G68" s="35" t="str">
        <f t="shared" si="7"/>
        <v/>
      </c>
      <c r="H68" s="167" t="str">
        <f t="shared" si="8"/>
        <v/>
      </c>
    </row>
    <row r="69" spans="1:8">
      <c r="A69" s="170">
        <f t="shared" si="1"/>
        <v>44</v>
      </c>
      <c r="B69" s="170">
        <f t="shared" si="2"/>
        <v>19008</v>
      </c>
      <c r="C69" s="184">
        <f t="shared" si="3"/>
        <v>19008</v>
      </c>
      <c r="D69" s="176">
        <f t="shared" si="4"/>
        <v>19008</v>
      </c>
      <c r="E69" s="35" t="str">
        <f t="shared" si="5"/>
        <v/>
      </c>
      <c r="F69" s="35" t="str">
        <f t="shared" si="6"/>
        <v/>
      </c>
      <c r="G69" s="35" t="str">
        <f t="shared" si="7"/>
        <v/>
      </c>
      <c r="H69" s="167" t="str">
        <f t="shared" si="8"/>
        <v/>
      </c>
    </row>
    <row r="70" spans="1:8">
      <c r="A70" s="170">
        <f t="shared" si="1"/>
        <v>45</v>
      </c>
      <c r="B70" s="170">
        <f t="shared" si="2"/>
        <v>19440</v>
      </c>
      <c r="C70" s="184">
        <f t="shared" si="3"/>
        <v>19440</v>
      </c>
      <c r="D70" s="176">
        <f t="shared" si="4"/>
        <v>19440</v>
      </c>
      <c r="E70" s="35" t="str">
        <f t="shared" si="5"/>
        <v/>
      </c>
      <c r="F70" s="35" t="str">
        <f t="shared" si="6"/>
        <v/>
      </c>
      <c r="G70" s="35" t="str">
        <f t="shared" si="7"/>
        <v/>
      </c>
      <c r="H70" s="167" t="str">
        <f t="shared" si="8"/>
        <v/>
      </c>
    </row>
    <row r="71" spans="1:8">
      <c r="A71" s="170">
        <f t="shared" si="1"/>
        <v>46</v>
      </c>
      <c r="B71" s="170">
        <f t="shared" si="2"/>
        <v>19872</v>
      </c>
      <c r="C71" s="184">
        <f t="shared" si="3"/>
        <v>19872</v>
      </c>
      <c r="D71" s="176">
        <f t="shared" si="4"/>
        <v>19872</v>
      </c>
      <c r="E71" s="35" t="str">
        <f t="shared" si="5"/>
        <v/>
      </c>
      <c r="F71" s="35" t="str">
        <f t="shared" si="6"/>
        <v/>
      </c>
      <c r="G71" s="35" t="str">
        <f t="shared" si="7"/>
        <v/>
      </c>
      <c r="H71" s="167" t="str">
        <f t="shared" si="8"/>
        <v/>
      </c>
    </row>
    <row r="72" spans="1:8">
      <c r="A72" s="170">
        <f t="shared" si="1"/>
        <v>47</v>
      </c>
      <c r="B72" s="170">
        <f t="shared" si="2"/>
        <v>432</v>
      </c>
      <c r="C72" s="184">
        <f t="shared" si="3"/>
        <v>432</v>
      </c>
      <c r="D72" s="176">
        <f t="shared" si="4"/>
        <v>432</v>
      </c>
      <c r="E72" s="35">
        <f t="shared" si="5"/>
        <v>1</v>
      </c>
      <c r="F72" s="35">
        <f t="shared" si="6"/>
        <v>1</v>
      </c>
      <c r="G72" s="35">
        <f t="shared" si="7"/>
        <v>1</v>
      </c>
      <c r="H72" s="167">
        <f t="shared" si="8"/>
        <v>1</v>
      </c>
    </row>
    <row r="73" spans="1:8">
      <c r="A73" s="170">
        <f t="shared" si="1"/>
        <v>48</v>
      </c>
      <c r="B73" s="170">
        <f t="shared" si="2"/>
        <v>864</v>
      </c>
      <c r="C73" s="184">
        <f t="shared" si="3"/>
        <v>864</v>
      </c>
      <c r="D73" s="176">
        <f t="shared" si="4"/>
        <v>864</v>
      </c>
      <c r="E73" s="35" t="str">
        <f t="shared" si="5"/>
        <v/>
      </c>
      <c r="F73" s="35" t="str">
        <f t="shared" si="6"/>
        <v/>
      </c>
      <c r="G73" s="35" t="str">
        <f t="shared" si="7"/>
        <v/>
      </c>
      <c r="H73" s="167" t="str">
        <f t="shared" si="8"/>
        <v/>
      </c>
    </row>
    <row r="74" spans="1:8">
      <c r="A74" s="170">
        <f t="shared" si="1"/>
        <v>49</v>
      </c>
      <c r="B74" s="170">
        <f t="shared" si="2"/>
        <v>1296</v>
      </c>
      <c r="C74" s="184">
        <f t="shared" si="3"/>
        <v>1296</v>
      </c>
      <c r="D74" s="176">
        <f t="shared" si="4"/>
        <v>1296</v>
      </c>
      <c r="E74" s="35" t="str">
        <f t="shared" si="5"/>
        <v/>
      </c>
      <c r="F74" s="35" t="str">
        <f t="shared" si="6"/>
        <v/>
      </c>
      <c r="G74" s="35" t="str">
        <f t="shared" si="7"/>
        <v/>
      </c>
      <c r="H74" s="167" t="str">
        <f t="shared" si="8"/>
        <v/>
      </c>
    </row>
    <row r="75" spans="1:8">
      <c r="A75" s="170">
        <f t="shared" si="1"/>
        <v>50</v>
      </c>
      <c r="B75" s="170">
        <f t="shared" si="2"/>
        <v>1728</v>
      </c>
      <c r="C75" s="184">
        <f t="shared" si="3"/>
        <v>1728</v>
      </c>
      <c r="D75" s="176">
        <f t="shared" si="4"/>
        <v>1728</v>
      </c>
      <c r="E75" s="35" t="str">
        <f t="shared" si="5"/>
        <v/>
      </c>
      <c r="F75" s="35" t="str">
        <f t="shared" si="6"/>
        <v/>
      </c>
      <c r="G75" s="35" t="str">
        <f t="shared" si="7"/>
        <v/>
      </c>
      <c r="H75" s="167" t="str">
        <f t="shared" si="8"/>
        <v/>
      </c>
    </row>
    <row r="76" spans="1:8">
      <c r="A76" s="170">
        <f t="shared" si="1"/>
        <v>51</v>
      </c>
      <c r="B76" s="170">
        <f t="shared" si="2"/>
        <v>2160</v>
      </c>
      <c r="C76" s="184">
        <f t="shared" si="3"/>
        <v>2160</v>
      </c>
      <c r="D76" s="176">
        <f t="shared" si="4"/>
        <v>2160</v>
      </c>
      <c r="E76" s="35" t="str">
        <f t="shared" si="5"/>
        <v/>
      </c>
      <c r="F76" s="35" t="str">
        <f t="shared" si="6"/>
        <v/>
      </c>
      <c r="G76" s="35" t="str">
        <f t="shared" si="7"/>
        <v/>
      </c>
      <c r="H76" s="167" t="str">
        <f t="shared" si="8"/>
        <v/>
      </c>
    </row>
    <row r="77" spans="1:8">
      <c r="A77" s="170">
        <f t="shared" si="1"/>
        <v>52</v>
      </c>
      <c r="B77" s="170">
        <f t="shared" si="2"/>
        <v>2592</v>
      </c>
      <c r="C77" s="184">
        <f t="shared" si="3"/>
        <v>2592</v>
      </c>
      <c r="D77" s="176">
        <f t="shared" si="4"/>
        <v>2592</v>
      </c>
      <c r="E77" s="35" t="str">
        <f t="shared" si="5"/>
        <v/>
      </c>
      <c r="F77" s="35" t="str">
        <f t="shared" si="6"/>
        <v/>
      </c>
      <c r="G77" s="35" t="str">
        <f t="shared" si="7"/>
        <v/>
      </c>
      <c r="H77" s="167" t="str">
        <f t="shared" si="8"/>
        <v/>
      </c>
    </row>
    <row r="78" spans="1:8">
      <c r="A78" s="170">
        <f t="shared" si="1"/>
        <v>53</v>
      </c>
      <c r="B78" s="170">
        <f t="shared" si="2"/>
        <v>3024</v>
      </c>
      <c r="C78" s="184">
        <f t="shared" si="3"/>
        <v>3024</v>
      </c>
      <c r="D78" s="176">
        <f t="shared" si="4"/>
        <v>3024</v>
      </c>
      <c r="E78" s="35" t="str">
        <f t="shared" si="5"/>
        <v/>
      </c>
      <c r="F78" s="35" t="str">
        <f t="shared" si="6"/>
        <v/>
      </c>
      <c r="G78" s="35" t="str">
        <f t="shared" si="7"/>
        <v/>
      </c>
      <c r="H78" s="167" t="str">
        <f t="shared" si="8"/>
        <v/>
      </c>
    </row>
    <row r="79" spans="1:8">
      <c r="A79" s="170">
        <f t="shared" si="1"/>
        <v>54</v>
      </c>
      <c r="B79" s="170">
        <f t="shared" si="2"/>
        <v>3456</v>
      </c>
      <c r="C79" s="184">
        <f t="shared" si="3"/>
        <v>3456</v>
      </c>
      <c r="D79" s="176">
        <f t="shared" si="4"/>
        <v>3456</v>
      </c>
      <c r="E79" s="35" t="str">
        <f t="shared" si="5"/>
        <v/>
      </c>
      <c r="F79" s="35" t="str">
        <f t="shared" si="6"/>
        <v/>
      </c>
      <c r="G79" s="35" t="str">
        <f t="shared" si="7"/>
        <v/>
      </c>
      <c r="H79" s="167" t="str">
        <f t="shared" si="8"/>
        <v/>
      </c>
    </row>
    <row r="80" spans="1:8">
      <c r="A80" s="170">
        <f t="shared" si="1"/>
        <v>55</v>
      </c>
      <c r="B80" s="170">
        <f t="shared" si="2"/>
        <v>3888</v>
      </c>
      <c r="C80" s="184">
        <f t="shared" si="3"/>
        <v>3888</v>
      </c>
      <c r="D80" s="176">
        <f t="shared" si="4"/>
        <v>3888</v>
      </c>
      <c r="E80" s="35" t="str">
        <f t="shared" si="5"/>
        <v/>
      </c>
      <c r="F80" s="35" t="str">
        <f t="shared" si="6"/>
        <v/>
      </c>
      <c r="G80" s="35" t="str">
        <f t="shared" si="7"/>
        <v/>
      </c>
      <c r="H80" s="167" t="str">
        <f t="shared" si="8"/>
        <v/>
      </c>
    </row>
    <row r="81" spans="1:8">
      <c r="A81" s="170">
        <f t="shared" si="1"/>
        <v>56</v>
      </c>
      <c r="B81" s="170">
        <f t="shared" si="2"/>
        <v>4320</v>
      </c>
      <c r="C81" s="184">
        <f t="shared" si="3"/>
        <v>4320</v>
      </c>
      <c r="D81" s="176">
        <f t="shared" si="4"/>
        <v>4320</v>
      </c>
      <c r="E81" s="35" t="str">
        <f t="shared" si="5"/>
        <v/>
      </c>
      <c r="F81" s="35" t="str">
        <f t="shared" si="6"/>
        <v/>
      </c>
      <c r="G81" s="35" t="str">
        <f t="shared" si="7"/>
        <v/>
      </c>
      <c r="H81" s="167" t="str">
        <f t="shared" si="8"/>
        <v/>
      </c>
    </row>
    <row r="82" spans="1:8">
      <c r="A82" s="170">
        <f t="shared" si="1"/>
        <v>57</v>
      </c>
      <c r="B82" s="170">
        <f t="shared" si="2"/>
        <v>4752</v>
      </c>
      <c r="C82" s="184">
        <f t="shared" si="3"/>
        <v>4752</v>
      </c>
      <c r="D82" s="176">
        <f t="shared" si="4"/>
        <v>4752</v>
      </c>
      <c r="E82" s="35" t="str">
        <f t="shared" si="5"/>
        <v/>
      </c>
      <c r="F82" s="35" t="str">
        <f t="shared" si="6"/>
        <v/>
      </c>
      <c r="G82" s="35" t="str">
        <f t="shared" si="7"/>
        <v/>
      </c>
      <c r="H82" s="167" t="str">
        <f t="shared" si="8"/>
        <v/>
      </c>
    </row>
    <row r="83" spans="1:8">
      <c r="A83" s="170">
        <f t="shared" si="1"/>
        <v>58</v>
      </c>
      <c r="B83" s="170">
        <f t="shared" si="2"/>
        <v>5184</v>
      </c>
      <c r="C83" s="184">
        <f t="shared" si="3"/>
        <v>5184</v>
      </c>
      <c r="D83" s="176">
        <f t="shared" si="4"/>
        <v>5184</v>
      </c>
      <c r="E83" s="35" t="str">
        <f t="shared" si="5"/>
        <v/>
      </c>
      <c r="F83" s="35" t="str">
        <f t="shared" si="6"/>
        <v/>
      </c>
      <c r="G83" s="35" t="str">
        <f t="shared" si="7"/>
        <v/>
      </c>
      <c r="H83" s="167" t="str">
        <f t="shared" si="8"/>
        <v/>
      </c>
    </row>
    <row r="84" spans="1:8">
      <c r="A84" s="170">
        <f t="shared" si="1"/>
        <v>59</v>
      </c>
      <c r="B84" s="170">
        <f t="shared" si="2"/>
        <v>5616</v>
      </c>
      <c r="C84" s="184">
        <f t="shared" si="3"/>
        <v>5616</v>
      </c>
      <c r="D84" s="176">
        <f t="shared" si="4"/>
        <v>5616</v>
      </c>
      <c r="E84" s="35" t="str">
        <f t="shared" si="5"/>
        <v/>
      </c>
      <c r="F84" s="35" t="str">
        <f t="shared" si="6"/>
        <v/>
      </c>
      <c r="G84" s="35" t="str">
        <f t="shared" si="7"/>
        <v/>
      </c>
      <c r="H84" s="167" t="str">
        <f t="shared" si="8"/>
        <v/>
      </c>
    </row>
    <row r="85" spans="1:8">
      <c r="A85" s="170">
        <f t="shared" si="1"/>
        <v>60</v>
      </c>
      <c r="B85" s="170">
        <f t="shared" si="2"/>
        <v>6048</v>
      </c>
      <c r="C85" s="184">
        <f t="shared" si="3"/>
        <v>6048</v>
      </c>
      <c r="D85" s="176">
        <f t="shared" si="4"/>
        <v>6048</v>
      </c>
      <c r="E85" s="35" t="str">
        <f t="shared" si="5"/>
        <v/>
      </c>
      <c r="F85" s="35" t="str">
        <f t="shared" si="6"/>
        <v/>
      </c>
      <c r="G85" s="35" t="str">
        <f t="shared" si="7"/>
        <v/>
      </c>
      <c r="H85" s="167" t="str">
        <f t="shared" si="8"/>
        <v/>
      </c>
    </row>
    <row r="86" spans="1:8">
      <c r="A86" s="170">
        <f t="shared" si="1"/>
        <v>61</v>
      </c>
      <c r="B86" s="170">
        <f t="shared" si="2"/>
        <v>6480</v>
      </c>
      <c r="C86" s="184">
        <f t="shared" si="3"/>
        <v>6480</v>
      </c>
      <c r="D86" s="176">
        <f t="shared" si="4"/>
        <v>6480</v>
      </c>
      <c r="E86" s="35" t="str">
        <f t="shared" si="5"/>
        <v/>
      </c>
      <c r="F86" s="35" t="str">
        <f t="shared" si="6"/>
        <v/>
      </c>
      <c r="G86" s="35" t="str">
        <f t="shared" si="7"/>
        <v/>
      </c>
      <c r="H86" s="167" t="str">
        <f t="shared" si="8"/>
        <v/>
      </c>
    </row>
    <row r="87" spans="1:8">
      <c r="A87" s="170">
        <f t="shared" si="1"/>
        <v>62</v>
      </c>
      <c r="B87" s="170">
        <f t="shared" si="2"/>
        <v>6912</v>
      </c>
      <c r="C87" s="184">
        <f t="shared" si="3"/>
        <v>6912</v>
      </c>
      <c r="D87" s="176">
        <f t="shared" si="4"/>
        <v>6912</v>
      </c>
      <c r="E87" s="35" t="str">
        <f t="shared" si="5"/>
        <v/>
      </c>
      <c r="F87" s="35" t="str">
        <f t="shared" si="6"/>
        <v/>
      </c>
      <c r="G87" s="35" t="str">
        <f t="shared" si="7"/>
        <v/>
      </c>
      <c r="H87" s="167" t="str">
        <f t="shared" si="8"/>
        <v/>
      </c>
    </row>
    <row r="88" spans="1:8">
      <c r="A88" s="170">
        <f t="shared" si="1"/>
        <v>63</v>
      </c>
      <c r="B88" s="170">
        <f t="shared" si="2"/>
        <v>7344</v>
      </c>
      <c r="C88" s="184">
        <f t="shared" si="3"/>
        <v>7344</v>
      </c>
      <c r="D88" s="176">
        <f t="shared" si="4"/>
        <v>7344</v>
      </c>
      <c r="E88" s="35" t="str">
        <f t="shared" si="5"/>
        <v/>
      </c>
      <c r="F88" s="35" t="str">
        <f t="shared" si="6"/>
        <v/>
      </c>
      <c r="G88" s="35" t="str">
        <f t="shared" si="7"/>
        <v/>
      </c>
      <c r="H88" s="167" t="str">
        <f t="shared" si="8"/>
        <v/>
      </c>
    </row>
    <row r="89" spans="1:8">
      <c r="A89" s="170">
        <f t="shared" si="1"/>
        <v>64</v>
      </c>
      <c r="B89" s="170">
        <f t="shared" si="2"/>
        <v>7776</v>
      </c>
      <c r="C89" s="184">
        <f t="shared" si="3"/>
        <v>7776</v>
      </c>
      <c r="D89" s="176">
        <f t="shared" si="4"/>
        <v>7776</v>
      </c>
      <c r="E89" s="35" t="str">
        <f t="shared" si="5"/>
        <v/>
      </c>
      <c r="F89" s="35" t="str">
        <f t="shared" si="6"/>
        <v/>
      </c>
      <c r="G89" s="35" t="str">
        <f t="shared" si="7"/>
        <v/>
      </c>
      <c r="H89" s="167" t="str">
        <f t="shared" si="8"/>
        <v/>
      </c>
    </row>
    <row r="90" spans="1:8">
      <c r="A90" s="170">
        <f t="shared" si="1"/>
        <v>65</v>
      </c>
      <c r="B90" s="170">
        <f t="shared" si="2"/>
        <v>8208</v>
      </c>
      <c r="C90" s="184">
        <f t="shared" si="3"/>
        <v>8208</v>
      </c>
      <c r="D90" s="176">
        <f t="shared" si="4"/>
        <v>8208</v>
      </c>
      <c r="E90" s="35" t="str">
        <f t="shared" si="5"/>
        <v/>
      </c>
      <c r="F90" s="35" t="str">
        <f t="shared" si="6"/>
        <v/>
      </c>
      <c r="G90" s="35" t="str">
        <f t="shared" si="7"/>
        <v/>
      </c>
      <c r="H90" s="167" t="str">
        <f t="shared" si="8"/>
        <v/>
      </c>
    </row>
    <row r="91" spans="1:8">
      <c r="A91" s="170">
        <f t="shared" si="1"/>
        <v>66</v>
      </c>
      <c r="B91" s="170">
        <f t="shared" si="2"/>
        <v>8640</v>
      </c>
      <c r="C91" s="184">
        <f t="shared" si="3"/>
        <v>8640</v>
      </c>
      <c r="D91" s="176">
        <f t="shared" si="4"/>
        <v>8640</v>
      </c>
      <c r="E91" s="35" t="str">
        <f t="shared" si="5"/>
        <v/>
      </c>
      <c r="F91" s="35" t="str">
        <f t="shared" si="6"/>
        <v/>
      </c>
      <c r="G91" s="35" t="str">
        <f t="shared" si="7"/>
        <v/>
      </c>
      <c r="H91" s="167" t="str">
        <f t="shared" si="8"/>
        <v/>
      </c>
    </row>
    <row r="92" spans="1:8">
      <c r="A92" s="170">
        <f t="shared" ref="A92:A155" si="9">1+A91</f>
        <v>67</v>
      </c>
      <c r="B92" s="170">
        <f t="shared" ref="B92:B155" si="10">IF($B$14="y",IF(B91+$C$8&gt;$D$14,$C$8,B91+$C$8),"")</f>
        <v>9072</v>
      </c>
      <c r="C92" s="184">
        <f t="shared" ref="C92:C155" si="11">IF($B$15="y",IF(C91+$C$8&gt;$D$15,$C$8,C91+$C$8),"")</f>
        <v>9072</v>
      </c>
      <c r="D92" s="176">
        <f t="shared" ref="D92:D155" si="12">IF($B$16="y",IF(D91+$C$8&gt;$D$16,$C$8,D91+$C$8),"")</f>
        <v>9072</v>
      </c>
      <c r="E92" s="35" t="str">
        <f t="shared" ref="E92:E155" si="13">IF(B92=$C$8,1,"")</f>
        <v/>
      </c>
      <c r="F92" s="35" t="str">
        <f t="shared" ref="F92:F155" si="14">IF(C92=$C$8,1,"")</f>
        <v/>
      </c>
      <c r="G92" s="35" t="str">
        <f t="shared" ref="G92:G155" si="15">IF(D92=$C$8,1,"")</f>
        <v/>
      </c>
      <c r="H92" s="167" t="str">
        <f t="shared" ref="H92:H155" si="16">IF(SUM(E92:G92)&gt;0,1,"")</f>
        <v/>
      </c>
    </row>
    <row r="93" spans="1:8">
      <c r="A93" s="170">
        <f t="shared" si="9"/>
        <v>68</v>
      </c>
      <c r="B93" s="170">
        <f t="shared" si="10"/>
        <v>9504</v>
      </c>
      <c r="C93" s="184">
        <f t="shared" si="11"/>
        <v>9504</v>
      </c>
      <c r="D93" s="176">
        <f t="shared" si="12"/>
        <v>9504</v>
      </c>
      <c r="E93" s="35" t="str">
        <f t="shared" si="13"/>
        <v/>
      </c>
      <c r="F93" s="35" t="str">
        <f t="shared" si="14"/>
        <v/>
      </c>
      <c r="G93" s="35" t="str">
        <f t="shared" si="15"/>
        <v/>
      </c>
      <c r="H93" s="167" t="str">
        <f t="shared" si="16"/>
        <v/>
      </c>
    </row>
    <row r="94" spans="1:8">
      <c r="A94" s="170">
        <f t="shared" si="9"/>
        <v>69</v>
      </c>
      <c r="B94" s="170">
        <f t="shared" si="10"/>
        <v>9936</v>
      </c>
      <c r="C94" s="184">
        <f t="shared" si="11"/>
        <v>9936</v>
      </c>
      <c r="D94" s="176">
        <f t="shared" si="12"/>
        <v>9936</v>
      </c>
      <c r="E94" s="35" t="str">
        <f t="shared" si="13"/>
        <v/>
      </c>
      <c r="F94" s="35" t="str">
        <f t="shared" si="14"/>
        <v/>
      </c>
      <c r="G94" s="35" t="str">
        <f t="shared" si="15"/>
        <v/>
      </c>
      <c r="H94" s="167" t="str">
        <f t="shared" si="16"/>
        <v/>
      </c>
    </row>
    <row r="95" spans="1:8">
      <c r="A95" s="170">
        <f t="shared" si="9"/>
        <v>70</v>
      </c>
      <c r="B95" s="170">
        <f t="shared" si="10"/>
        <v>10368</v>
      </c>
      <c r="C95" s="184">
        <f t="shared" si="11"/>
        <v>10368</v>
      </c>
      <c r="D95" s="176">
        <f t="shared" si="12"/>
        <v>10368</v>
      </c>
      <c r="E95" s="35" t="str">
        <f t="shared" si="13"/>
        <v/>
      </c>
      <c r="F95" s="35" t="str">
        <f t="shared" si="14"/>
        <v/>
      </c>
      <c r="G95" s="35" t="str">
        <f t="shared" si="15"/>
        <v/>
      </c>
      <c r="H95" s="167" t="str">
        <f t="shared" si="16"/>
        <v/>
      </c>
    </row>
    <row r="96" spans="1:8">
      <c r="A96" s="170">
        <f t="shared" si="9"/>
        <v>71</v>
      </c>
      <c r="B96" s="170">
        <f t="shared" si="10"/>
        <v>10800</v>
      </c>
      <c r="C96" s="184">
        <f t="shared" si="11"/>
        <v>10800</v>
      </c>
      <c r="D96" s="176">
        <f t="shared" si="12"/>
        <v>10800</v>
      </c>
      <c r="E96" s="35" t="str">
        <f t="shared" si="13"/>
        <v/>
      </c>
      <c r="F96" s="35" t="str">
        <f t="shared" si="14"/>
        <v/>
      </c>
      <c r="G96" s="35" t="str">
        <f t="shared" si="15"/>
        <v/>
      </c>
      <c r="H96" s="167" t="str">
        <f t="shared" si="16"/>
        <v/>
      </c>
    </row>
    <row r="97" spans="1:8">
      <c r="A97" s="170">
        <f t="shared" si="9"/>
        <v>72</v>
      </c>
      <c r="B97" s="170">
        <f t="shared" si="10"/>
        <v>11232</v>
      </c>
      <c r="C97" s="184">
        <f t="shared" si="11"/>
        <v>11232</v>
      </c>
      <c r="D97" s="176">
        <f t="shared" si="12"/>
        <v>11232</v>
      </c>
      <c r="E97" s="35" t="str">
        <f t="shared" si="13"/>
        <v/>
      </c>
      <c r="F97" s="35" t="str">
        <f t="shared" si="14"/>
        <v/>
      </c>
      <c r="G97" s="35" t="str">
        <f t="shared" si="15"/>
        <v/>
      </c>
      <c r="H97" s="167" t="str">
        <f t="shared" si="16"/>
        <v/>
      </c>
    </row>
    <row r="98" spans="1:8">
      <c r="A98" s="170">
        <f t="shared" si="9"/>
        <v>73</v>
      </c>
      <c r="B98" s="170">
        <f t="shared" si="10"/>
        <v>11664</v>
      </c>
      <c r="C98" s="184">
        <f t="shared" si="11"/>
        <v>11664</v>
      </c>
      <c r="D98" s="176">
        <f t="shared" si="12"/>
        <v>11664</v>
      </c>
      <c r="E98" s="35" t="str">
        <f t="shared" si="13"/>
        <v/>
      </c>
      <c r="F98" s="35" t="str">
        <f t="shared" si="14"/>
        <v/>
      </c>
      <c r="G98" s="35" t="str">
        <f t="shared" si="15"/>
        <v/>
      </c>
      <c r="H98" s="167" t="str">
        <f t="shared" si="16"/>
        <v/>
      </c>
    </row>
    <row r="99" spans="1:8">
      <c r="A99" s="170">
        <f t="shared" si="9"/>
        <v>74</v>
      </c>
      <c r="B99" s="170">
        <f t="shared" si="10"/>
        <v>12096</v>
      </c>
      <c r="C99" s="184">
        <f t="shared" si="11"/>
        <v>12096</v>
      </c>
      <c r="D99" s="176">
        <f t="shared" si="12"/>
        <v>12096</v>
      </c>
      <c r="E99" s="35" t="str">
        <f t="shared" si="13"/>
        <v/>
      </c>
      <c r="F99" s="35" t="str">
        <f t="shared" si="14"/>
        <v/>
      </c>
      <c r="G99" s="35" t="str">
        <f t="shared" si="15"/>
        <v/>
      </c>
      <c r="H99" s="167" t="str">
        <f t="shared" si="16"/>
        <v/>
      </c>
    </row>
    <row r="100" spans="1:8">
      <c r="A100" s="170">
        <f t="shared" si="9"/>
        <v>75</v>
      </c>
      <c r="B100" s="170">
        <f t="shared" si="10"/>
        <v>12528</v>
      </c>
      <c r="C100" s="184">
        <f t="shared" si="11"/>
        <v>12528</v>
      </c>
      <c r="D100" s="176">
        <f t="shared" si="12"/>
        <v>12528</v>
      </c>
      <c r="E100" s="35" t="str">
        <f t="shared" si="13"/>
        <v/>
      </c>
      <c r="F100" s="35" t="str">
        <f t="shared" si="14"/>
        <v/>
      </c>
      <c r="G100" s="35" t="str">
        <f t="shared" si="15"/>
        <v/>
      </c>
      <c r="H100" s="167" t="str">
        <f t="shared" si="16"/>
        <v/>
      </c>
    </row>
    <row r="101" spans="1:8">
      <c r="A101" s="170">
        <f t="shared" si="9"/>
        <v>76</v>
      </c>
      <c r="B101" s="170">
        <f t="shared" si="10"/>
        <v>12960</v>
      </c>
      <c r="C101" s="184">
        <f t="shared" si="11"/>
        <v>12960</v>
      </c>
      <c r="D101" s="176">
        <f t="shared" si="12"/>
        <v>12960</v>
      </c>
      <c r="E101" s="35" t="str">
        <f t="shared" si="13"/>
        <v/>
      </c>
      <c r="F101" s="35" t="str">
        <f t="shared" si="14"/>
        <v/>
      </c>
      <c r="G101" s="35" t="str">
        <f t="shared" si="15"/>
        <v/>
      </c>
      <c r="H101" s="167" t="str">
        <f t="shared" si="16"/>
        <v/>
      </c>
    </row>
    <row r="102" spans="1:8">
      <c r="A102" s="170">
        <f t="shared" si="9"/>
        <v>77</v>
      </c>
      <c r="B102" s="170">
        <f t="shared" si="10"/>
        <v>13392</v>
      </c>
      <c r="C102" s="184">
        <f t="shared" si="11"/>
        <v>13392</v>
      </c>
      <c r="D102" s="176">
        <f t="shared" si="12"/>
        <v>13392</v>
      </c>
      <c r="E102" s="35" t="str">
        <f t="shared" si="13"/>
        <v/>
      </c>
      <c r="F102" s="35" t="str">
        <f t="shared" si="14"/>
        <v/>
      </c>
      <c r="G102" s="35" t="str">
        <f t="shared" si="15"/>
        <v/>
      </c>
      <c r="H102" s="167" t="str">
        <f t="shared" si="16"/>
        <v/>
      </c>
    </row>
    <row r="103" spans="1:8">
      <c r="A103" s="170">
        <f t="shared" si="9"/>
        <v>78</v>
      </c>
      <c r="B103" s="170">
        <f t="shared" si="10"/>
        <v>13824</v>
      </c>
      <c r="C103" s="184">
        <f t="shared" si="11"/>
        <v>13824</v>
      </c>
      <c r="D103" s="176">
        <f t="shared" si="12"/>
        <v>13824</v>
      </c>
      <c r="E103" s="35" t="str">
        <f t="shared" si="13"/>
        <v/>
      </c>
      <c r="F103" s="35" t="str">
        <f t="shared" si="14"/>
        <v/>
      </c>
      <c r="G103" s="35" t="str">
        <f t="shared" si="15"/>
        <v/>
      </c>
      <c r="H103" s="167" t="str">
        <f t="shared" si="16"/>
        <v/>
      </c>
    </row>
    <row r="104" spans="1:8">
      <c r="A104" s="170">
        <f t="shared" si="9"/>
        <v>79</v>
      </c>
      <c r="B104" s="170">
        <f t="shared" si="10"/>
        <v>14256</v>
      </c>
      <c r="C104" s="184">
        <f t="shared" si="11"/>
        <v>14256</v>
      </c>
      <c r="D104" s="176">
        <f t="shared" si="12"/>
        <v>14256</v>
      </c>
      <c r="E104" s="35" t="str">
        <f t="shared" si="13"/>
        <v/>
      </c>
      <c r="F104" s="35" t="str">
        <f t="shared" si="14"/>
        <v/>
      </c>
      <c r="G104" s="35" t="str">
        <f t="shared" si="15"/>
        <v/>
      </c>
      <c r="H104" s="167" t="str">
        <f t="shared" si="16"/>
        <v/>
      </c>
    </row>
    <row r="105" spans="1:8">
      <c r="A105" s="170">
        <f t="shared" si="9"/>
        <v>80</v>
      </c>
      <c r="B105" s="170">
        <f t="shared" si="10"/>
        <v>14688</v>
      </c>
      <c r="C105" s="184">
        <f t="shared" si="11"/>
        <v>14688</v>
      </c>
      <c r="D105" s="176">
        <f t="shared" si="12"/>
        <v>14688</v>
      </c>
      <c r="E105" s="35" t="str">
        <f t="shared" si="13"/>
        <v/>
      </c>
      <c r="F105" s="35" t="str">
        <f t="shared" si="14"/>
        <v/>
      </c>
      <c r="G105" s="35" t="str">
        <f t="shared" si="15"/>
        <v/>
      </c>
      <c r="H105" s="167" t="str">
        <f t="shared" si="16"/>
        <v/>
      </c>
    </row>
    <row r="106" spans="1:8">
      <c r="A106" s="170">
        <f t="shared" si="9"/>
        <v>81</v>
      </c>
      <c r="B106" s="170">
        <f t="shared" si="10"/>
        <v>15120</v>
      </c>
      <c r="C106" s="184">
        <f t="shared" si="11"/>
        <v>15120</v>
      </c>
      <c r="D106" s="176">
        <f t="shared" si="12"/>
        <v>15120</v>
      </c>
      <c r="E106" s="35" t="str">
        <f t="shared" si="13"/>
        <v/>
      </c>
      <c r="F106" s="35" t="str">
        <f t="shared" si="14"/>
        <v/>
      </c>
      <c r="G106" s="35" t="str">
        <f t="shared" si="15"/>
        <v/>
      </c>
      <c r="H106" s="167" t="str">
        <f t="shared" si="16"/>
        <v/>
      </c>
    </row>
    <row r="107" spans="1:8">
      <c r="A107" s="170">
        <f t="shared" si="9"/>
        <v>82</v>
      </c>
      <c r="B107" s="170">
        <f t="shared" si="10"/>
        <v>15552</v>
      </c>
      <c r="C107" s="184">
        <f t="shared" si="11"/>
        <v>15552</v>
      </c>
      <c r="D107" s="176">
        <f t="shared" si="12"/>
        <v>15552</v>
      </c>
      <c r="E107" s="35" t="str">
        <f t="shared" si="13"/>
        <v/>
      </c>
      <c r="F107" s="35" t="str">
        <f t="shared" si="14"/>
        <v/>
      </c>
      <c r="G107" s="35" t="str">
        <f t="shared" si="15"/>
        <v/>
      </c>
      <c r="H107" s="167" t="str">
        <f t="shared" si="16"/>
        <v/>
      </c>
    </row>
    <row r="108" spans="1:8">
      <c r="A108" s="170">
        <f t="shared" si="9"/>
        <v>83</v>
      </c>
      <c r="B108" s="170">
        <f t="shared" si="10"/>
        <v>15984</v>
      </c>
      <c r="C108" s="184">
        <f t="shared" si="11"/>
        <v>15984</v>
      </c>
      <c r="D108" s="176">
        <f t="shared" si="12"/>
        <v>15984</v>
      </c>
      <c r="E108" s="35" t="str">
        <f t="shared" si="13"/>
        <v/>
      </c>
      <c r="F108" s="35" t="str">
        <f t="shared" si="14"/>
        <v/>
      </c>
      <c r="G108" s="35" t="str">
        <f t="shared" si="15"/>
        <v/>
      </c>
      <c r="H108" s="167" t="str">
        <f t="shared" si="16"/>
        <v/>
      </c>
    </row>
    <row r="109" spans="1:8">
      <c r="A109" s="170">
        <f t="shared" si="9"/>
        <v>84</v>
      </c>
      <c r="B109" s="170">
        <f t="shared" si="10"/>
        <v>16416</v>
      </c>
      <c r="C109" s="184">
        <f t="shared" si="11"/>
        <v>16416</v>
      </c>
      <c r="D109" s="176">
        <f t="shared" si="12"/>
        <v>16416</v>
      </c>
      <c r="E109" s="35" t="str">
        <f t="shared" si="13"/>
        <v/>
      </c>
      <c r="F109" s="35" t="str">
        <f t="shared" si="14"/>
        <v/>
      </c>
      <c r="G109" s="35" t="str">
        <f t="shared" si="15"/>
        <v/>
      </c>
      <c r="H109" s="167" t="str">
        <f t="shared" si="16"/>
        <v/>
      </c>
    </row>
    <row r="110" spans="1:8">
      <c r="A110" s="170">
        <f t="shared" si="9"/>
        <v>85</v>
      </c>
      <c r="B110" s="170">
        <f t="shared" si="10"/>
        <v>16848</v>
      </c>
      <c r="C110" s="184">
        <f t="shared" si="11"/>
        <v>16848</v>
      </c>
      <c r="D110" s="176">
        <f t="shared" si="12"/>
        <v>16848</v>
      </c>
      <c r="E110" s="35" t="str">
        <f t="shared" si="13"/>
        <v/>
      </c>
      <c r="F110" s="35" t="str">
        <f t="shared" si="14"/>
        <v/>
      </c>
      <c r="G110" s="35" t="str">
        <f t="shared" si="15"/>
        <v/>
      </c>
      <c r="H110" s="167" t="str">
        <f t="shared" si="16"/>
        <v/>
      </c>
    </row>
    <row r="111" spans="1:8">
      <c r="A111" s="170">
        <f t="shared" si="9"/>
        <v>86</v>
      </c>
      <c r="B111" s="170">
        <f t="shared" si="10"/>
        <v>17280</v>
      </c>
      <c r="C111" s="184">
        <f t="shared" si="11"/>
        <v>17280</v>
      </c>
      <c r="D111" s="176">
        <f t="shared" si="12"/>
        <v>17280</v>
      </c>
      <c r="E111" s="35" t="str">
        <f t="shared" si="13"/>
        <v/>
      </c>
      <c r="F111" s="35" t="str">
        <f t="shared" si="14"/>
        <v/>
      </c>
      <c r="G111" s="35" t="str">
        <f t="shared" si="15"/>
        <v/>
      </c>
      <c r="H111" s="167" t="str">
        <f t="shared" si="16"/>
        <v/>
      </c>
    </row>
    <row r="112" spans="1:8">
      <c r="A112" s="170">
        <f t="shared" si="9"/>
        <v>87</v>
      </c>
      <c r="B112" s="170">
        <f t="shared" si="10"/>
        <v>17712</v>
      </c>
      <c r="C112" s="184">
        <f t="shared" si="11"/>
        <v>17712</v>
      </c>
      <c r="D112" s="176">
        <f t="shared" si="12"/>
        <v>17712</v>
      </c>
      <c r="E112" s="35" t="str">
        <f t="shared" si="13"/>
        <v/>
      </c>
      <c r="F112" s="35" t="str">
        <f t="shared" si="14"/>
        <v/>
      </c>
      <c r="G112" s="35" t="str">
        <f t="shared" si="15"/>
        <v/>
      </c>
      <c r="H112" s="167" t="str">
        <f t="shared" si="16"/>
        <v/>
      </c>
    </row>
    <row r="113" spans="1:8">
      <c r="A113" s="170">
        <f t="shared" si="9"/>
        <v>88</v>
      </c>
      <c r="B113" s="170">
        <f t="shared" si="10"/>
        <v>18144</v>
      </c>
      <c r="C113" s="184">
        <f t="shared" si="11"/>
        <v>18144</v>
      </c>
      <c r="D113" s="176">
        <f t="shared" si="12"/>
        <v>18144</v>
      </c>
      <c r="E113" s="35" t="str">
        <f t="shared" si="13"/>
        <v/>
      </c>
      <c r="F113" s="35" t="str">
        <f t="shared" si="14"/>
        <v/>
      </c>
      <c r="G113" s="35" t="str">
        <f t="shared" si="15"/>
        <v/>
      </c>
      <c r="H113" s="167" t="str">
        <f t="shared" si="16"/>
        <v/>
      </c>
    </row>
    <row r="114" spans="1:8">
      <c r="A114" s="170">
        <f t="shared" si="9"/>
        <v>89</v>
      </c>
      <c r="B114" s="170">
        <f t="shared" si="10"/>
        <v>18576</v>
      </c>
      <c r="C114" s="184">
        <f t="shared" si="11"/>
        <v>18576</v>
      </c>
      <c r="D114" s="176">
        <f t="shared" si="12"/>
        <v>18576</v>
      </c>
      <c r="E114" s="35" t="str">
        <f t="shared" si="13"/>
        <v/>
      </c>
      <c r="F114" s="35" t="str">
        <f t="shared" si="14"/>
        <v/>
      </c>
      <c r="G114" s="35" t="str">
        <f t="shared" si="15"/>
        <v/>
      </c>
      <c r="H114" s="167" t="str">
        <f t="shared" si="16"/>
        <v/>
      </c>
    </row>
    <row r="115" spans="1:8">
      <c r="A115" s="170">
        <f t="shared" si="9"/>
        <v>90</v>
      </c>
      <c r="B115" s="170">
        <f t="shared" si="10"/>
        <v>19008</v>
      </c>
      <c r="C115" s="184">
        <f t="shared" si="11"/>
        <v>19008</v>
      </c>
      <c r="D115" s="176">
        <f t="shared" si="12"/>
        <v>19008</v>
      </c>
      <c r="E115" s="35" t="str">
        <f t="shared" si="13"/>
        <v/>
      </c>
      <c r="F115" s="35" t="str">
        <f t="shared" si="14"/>
        <v/>
      </c>
      <c r="G115" s="35" t="str">
        <f t="shared" si="15"/>
        <v/>
      </c>
      <c r="H115" s="167" t="str">
        <f t="shared" si="16"/>
        <v/>
      </c>
    </row>
    <row r="116" spans="1:8">
      <c r="A116" s="170">
        <f t="shared" si="9"/>
        <v>91</v>
      </c>
      <c r="B116" s="170">
        <f t="shared" si="10"/>
        <v>19440</v>
      </c>
      <c r="C116" s="184">
        <f t="shared" si="11"/>
        <v>19440</v>
      </c>
      <c r="D116" s="176">
        <f t="shared" si="12"/>
        <v>19440</v>
      </c>
      <c r="E116" s="35" t="str">
        <f t="shared" si="13"/>
        <v/>
      </c>
      <c r="F116" s="35" t="str">
        <f t="shared" si="14"/>
        <v/>
      </c>
      <c r="G116" s="35" t="str">
        <f t="shared" si="15"/>
        <v/>
      </c>
      <c r="H116" s="167" t="str">
        <f t="shared" si="16"/>
        <v/>
      </c>
    </row>
    <row r="117" spans="1:8">
      <c r="A117" s="170">
        <f t="shared" si="9"/>
        <v>92</v>
      </c>
      <c r="B117" s="170">
        <f t="shared" si="10"/>
        <v>19872</v>
      </c>
      <c r="C117" s="184">
        <f t="shared" si="11"/>
        <v>19872</v>
      </c>
      <c r="D117" s="176">
        <f t="shared" si="12"/>
        <v>19872</v>
      </c>
      <c r="E117" s="35" t="str">
        <f t="shared" si="13"/>
        <v/>
      </c>
      <c r="F117" s="35" t="str">
        <f t="shared" si="14"/>
        <v/>
      </c>
      <c r="G117" s="35" t="str">
        <f t="shared" si="15"/>
        <v/>
      </c>
      <c r="H117" s="167" t="str">
        <f t="shared" si="16"/>
        <v/>
      </c>
    </row>
    <row r="118" spans="1:8">
      <c r="A118" s="170">
        <f t="shared" si="9"/>
        <v>93</v>
      </c>
      <c r="B118" s="170">
        <f t="shared" si="10"/>
        <v>432</v>
      </c>
      <c r="C118" s="184">
        <f t="shared" si="11"/>
        <v>432</v>
      </c>
      <c r="D118" s="176">
        <f t="shared" si="12"/>
        <v>432</v>
      </c>
      <c r="E118" s="35">
        <f t="shared" si="13"/>
        <v>1</v>
      </c>
      <c r="F118" s="35">
        <f t="shared" si="14"/>
        <v>1</v>
      </c>
      <c r="G118" s="35">
        <f t="shared" si="15"/>
        <v>1</v>
      </c>
      <c r="H118" s="167">
        <f t="shared" si="16"/>
        <v>1</v>
      </c>
    </row>
    <row r="119" spans="1:8">
      <c r="A119" s="170">
        <f t="shared" si="9"/>
        <v>94</v>
      </c>
      <c r="B119" s="170">
        <f t="shared" si="10"/>
        <v>864</v>
      </c>
      <c r="C119" s="184">
        <f t="shared" si="11"/>
        <v>864</v>
      </c>
      <c r="D119" s="176">
        <f t="shared" si="12"/>
        <v>864</v>
      </c>
      <c r="E119" s="35" t="str">
        <f t="shared" si="13"/>
        <v/>
      </c>
      <c r="F119" s="35" t="str">
        <f t="shared" si="14"/>
        <v/>
      </c>
      <c r="G119" s="35" t="str">
        <f t="shared" si="15"/>
        <v/>
      </c>
      <c r="H119" s="167" t="str">
        <f t="shared" si="16"/>
        <v/>
      </c>
    </row>
    <row r="120" spans="1:8">
      <c r="A120" s="170">
        <f t="shared" si="9"/>
        <v>95</v>
      </c>
      <c r="B120" s="170">
        <f t="shared" si="10"/>
        <v>1296</v>
      </c>
      <c r="C120" s="184">
        <f t="shared" si="11"/>
        <v>1296</v>
      </c>
      <c r="D120" s="176">
        <f t="shared" si="12"/>
        <v>1296</v>
      </c>
      <c r="E120" s="35" t="str">
        <f t="shared" si="13"/>
        <v/>
      </c>
      <c r="F120" s="35" t="str">
        <f t="shared" si="14"/>
        <v/>
      </c>
      <c r="G120" s="35" t="str">
        <f t="shared" si="15"/>
        <v/>
      </c>
      <c r="H120" s="167" t="str">
        <f t="shared" si="16"/>
        <v/>
      </c>
    </row>
    <row r="121" spans="1:8">
      <c r="A121" s="170">
        <f t="shared" si="9"/>
        <v>96</v>
      </c>
      <c r="B121" s="170">
        <f t="shared" si="10"/>
        <v>1728</v>
      </c>
      <c r="C121" s="184">
        <f t="shared" si="11"/>
        <v>1728</v>
      </c>
      <c r="D121" s="176">
        <f t="shared" si="12"/>
        <v>1728</v>
      </c>
      <c r="E121" s="35" t="str">
        <f t="shared" si="13"/>
        <v/>
      </c>
      <c r="F121" s="35" t="str">
        <f t="shared" si="14"/>
        <v/>
      </c>
      <c r="G121" s="35" t="str">
        <f t="shared" si="15"/>
        <v/>
      </c>
      <c r="H121" s="167" t="str">
        <f t="shared" si="16"/>
        <v/>
      </c>
    </row>
    <row r="122" spans="1:8">
      <c r="A122" s="170">
        <f t="shared" si="9"/>
        <v>97</v>
      </c>
      <c r="B122" s="170">
        <f t="shared" si="10"/>
        <v>2160</v>
      </c>
      <c r="C122" s="184">
        <f t="shared" si="11"/>
        <v>2160</v>
      </c>
      <c r="D122" s="176">
        <f t="shared" si="12"/>
        <v>2160</v>
      </c>
      <c r="E122" s="35" t="str">
        <f t="shared" si="13"/>
        <v/>
      </c>
      <c r="F122" s="35" t="str">
        <f t="shared" si="14"/>
        <v/>
      </c>
      <c r="G122" s="35" t="str">
        <f t="shared" si="15"/>
        <v/>
      </c>
      <c r="H122" s="167" t="str">
        <f t="shared" si="16"/>
        <v/>
      </c>
    </row>
    <row r="123" spans="1:8">
      <c r="A123" s="170">
        <f t="shared" si="9"/>
        <v>98</v>
      </c>
      <c r="B123" s="170">
        <f t="shared" si="10"/>
        <v>2592</v>
      </c>
      <c r="C123" s="184">
        <f t="shared" si="11"/>
        <v>2592</v>
      </c>
      <c r="D123" s="176">
        <f t="shared" si="12"/>
        <v>2592</v>
      </c>
      <c r="E123" s="35" t="str">
        <f t="shared" si="13"/>
        <v/>
      </c>
      <c r="F123" s="35" t="str">
        <f t="shared" si="14"/>
        <v/>
      </c>
      <c r="G123" s="35" t="str">
        <f t="shared" si="15"/>
        <v/>
      </c>
      <c r="H123" s="167" t="str">
        <f t="shared" si="16"/>
        <v/>
      </c>
    </row>
    <row r="124" spans="1:8">
      <c r="A124" s="170">
        <f t="shared" si="9"/>
        <v>99</v>
      </c>
      <c r="B124" s="170">
        <f t="shared" si="10"/>
        <v>3024</v>
      </c>
      <c r="C124" s="184">
        <f t="shared" si="11"/>
        <v>3024</v>
      </c>
      <c r="D124" s="176">
        <f t="shared" si="12"/>
        <v>3024</v>
      </c>
      <c r="E124" s="35" t="str">
        <f t="shared" si="13"/>
        <v/>
      </c>
      <c r="F124" s="35" t="str">
        <f t="shared" si="14"/>
        <v/>
      </c>
      <c r="G124" s="35" t="str">
        <f t="shared" si="15"/>
        <v/>
      </c>
      <c r="H124" s="167" t="str">
        <f t="shared" si="16"/>
        <v/>
      </c>
    </row>
    <row r="125" spans="1:8">
      <c r="A125" s="170">
        <f t="shared" si="9"/>
        <v>100</v>
      </c>
      <c r="B125" s="170">
        <f t="shared" si="10"/>
        <v>3456</v>
      </c>
      <c r="C125" s="184">
        <f t="shared" si="11"/>
        <v>3456</v>
      </c>
      <c r="D125" s="176">
        <f t="shared" si="12"/>
        <v>3456</v>
      </c>
      <c r="E125" s="35" t="str">
        <f t="shared" si="13"/>
        <v/>
      </c>
      <c r="F125" s="35" t="str">
        <f t="shared" si="14"/>
        <v/>
      </c>
      <c r="G125" s="35" t="str">
        <f t="shared" si="15"/>
        <v/>
      </c>
      <c r="H125" s="167" t="str">
        <f t="shared" si="16"/>
        <v/>
      </c>
    </row>
    <row r="126" spans="1:8">
      <c r="A126" s="170">
        <f t="shared" si="9"/>
        <v>101</v>
      </c>
      <c r="B126" s="170">
        <f t="shared" si="10"/>
        <v>3888</v>
      </c>
      <c r="C126" s="184">
        <f t="shared" si="11"/>
        <v>3888</v>
      </c>
      <c r="D126" s="176">
        <f t="shared" si="12"/>
        <v>3888</v>
      </c>
      <c r="E126" s="35" t="str">
        <f t="shared" si="13"/>
        <v/>
      </c>
      <c r="F126" s="35" t="str">
        <f t="shared" si="14"/>
        <v/>
      </c>
      <c r="G126" s="35" t="str">
        <f t="shared" si="15"/>
        <v/>
      </c>
      <c r="H126" s="167" t="str">
        <f t="shared" si="16"/>
        <v/>
      </c>
    </row>
    <row r="127" spans="1:8">
      <c r="A127" s="170">
        <f t="shared" si="9"/>
        <v>102</v>
      </c>
      <c r="B127" s="170">
        <f t="shared" si="10"/>
        <v>4320</v>
      </c>
      <c r="C127" s="184">
        <f t="shared" si="11"/>
        <v>4320</v>
      </c>
      <c r="D127" s="176">
        <f t="shared" si="12"/>
        <v>4320</v>
      </c>
      <c r="E127" s="35" t="str">
        <f t="shared" si="13"/>
        <v/>
      </c>
      <c r="F127" s="35" t="str">
        <f t="shared" si="14"/>
        <v/>
      </c>
      <c r="G127" s="35" t="str">
        <f t="shared" si="15"/>
        <v/>
      </c>
      <c r="H127" s="167" t="str">
        <f t="shared" si="16"/>
        <v/>
      </c>
    </row>
    <row r="128" spans="1:8">
      <c r="A128" s="170">
        <f t="shared" si="9"/>
        <v>103</v>
      </c>
      <c r="B128" s="170">
        <f t="shared" si="10"/>
        <v>4752</v>
      </c>
      <c r="C128" s="184">
        <f t="shared" si="11"/>
        <v>4752</v>
      </c>
      <c r="D128" s="176">
        <f t="shared" si="12"/>
        <v>4752</v>
      </c>
      <c r="E128" s="35" t="str">
        <f t="shared" si="13"/>
        <v/>
      </c>
      <c r="F128" s="35" t="str">
        <f t="shared" si="14"/>
        <v/>
      </c>
      <c r="G128" s="35" t="str">
        <f t="shared" si="15"/>
        <v/>
      </c>
      <c r="H128" s="167" t="str">
        <f t="shared" si="16"/>
        <v/>
      </c>
    </row>
    <row r="129" spans="1:8">
      <c r="A129" s="170">
        <f t="shared" si="9"/>
        <v>104</v>
      </c>
      <c r="B129" s="170">
        <f t="shared" si="10"/>
        <v>5184</v>
      </c>
      <c r="C129" s="184">
        <f t="shared" si="11"/>
        <v>5184</v>
      </c>
      <c r="D129" s="176">
        <f t="shared" si="12"/>
        <v>5184</v>
      </c>
      <c r="E129" s="35" t="str">
        <f t="shared" si="13"/>
        <v/>
      </c>
      <c r="F129" s="35" t="str">
        <f t="shared" si="14"/>
        <v/>
      </c>
      <c r="G129" s="35" t="str">
        <f t="shared" si="15"/>
        <v/>
      </c>
      <c r="H129" s="167" t="str">
        <f t="shared" si="16"/>
        <v/>
      </c>
    </row>
    <row r="130" spans="1:8">
      <c r="A130" s="170">
        <f t="shared" si="9"/>
        <v>105</v>
      </c>
      <c r="B130" s="170">
        <f t="shared" si="10"/>
        <v>5616</v>
      </c>
      <c r="C130" s="184">
        <f t="shared" si="11"/>
        <v>5616</v>
      </c>
      <c r="D130" s="176">
        <f t="shared" si="12"/>
        <v>5616</v>
      </c>
      <c r="E130" s="35" t="str">
        <f t="shared" si="13"/>
        <v/>
      </c>
      <c r="F130" s="35" t="str">
        <f t="shared" si="14"/>
        <v/>
      </c>
      <c r="G130" s="35" t="str">
        <f t="shared" si="15"/>
        <v/>
      </c>
      <c r="H130" s="167" t="str">
        <f t="shared" si="16"/>
        <v/>
      </c>
    </row>
    <row r="131" spans="1:8">
      <c r="A131" s="170">
        <f t="shared" si="9"/>
        <v>106</v>
      </c>
      <c r="B131" s="170">
        <f t="shared" si="10"/>
        <v>6048</v>
      </c>
      <c r="C131" s="184">
        <f t="shared" si="11"/>
        <v>6048</v>
      </c>
      <c r="D131" s="176">
        <f t="shared" si="12"/>
        <v>6048</v>
      </c>
      <c r="E131" s="35" t="str">
        <f t="shared" si="13"/>
        <v/>
      </c>
      <c r="F131" s="35" t="str">
        <f t="shared" si="14"/>
        <v/>
      </c>
      <c r="G131" s="35" t="str">
        <f t="shared" si="15"/>
        <v/>
      </c>
      <c r="H131" s="167" t="str">
        <f t="shared" si="16"/>
        <v/>
      </c>
    </row>
    <row r="132" spans="1:8">
      <c r="A132" s="170">
        <f t="shared" si="9"/>
        <v>107</v>
      </c>
      <c r="B132" s="170">
        <f t="shared" si="10"/>
        <v>6480</v>
      </c>
      <c r="C132" s="184">
        <f t="shared" si="11"/>
        <v>6480</v>
      </c>
      <c r="D132" s="176">
        <f t="shared" si="12"/>
        <v>6480</v>
      </c>
      <c r="E132" s="35" t="str">
        <f t="shared" si="13"/>
        <v/>
      </c>
      <c r="F132" s="35" t="str">
        <f t="shared" si="14"/>
        <v/>
      </c>
      <c r="G132" s="35" t="str">
        <f t="shared" si="15"/>
        <v/>
      </c>
      <c r="H132" s="167" t="str">
        <f t="shared" si="16"/>
        <v/>
      </c>
    </row>
    <row r="133" spans="1:8">
      <c r="A133" s="170">
        <f t="shared" si="9"/>
        <v>108</v>
      </c>
      <c r="B133" s="170">
        <f t="shared" si="10"/>
        <v>6912</v>
      </c>
      <c r="C133" s="184">
        <f t="shared" si="11"/>
        <v>6912</v>
      </c>
      <c r="D133" s="176">
        <f t="shared" si="12"/>
        <v>6912</v>
      </c>
      <c r="E133" s="35" t="str">
        <f t="shared" si="13"/>
        <v/>
      </c>
      <c r="F133" s="35" t="str">
        <f t="shared" si="14"/>
        <v/>
      </c>
      <c r="G133" s="35" t="str">
        <f t="shared" si="15"/>
        <v/>
      </c>
      <c r="H133" s="167" t="str">
        <f t="shared" si="16"/>
        <v/>
      </c>
    </row>
    <row r="134" spans="1:8">
      <c r="A134" s="170">
        <f t="shared" si="9"/>
        <v>109</v>
      </c>
      <c r="B134" s="170">
        <f t="shared" si="10"/>
        <v>7344</v>
      </c>
      <c r="C134" s="184">
        <f t="shared" si="11"/>
        <v>7344</v>
      </c>
      <c r="D134" s="176">
        <f t="shared" si="12"/>
        <v>7344</v>
      </c>
      <c r="E134" s="35" t="str">
        <f t="shared" si="13"/>
        <v/>
      </c>
      <c r="F134" s="35" t="str">
        <f t="shared" si="14"/>
        <v/>
      </c>
      <c r="G134" s="35" t="str">
        <f t="shared" si="15"/>
        <v/>
      </c>
      <c r="H134" s="167" t="str">
        <f t="shared" si="16"/>
        <v/>
      </c>
    </row>
    <row r="135" spans="1:8">
      <c r="A135" s="170">
        <f t="shared" si="9"/>
        <v>110</v>
      </c>
      <c r="B135" s="170">
        <f t="shared" si="10"/>
        <v>7776</v>
      </c>
      <c r="C135" s="184">
        <f t="shared" si="11"/>
        <v>7776</v>
      </c>
      <c r="D135" s="176">
        <f t="shared" si="12"/>
        <v>7776</v>
      </c>
      <c r="E135" s="35" t="str">
        <f t="shared" si="13"/>
        <v/>
      </c>
      <c r="F135" s="35" t="str">
        <f t="shared" si="14"/>
        <v/>
      </c>
      <c r="G135" s="35" t="str">
        <f t="shared" si="15"/>
        <v/>
      </c>
      <c r="H135" s="167" t="str">
        <f t="shared" si="16"/>
        <v/>
      </c>
    </row>
    <row r="136" spans="1:8">
      <c r="A136" s="170">
        <f t="shared" si="9"/>
        <v>111</v>
      </c>
      <c r="B136" s="170">
        <f t="shared" si="10"/>
        <v>8208</v>
      </c>
      <c r="C136" s="184">
        <f t="shared" si="11"/>
        <v>8208</v>
      </c>
      <c r="D136" s="176">
        <f t="shared" si="12"/>
        <v>8208</v>
      </c>
      <c r="E136" s="35" t="str">
        <f t="shared" si="13"/>
        <v/>
      </c>
      <c r="F136" s="35" t="str">
        <f t="shared" si="14"/>
        <v/>
      </c>
      <c r="G136" s="35" t="str">
        <f t="shared" si="15"/>
        <v/>
      </c>
      <c r="H136" s="167" t="str">
        <f t="shared" si="16"/>
        <v/>
      </c>
    </row>
    <row r="137" spans="1:8">
      <c r="A137" s="170">
        <f t="shared" si="9"/>
        <v>112</v>
      </c>
      <c r="B137" s="170">
        <f t="shared" si="10"/>
        <v>8640</v>
      </c>
      <c r="C137" s="184">
        <f t="shared" si="11"/>
        <v>8640</v>
      </c>
      <c r="D137" s="176">
        <f t="shared" si="12"/>
        <v>8640</v>
      </c>
      <c r="E137" s="35" t="str">
        <f t="shared" si="13"/>
        <v/>
      </c>
      <c r="F137" s="35" t="str">
        <f t="shared" si="14"/>
        <v/>
      </c>
      <c r="G137" s="35" t="str">
        <f t="shared" si="15"/>
        <v/>
      </c>
      <c r="H137" s="167" t="str">
        <f t="shared" si="16"/>
        <v/>
      </c>
    </row>
    <row r="138" spans="1:8">
      <c r="A138" s="170">
        <f t="shared" si="9"/>
        <v>113</v>
      </c>
      <c r="B138" s="170">
        <f t="shared" si="10"/>
        <v>9072</v>
      </c>
      <c r="C138" s="184">
        <f t="shared" si="11"/>
        <v>9072</v>
      </c>
      <c r="D138" s="176">
        <f t="shared" si="12"/>
        <v>9072</v>
      </c>
      <c r="E138" s="35" t="str">
        <f t="shared" si="13"/>
        <v/>
      </c>
      <c r="F138" s="35" t="str">
        <f t="shared" si="14"/>
        <v/>
      </c>
      <c r="G138" s="35" t="str">
        <f t="shared" si="15"/>
        <v/>
      </c>
      <c r="H138" s="167" t="str">
        <f t="shared" si="16"/>
        <v/>
      </c>
    </row>
    <row r="139" spans="1:8">
      <c r="A139" s="170">
        <f t="shared" si="9"/>
        <v>114</v>
      </c>
      <c r="B139" s="170">
        <f t="shared" si="10"/>
        <v>9504</v>
      </c>
      <c r="C139" s="184">
        <f t="shared" si="11"/>
        <v>9504</v>
      </c>
      <c r="D139" s="176">
        <f t="shared" si="12"/>
        <v>9504</v>
      </c>
      <c r="E139" s="35" t="str">
        <f t="shared" si="13"/>
        <v/>
      </c>
      <c r="F139" s="35" t="str">
        <f t="shared" si="14"/>
        <v/>
      </c>
      <c r="G139" s="35" t="str">
        <f t="shared" si="15"/>
        <v/>
      </c>
      <c r="H139" s="167" t="str">
        <f t="shared" si="16"/>
        <v/>
      </c>
    </row>
    <row r="140" spans="1:8">
      <c r="A140" s="170">
        <f t="shared" si="9"/>
        <v>115</v>
      </c>
      <c r="B140" s="170">
        <f t="shared" si="10"/>
        <v>9936</v>
      </c>
      <c r="C140" s="184">
        <f t="shared" si="11"/>
        <v>9936</v>
      </c>
      <c r="D140" s="176">
        <f t="shared" si="12"/>
        <v>9936</v>
      </c>
      <c r="E140" s="35" t="str">
        <f t="shared" si="13"/>
        <v/>
      </c>
      <c r="F140" s="35" t="str">
        <f t="shared" si="14"/>
        <v/>
      </c>
      <c r="G140" s="35" t="str">
        <f t="shared" si="15"/>
        <v/>
      </c>
      <c r="H140" s="167" t="str">
        <f t="shared" si="16"/>
        <v/>
      </c>
    </row>
    <row r="141" spans="1:8">
      <c r="A141" s="170">
        <f t="shared" si="9"/>
        <v>116</v>
      </c>
      <c r="B141" s="170">
        <f t="shared" si="10"/>
        <v>10368</v>
      </c>
      <c r="C141" s="184">
        <f t="shared" si="11"/>
        <v>10368</v>
      </c>
      <c r="D141" s="176">
        <f t="shared" si="12"/>
        <v>10368</v>
      </c>
      <c r="E141" s="35" t="str">
        <f t="shared" si="13"/>
        <v/>
      </c>
      <c r="F141" s="35" t="str">
        <f t="shared" si="14"/>
        <v/>
      </c>
      <c r="G141" s="35" t="str">
        <f t="shared" si="15"/>
        <v/>
      </c>
      <c r="H141" s="167" t="str">
        <f t="shared" si="16"/>
        <v/>
      </c>
    </row>
    <row r="142" spans="1:8">
      <c r="A142" s="170">
        <f t="shared" si="9"/>
        <v>117</v>
      </c>
      <c r="B142" s="170">
        <f t="shared" si="10"/>
        <v>10800</v>
      </c>
      <c r="C142" s="184">
        <f t="shared" si="11"/>
        <v>10800</v>
      </c>
      <c r="D142" s="176">
        <f t="shared" si="12"/>
        <v>10800</v>
      </c>
      <c r="E142" s="35" t="str">
        <f t="shared" si="13"/>
        <v/>
      </c>
      <c r="F142" s="35" t="str">
        <f t="shared" si="14"/>
        <v/>
      </c>
      <c r="G142" s="35" t="str">
        <f t="shared" si="15"/>
        <v/>
      </c>
      <c r="H142" s="167" t="str">
        <f t="shared" si="16"/>
        <v/>
      </c>
    </row>
    <row r="143" spans="1:8">
      <c r="A143" s="170">
        <f t="shared" si="9"/>
        <v>118</v>
      </c>
      <c r="B143" s="170">
        <f t="shared" si="10"/>
        <v>11232</v>
      </c>
      <c r="C143" s="184">
        <f t="shared" si="11"/>
        <v>11232</v>
      </c>
      <c r="D143" s="176">
        <f t="shared" si="12"/>
        <v>11232</v>
      </c>
      <c r="E143" s="35" t="str">
        <f t="shared" si="13"/>
        <v/>
      </c>
      <c r="F143" s="35" t="str">
        <f t="shared" si="14"/>
        <v/>
      </c>
      <c r="G143" s="35" t="str">
        <f t="shared" si="15"/>
        <v/>
      </c>
      <c r="H143" s="167" t="str">
        <f t="shared" si="16"/>
        <v/>
      </c>
    </row>
    <row r="144" spans="1:8">
      <c r="A144" s="170">
        <f t="shared" si="9"/>
        <v>119</v>
      </c>
      <c r="B144" s="170">
        <f t="shared" si="10"/>
        <v>11664</v>
      </c>
      <c r="C144" s="184">
        <f t="shared" si="11"/>
        <v>11664</v>
      </c>
      <c r="D144" s="176">
        <f t="shared" si="12"/>
        <v>11664</v>
      </c>
      <c r="E144" s="35" t="str">
        <f t="shared" si="13"/>
        <v/>
      </c>
      <c r="F144" s="35" t="str">
        <f t="shared" si="14"/>
        <v/>
      </c>
      <c r="G144" s="35" t="str">
        <f t="shared" si="15"/>
        <v/>
      </c>
      <c r="H144" s="167" t="str">
        <f t="shared" si="16"/>
        <v/>
      </c>
    </row>
    <row r="145" spans="1:8">
      <c r="A145" s="170">
        <f t="shared" si="9"/>
        <v>120</v>
      </c>
      <c r="B145" s="170">
        <f t="shared" si="10"/>
        <v>12096</v>
      </c>
      <c r="C145" s="184">
        <f t="shared" si="11"/>
        <v>12096</v>
      </c>
      <c r="D145" s="176">
        <f t="shared" si="12"/>
        <v>12096</v>
      </c>
      <c r="E145" s="35" t="str">
        <f t="shared" si="13"/>
        <v/>
      </c>
      <c r="F145" s="35" t="str">
        <f t="shared" si="14"/>
        <v/>
      </c>
      <c r="G145" s="35" t="str">
        <f t="shared" si="15"/>
        <v/>
      </c>
      <c r="H145" s="167" t="str">
        <f t="shared" si="16"/>
        <v/>
      </c>
    </row>
    <row r="146" spans="1:8">
      <c r="A146" s="170">
        <f t="shared" si="9"/>
        <v>121</v>
      </c>
      <c r="B146" s="170">
        <f t="shared" si="10"/>
        <v>12528</v>
      </c>
      <c r="C146" s="184">
        <f t="shared" si="11"/>
        <v>12528</v>
      </c>
      <c r="D146" s="176">
        <f t="shared" si="12"/>
        <v>12528</v>
      </c>
      <c r="E146" s="35" t="str">
        <f t="shared" si="13"/>
        <v/>
      </c>
      <c r="F146" s="35" t="str">
        <f t="shared" si="14"/>
        <v/>
      </c>
      <c r="G146" s="35" t="str">
        <f t="shared" si="15"/>
        <v/>
      </c>
      <c r="H146" s="167" t="str">
        <f t="shared" si="16"/>
        <v/>
      </c>
    </row>
    <row r="147" spans="1:8">
      <c r="A147" s="170">
        <f t="shared" si="9"/>
        <v>122</v>
      </c>
      <c r="B147" s="170">
        <f t="shared" si="10"/>
        <v>12960</v>
      </c>
      <c r="C147" s="184">
        <f t="shared" si="11"/>
        <v>12960</v>
      </c>
      <c r="D147" s="176">
        <f t="shared" si="12"/>
        <v>12960</v>
      </c>
      <c r="E147" s="35" t="str">
        <f t="shared" si="13"/>
        <v/>
      </c>
      <c r="F147" s="35" t="str">
        <f t="shared" si="14"/>
        <v/>
      </c>
      <c r="G147" s="35" t="str">
        <f t="shared" si="15"/>
        <v/>
      </c>
      <c r="H147" s="167" t="str">
        <f t="shared" si="16"/>
        <v/>
      </c>
    </row>
    <row r="148" spans="1:8">
      <c r="A148" s="170">
        <f t="shared" si="9"/>
        <v>123</v>
      </c>
      <c r="B148" s="170">
        <f t="shared" si="10"/>
        <v>13392</v>
      </c>
      <c r="C148" s="184">
        <f t="shared" si="11"/>
        <v>13392</v>
      </c>
      <c r="D148" s="176">
        <f t="shared" si="12"/>
        <v>13392</v>
      </c>
      <c r="E148" s="35" t="str">
        <f t="shared" si="13"/>
        <v/>
      </c>
      <c r="F148" s="35" t="str">
        <f t="shared" si="14"/>
        <v/>
      </c>
      <c r="G148" s="35" t="str">
        <f t="shared" si="15"/>
        <v/>
      </c>
      <c r="H148" s="167" t="str">
        <f t="shared" si="16"/>
        <v/>
      </c>
    </row>
    <row r="149" spans="1:8">
      <c r="A149" s="170">
        <f t="shared" si="9"/>
        <v>124</v>
      </c>
      <c r="B149" s="170">
        <f t="shared" si="10"/>
        <v>13824</v>
      </c>
      <c r="C149" s="184">
        <f t="shared" si="11"/>
        <v>13824</v>
      </c>
      <c r="D149" s="176">
        <f t="shared" si="12"/>
        <v>13824</v>
      </c>
      <c r="E149" s="35" t="str">
        <f t="shared" si="13"/>
        <v/>
      </c>
      <c r="F149" s="35" t="str">
        <f t="shared" si="14"/>
        <v/>
      </c>
      <c r="G149" s="35" t="str">
        <f t="shared" si="15"/>
        <v/>
      </c>
      <c r="H149" s="167" t="str">
        <f t="shared" si="16"/>
        <v/>
      </c>
    </row>
    <row r="150" spans="1:8">
      <c r="A150" s="170">
        <f t="shared" si="9"/>
        <v>125</v>
      </c>
      <c r="B150" s="170">
        <f t="shared" si="10"/>
        <v>14256</v>
      </c>
      <c r="C150" s="184">
        <f t="shared" si="11"/>
        <v>14256</v>
      </c>
      <c r="D150" s="176">
        <f t="shared" si="12"/>
        <v>14256</v>
      </c>
      <c r="E150" s="35" t="str">
        <f t="shared" si="13"/>
        <v/>
      </c>
      <c r="F150" s="35" t="str">
        <f t="shared" si="14"/>
        <v/>
      </c>
      <c r="G150" s="35" t="str">
        <f t="shared" si="15"/>
        <v/>
      </c>
      <c r="H150" s="167" t="str">
        <f t="shared" si="16"/>
        <v/>
      </c>
    </row>
    <row r="151" spans="1:8">
      <c r="A151" s="170">
        <f t="shared" si="9"/>
        <v>126</v>
      </c>
      <c r="B151" s="170">
        <f t="shared" si="10"/>
        <v>14688</v>
      </c>
      <c r="C151" s="184">
        <f t="shared" si="11"/>
        <v>14688</v>
      </c>
      <c r="D151" s="176">
        <f t="shared" si="12"/>
        <v>14688</v>
      </c>
      <c r="E151" s="35" t="str">
        <f t="shared" si="13"/>
        <v/>
      </c>
      <c r="F151" s="35" t="str">
        <f t="shared" si="14"/>
        <v/>
      </c>
      <c r="G151" s="35" t="str">
        <f t="shared" si="15"/>
        <v/>
      </c>
      <c r="H151" s="167" t="str">
        <f t="shared" si="16"/>
        <v/>
      </c>
    </row>
    <row r="152" spans="1:8">
      <c r="A152" s="170">
        <f t="shared" si="9"/>
        <v>127</v>
      </c>
      <c r="B152" s="170">
        <f t="shared" si="10"/>
        <v>15120</v>
      </c>
      <c r="C152" s="184">
        <f t="shared" si="11"/>
        <v>15120</v>
      </c>
      <c r="D152" s="176">
        <f t="shared" si="12"/>
        <v>15120</v>
      </c>
      <c r="E152" s="35" t="str">
        <f t="shared" si="13"/>
        <v/>
      </c>
      <c r="F152" s="35" t="str">
        <f t="shared" si="14"/>
        <v/>
      </c>
      <c r="G152" s="35" t="str">
        <f t="shared" si="15"/>
        <v/>
      </c>
      <c r="H152" s="167" t="str">
        <f t="shared" si="16"/>
        <v/>
      </c>
    </row>
    <row r="153" spans="1:8">
      <c r="A153" s="170">
        <f t="shared" si="9"/>
        <v>128</v>
      </c>
      <c r="B153" s="170">
        <f t="shared" si="10"/>
        <v>15552</v>
      </c>
      <c r="C153" s="184">
        <f t="shared" si="11"/>
        <v>15552</v>
      </c>
      <c r="D153" s="176">
        <f t="shared" si="12"/>
        <v>15552</v>
      </c>
      <c r="E153" s="35" t="str">
        <f t="shared" si="13"/>
        <v/>
      </c>
      <c r="F153" s="35" t="str">
        <f t="shared" si="14"/>
        <v/>
      </c>
      <c r="G153" s="35" t="str">
        <f t="shared" si="15"/>
        <v/>
      </c>
      <c r="H153" s="167" t="str">
        <f t="shared" si="16"/>
        <v/>
      </c>
    </row>
    <row r="154" spans="1:8">
      <c r="A154" s="170">
        <f t="shared" si="9"/>
        <v>129</v>
      </c>
      <c r="B154" s="170">
        <f t="shared" si="10"/>
        <v>15984</v>
      </c>
      <c r="C154" s="184">
        <f t="shared" si="11"/>
        <v>15984</v>
      </c>
      <c r="D154" s="176">
        <f t="shared" si="12"/>
        <v>15984</v>
      </c>
      <c r="E154" s="35" t="str">
        <f t="shared" si="13"/>
        <v/>
      </c>
      <c r="F154" s="35" t="str">
        <f t="shared" si="14"/>
        <v/>
      </c>
      <c r="G154" s="35" t="str">
        <f t="shared" si="15"/>
        <v/>
      </c>
      <c r="H154" s="167" t="str">
        <f t="shared" si="16"/>
        <v/>
      </c>
    </row>
    <row r="155" spans="1:8">
      <c r="A155" s="170">
        <f t="shared" si="9"/>
        <v>130</v>
      </c>
      <c r="B155" s="170">
        <f t="shared" si="10"/>
        <v>16416</v>
      </c>
      <c r="C155" s="184">
        <f t="shared" si="11"/>
        <v>16416</v>
      </c>
      <c r="D155" s="176">
        <f t="shared" si="12"/>
        <v>16416</v>
      </c>
      <c r="E155" s="35" t="str">
        <f t="shared" si="13"/>
        <v/>
      </c>
      <c r="F155" s="35" t="str">
        <f t="shared" si="14"/>
        <v/>
      </c>
      <c r="G155" s="35" t="str">
        <f t="shared" si="15"/>
        <v/>
      </c>
      <c r="H155" s="167" t="str">
        <f t="shared" si="16"/>
        <v/>
      </c>
    </row>
    <row r="156" spans="1:8">
      <c r="A156" s="170">
        <f t="shared" ref="A156:A219" si="17">1+A155</f>
        <v>131</v>
      </c>
      <c r="B156" s="170">
        <f t="shared" ref="B156:B219" si="18">IF($B$14="y",IF(B155+$C$8&gt;$D$14,$C$8,B155+$C$8),"")</f>
        <v>16848</v>
      </c>
      <c r="C156" s="184">
        <f t="shared" ref="C156:C219" si="19">IF($B$15="y",IF(C155+$C$8&gt;$D$15,$C$8,C155+$C$8),"")</f>
        <v>16848</v>
      </c>
      <c r="D156" s="176">
        <f t="shared" ref="D156:D219" si="20">IF($B$16="y",IF(D155+$C$8&gt;$D$16,$C$8,D155+$C$8),"")</f>
        <v>16848</v>
      </c>
      <c r="E156" s="35" t="str">
        <f t="shared" ref="E156:G219" si="21">IF(B156=$C$8,1,"")</f>
        <v/>
      </c>
      <c r="F156" s="35" t="str">
        <f t="shared" si="21"/>
        <v/>
      </c>
      <c r="G156" s="35" t="str">
        <f t="shared" si="21"/>
        <v/>
      </c>
      <c r="H156" s="167" t="str">
        <f t="shared" ref="H156:H219" si="22">IF(SUM(E156:G156)&gt;0,1,"")</f>
        <v/>
      </c>
    </row>
    <row r="157" spans="1:8">
      <c r="A157" s="170">
        <f t="shared" si="17"/>
        <v>132</v>
      </c>
      <c r="B157" s="170">
        <f t="shared" si="18"/>
        <v>17280</v>
      </c>
      <c r="C157" s="184">
        <f t="shared" si="19"/>
        <v>17280</v>
      </c>
      <c r="D157" s="176">
        <f t="shared" si="20"/>
        <v>17280</v>
      </c>
      <c r="E157" s="35" t="str">
        <f t="shared" si="21"/>
        <v/>
      </c>
      <c r="F157" s="35" t="str">
        <f t="shared" si="21"/>
        <v/>
      </c>
      <c r="G157" s="35" t="str">
        <f t="shared" si="21"/>
        <v/>
      </c>
      <c r="H157" s="167" t="str">
        <f t="shared" si="22"/>
        <v/>
      </c>
    </row>
    <row r="158" spans="1:8">
      <c r="A158" s="170">
        <f t="shared" si="17"/>
        <v>133</v>
      </c>
      <c r="B158" s="170">
        <f t="shared" si="18"/>
        <v>17712</v>
      </c>
      <c r="C158" s="184">
        <f t="shared" si="19"/>
        <v>17712</v>
      </c>
      <c r="D158" s="176">
        <f t="shared" si="20"/>
        <v>17712</v>
      </c>
      <c r="E158" s="35" t="str">
        <f t="shared" si="21"/>
        <v/>
      </c>
      <c r="F158" s="35" t="str">
        <f t="shared" si="21"/>
        <v/>
      </c>
      <c r="G158" s="35" t="str">
        <f t="shared" si="21"/>
        <v/>
      </c>
      <c r="H158" s="167" t="str">
        <f t="shared" si="22"/>
        <v/>
      </c>
    </row>
    <row r="159" spans="1:8">
      <c r="A159" s="170">
        <f t="shared" si="17"/>
        <v>134</v>
      </c>
      <c r="B159" s="170">
        <f t="shared" si="18"/>
        <v>18144</v>
      </c>
      <c r="C159" s="184">
        <f t="shared" si="19"/>
        <v>18144</v>
      </c>
      <c r="D159" s="176">
        <f t="shared" si="20"/>
        <v>18144</v>
      </c>
      <c r="E159" s="35" t="str">
        <f t="shared" si="21"/>
        <v/>
      </c>
      <c r="F159" s="35" t="str">
        <f t="shared" si="21"/>
        <v/>
      </c>
      <c r="G159" s="35" t="str">
        <f t="shared" si="21"/>
        <v/>
      </c>
      <c r="H159" s="167" t="str">
        <f t="shared" si="22"/>
        <v/>
      </c>
    </row>
    <row r="160" spans="1:8">
      <c r="A160" s="170">
        <f t="shared" si="17"/>
        <v>135</v>
      </c>
      <c r="B160" s="170">
        <f t="shared" si="18"/>
        <v>18576</v>
      </c>
      <c r="C160" s="184">
        <f t="shared" si="19"/>
        <v>18576</v>
      </c>
      <c r="D160" s="176">
        <f t="shared" si="20"/>
        <v>18576</v>
      </c>
      <c r="E160" s="35" t="str">
        <f t="shared" si="21"/>
        <v/>
      </c>
      <c r="F160" s="35" t="str">
        <f t="shared" si="21"/>
        <v/>
      </c>
      <c r="G160" s="35" t="str">
        <f t="shared" si="21"/>
        <v/>
      </c>
      <c r="H160" s="167" t="str">
        <f t="shared" si="22"/>
        <v/>
      </c>
    </row>
    <row r="161" spans="1:8">
      <c r="A161" s="170">
        <f t="shared" si="17"/>
        <v>136</v>
      </c>
      <c r="B161" s="170">
        <f t="shared" si="18"/>
        <v>19008</v>
      </c>
      <c r="C161" s="184">
        <f t="shared" si="19"/>
        <v>19008</v>
      </c>
      <c r="D161" s="176">
        <f t="shared" si="20"/>
        <v>19008</v>
      </c>
      <c r="E161" s="35" t="str">
        <f t="shared" si="21"/>
        <v/>
      </c>
      <c r="F161" s="35" t="str">
        <f t="shared" si="21"/>
        <v/>
      </c>
      <c r="G161" s="35" t="str">
        <f t="shared" si="21"/>
        <v/>
      </c>
      <c r="H161" s="167" t="str">
        <f t="shared" si="22"/>
        <v/>
      </c>
    </row>
    <row r="162" spans="1:8">
      <c r="A162" s="170">
        <f t="shared" si="17"/>
        <v>137</v>
      </c>
      <c r="B162" s="170">
        <f t="shared" si="18"/>
        <v>19440</v>
      </c>
      <c r="C162" s="184">
        <f t="shared" si="19"/>
        <v>19440</v>
      </c>
      <c r="D162" s="176">
        <f t="shared" si="20"/>
        <v>19440</v>
      </c>
      <c r="E162" s="35" t="str">
        <f t="shared" si="21"/>
        <v/>
      </c>
      <c r="F162" s="35" t="str">
        <f t="shared" si="21"/>
        <v/>
      </c>
      <c r="G162" s="35" t="str">
        <f t="shared" si="21"/>
        <v/>
      </c>
      <c r="H162" s="167" t="str">
        <f t="shared" si="22"/>
        <v/>
      </c>
    </row>
    <row r="163" spans="1:8">
      <c r="A163" s="170">
        <f t="shared" si="17"/>
        <v>138</v>
      </c>
      <c r="B163" s="170">
        <f t="shared" si="18"/>
        <v>19872</v>
      </c>
      <c r="C163" s="184">
        <f t="shared" si="19"/>
        <v>19872</v>
      </c>
      <c r="D163" s="176">
        <f t="shared" si="20"/>
        <v>19872</v>
      </c>
      <c r="E163" s="35" t="str">
        <f t="shared" si="21"/>
        <v/>
      </c>
      <c r="F163" s="35" t="str">
        <f t="shared" si="21"/>
        <v/>
      </c>
      <c r="G163" s="35" t="str">
        <f t="shared" si="21"/>
        <v/>
      </c>
      <c r="H163" s="167" t="str">
        <f t="shared" si="22"/>
        <v/>
      </c>
    </row>
    <row r="164" spans="1:8">
      <c r="A164" s="170">
        <f t="shared" si="17"/>
        <v>139</v>
      </c>
      <c r="B164" s="170">
        <f t="shared" si="18"/>
        <v>432</v>
      </c>
      <c r="C164" s="184">
        <f t="shared" si="19"/>
        <v>432</v>
      </c>
      <c r="D164" s="176">
        <f t="shared" si="20"/>
        <v>432</v>
      </c>
      <c r="E164" s="35">
        <f t="shared" si="21"/>
        <v>1</v>
      </c>
      <c r="F164" s="35">
        <f t="shared" si="21"/>
        <v>1</v>
      </c>
      <c r="G164" s="35">
        <f t="shared" si="21"/>
        <v>1</v>
      </c>
      <c r="H164" s="167">
        <f t="shared" si="22"/>
        <v>1</v>
      </c>
    </row>
    <row r="165" spans="1:8">
      <c r="A165" s="170">
        <f t="shared" si="17"/>
        <v>140</v>
      </c>
      <c r="B165" s="170">
        <f t="shared" si="18"/>
        <v>864</v>
      </c>
      <c r="C165" s="184">
        <f t="shared" si="19"/>
        <v>864</v>
      </c>
      <c r="D165" s="176">
        <f t="shared" si="20"/>
        <v>864</v>
      </c>
      <c r="E165" s="35" t="str">
        <f t="shared" si="21"/>
        <v/>
      </c>
      <c r="F165" s="35" t="str">
        <f t="shared" si="21"/>
        <v/>
      </c>
      <c r="G165" s="35" t="str">
        <f t="shared" si="21"/>
        <v/>
      </c>
      <c r="H165" s="167" t="str">
        <f t="shared" si="22"/>
        <v/>
      </c>
    </row>
    <row r="166" spans="1:8">
      <c r="A166" s="170">
        <f t="shared" si="17"/>
        <v>141</v>
      </c>
      <c r="B166" s="170">
        <f t="shared" si="18"/>
        <v>1296</v>
      </c>
      <c r="C166" s="184">
        <f t="shared" si="19"/>
        <v>1296</v>
      </c>
      <c r="D166" s="176">
        <f t="shared" si="20"/>
        <v>1296</v>
      </c>
      <c r="E166" s="35" t="str">
        <f t="shared" si="21"/>
        <v/>
      </c>
      <c r="F166" s="35" t="str">
        <f t="shared" si="21"/>
        <v/>
      </c>
      <c r="G166" s="35" t="str">
        <f t="shared" si="21"/>
        <v/>
      </c>
      <c r="H166" s="167" t="str">
        <f t="shared" si="22"/>
        <v/>
      </c>
    </row>
    <row r="167" spans="1:8">
      <c r="A167" s="170">
        <f t="shared" si="17"/>
        <v>142</v>
      </c>
      <c r="B167" s="170">
        <f t="shared" si="18"/>
        <v>1728</v>
      </c>
      <c r="C167" s="184">
        <f t="shared" si="19"/>
        <v>1728</v>
      </c>
      <c r="D167" s="176">
        <f t="shared" si="20"/>
        <v>1728</v>
      </c>
      <c r="E167" s="35" t="str">
        <f t="shared" si="21"/>
        <v/>
      </c>
      <c r="F167" s="35" t="str">
        <f t="shared" si="21"/>
        <v/>
      </c>
      <c r="G167" s="35" t="str">
        <f t="shared" si="21"/>
        <v/>
      </c>
      <c r="H167" s="167" t="str">
        <f t="shared" si="22"/>
        <v/>
      </c>
    </row>
    <row r="168" spans="1:8">
      <c r="A168" s="170">
        <f t="shared" si="17"/>
        <v>143</v>
      </c>
      <c r="B168" s="170">
        <f t="shared" si="18"/>
        <v>2160</v>
      </c>
      <c r="C168" s="184">
        <f t="shared" si="19"/>
        <v>2160</v>
      </c>
      <c r="D168" s="176">
        <f t="shared" si="20"/>
        <v>2160</v>
      </c>
      <c r="E168" s="35" t="str">
        <f t="shared" si="21"/>
        <v/>
      </c>
      <c r="F168" s="35" t="str">
        <f t="shared" si="21"/>
        <v/>
      </c>
      <c r="G168" s="35" t="str">
        <f t="shared" si="21"/>
        <v/>
      </c>
      <c r="H168" s="167" t="str">
        <f t="shared" si="22"/>
        <v/>
      </c>
    </row>
    <row r="169" spans="1:8">
      <c r="A169" s="170">
        <f t="shared" si="17"/>
        <v>144</v>
      </c>
      <c r="B169" s="170">
        <f t="shared" si="18"/>
        <v>2592</v>
      </c>
      <c r="C169" s="184">
        <f t="shared" si="19"/>
        <v>2592</v>
      </c>
      <c r="D169" s="176">
        <f t="shared" si="20"/>
        <v>2592</v>
      </c>
      <c r="E169" s="35" t="str">
        <f t="shared" si="21"/>
        <v/>
      </c>
      <c r="F169" s="35" t="str">
        <f t="shared" si="21"/>
        <v/>
      </c>
      <c r="G169" s="35" t="str">
        <f t="shared" si="21"/>
        <v/>
      </c>
      <c r="H169" s="167" t="str">
        <f t="shared" si="22"/>
        <v/>
      </c>
    </row>
    <row r="170" spans="1:8">
      <c r="A170" s="170">
        <f t="shared" si="17"/>
        <v>145</v>
      </c>
      <c r="B170" s="170">
        <f t="shared" si="18"/>
        <v>3024</v>
      </c>
      <c r="C170" s="184">
        <f t="shared" si="19"/>
        <v>3024</v>
      </c>
      <c r="D170" s="176">
        <f t="shared" si="20"/>
        <v>3024</v>
      </c>
      <c r="E170" s="35" t="str">
        <f t="shared" si="21"/>
        <v/>
      </c>
      <c r="F170" s="35" t="str">
        <f t="shared" si="21"/>
        <v/>
      </c>
      <c r="G170" s="35" t="str">
        <f t="shared" si="21"/>
        <v/>
      </c>
      <c r="H170" s="167" t="str">
        <f t="shared" si="22"/>
        <v/>
      </c>
    </row>
    <row r="171" spans="1:8">
      <c r="A171" s="170">
        <f t="shared" si="17"/>
        <v>146</v>
      </c>
      <c r="B171" s="170">
        <f t="shared" si="18"/>
        <v>3456</v>
      </c>
      <c r="C171" s="184">
        <f t="shared" si="19"/>
        <v>3456</v>
      </c>
      <c r="D171" s="176">
        <f t="shared" si="20"/>
        <v>3456</v>
      </c>
      <c r="E171" s="35" t="str">
        <f t="shared" si="21"/>
        <v/>
      </c>
      <c r="F171" s="35" t="str">
        <f t="shared" si="21"/>
        <v/>
      </c>
      <c r="G171" s="35" t="str">
        <f t="shared" si="21"/>
        <v/>
      </c>
      <c r="H171" s="167" t="str">
        <f t="shared" si="22"/>
        <v/>
      </c>
    </row>
    <row r="172" spans="1:8">
      <c r="A172" s="170">
        <f t="shared" si="17"/>
        <v>147</v>
      </c>
      <c r="B172" s="170">
        <f t="shared" si="18"/>
        <v>3888</v>
      </c>
      <c r="C172" s="184">
        <f t="shared" si="19"/>
        <v>3888</v>
      </c>
      <c r="D172" s="176">
        <f t="shared" si="20"/>
        <v>3888</v>
      </c>
      <c r="E172" s="35" t="str">
        <f t="shared" si="21"/>
        <v/>
      </c>
      <c r="F172" s="35" t="str">
        <f t="shared" si="21"/>
        <v/>
      </c>
      <c r="G172" s="35" t="str">
        <f t="shared" si="21"/>
        <v/>
      </c>
      <c r="H172" s="167" t="str">
        <f t="shared" si="22"/>
        <v/>
      </c>
    </row>
    <row r="173" spans="1:8">
      <c r="A173" s="170">
        <f t="shared" si="17"/>
        <v>148</v>
      </c>
      <c r="B173" s="170">
        <f t="shared" si="18"/>
        <v>4320</v>
      </c>
      <c r="C173" s="184">
        <f t="shared" si="19"/>
        <v>4320</v>
      </c>
      <c r="D173" s="176">
        <f t="shared" si="20"/>
        <v>4320</v>
      </c>
      <c r="E173" s="35" t="str">
        <f t="shared" si="21"/>
        <v/>
      </c>
      <c r="F173" s="35" t="str">
        <f t="shared" si="21"/>
        <v/>
      </c>
      <c r="G173" s="35" t="str">
        <f t="shared" si="21"/>
        <v/>
      </c>
      <c r="H173" s="167" t="str">
        <f t="shared" si="22"/>
        <v/>
      </c>
    </row>
    <row r="174" spans="1:8">
      <c r="A174" s="170">
        <f t="shared" si="17"/>
        <v>149</v>
      </c>
      <c r="B174" s="170">
        <f t="shared" si="18"/>
        <v>4752</v>
      </c>
      <c r="C174" s="184">
        <f t="shared" si="19"/>
        <v>4752</v>
      </c>
      <c r="D174" s="176">
        <f t="shared" si="20"/>
        <v>4752</v>
      </c>
      <c r="E174" s="35" t="str">
        <f t="shared" si="21"/>
        <v/>
      </c>
      <c r="F174" s="35" t="str">
        <f t="shared" si="21"/>
        <v/>
      </c>
      <c r="G174" s="35" t="str">
        <f t="shared" si="21"/>
        <v/>
      </c>
      <c r="H174" s="167" t="str">
        <f t="shared" si="22"/>
        <v/>
      </c>
    </row>
    <row r="175" spans="1:8">
      <c r="A175" s="170">
        <f t="shared" si="17"/>
        <v>150</v>
      </c>
      <c r="B175" s="170">
        <f t="shared" si="18"/>
        <v>5184</v>
      </c>
      <c r="C175" s="184">
        <f t="shared" si="19"/>
        <v>5184</v>
      </c>
      <c r="D175" s="176">
        <f t="shared" si="20"/>
        <v>5184</v>
      </c>
      <c r="E175" s="35" t="str">
        <f t="shared" si="21"/>
        <v/>
      </c>
      <c r="F175" s="35" t="str">
        <f t="shared" si="21"/>
        <v/>
      </c>
      <c r="G175" s="35" t="str">
        <f t="shared" si="21"/>
        <v/>
      </c>
      <c r="H175" s="167" t="str">
        <f t="shared" si="22"/>
        <v/>
      </c>
    </row>
    <row r="176" spans="1:8">
      <c r="A176" s="170">
        <f t="shared" si="17"/>
        <v>151</v>
      </c>
      <c r="B176" s="170">
        <f t="shared" si="18"/>
        <v>5616</v>
      </c>
      <c r="C176" s="184">
        <f t="shared" si="19"/>
        <v>5616</v>
      </c>
      <c r="D176" s="176">
        <f t="shared" si="20"/>
        <v>5616</v>
      </c>
      <c r="E176" s="35" t="str">
        <f t="shared" si="21"/>
        <v/>
      </c>
      <c r="F176" s="35" t="str">
        <f t="shared" si="21"/>
        <v/>
      </c>
      <c r="G176" s="35" t="str">
        <f t="shared" si="21"/>
        <v/>
      </c>
      <c r="H176" s="167" t="str">
        <f t="shared" si="22"/>
        <v/>
      </c>
    </row>
    <row r="177" spans="1:8">
      <c r="A177" s="170">
        <f t="shared" si="17"/>
        <v>152</v>
      </c>
      <c r="B177" s="170">
        <f t="shared" si="18"/>
        <v>6048</v>
      </c>
      <c r="C177" s="184">
        <f t="shared" si="19"/>
        <v>6048</v>
      </c>
      <c r="D177" s="176">
        <f t="shared" si="20"/>
        <v>6048</v>
      </c>
      <c r="E177" s="35" t="str">
        <f t="shared" si="21"/>
        <v/>
      </c>
      <c r="F177" s="35" t="str">
        <f t="shared" si="21"/>
        <v/>
      </c>
      <c r="G177" s="35" t="str">
        <f t="shared" si="21"/>
        <v/>
      </c>
      <c r="H177" s="167" t="str">
        <f t="shared" si="22"/>
        <v/>
      </c>
    </row>
    <row r="178" spans="1:8">
      <c r="A178" s="170">
        <f t="shared" si="17"/>
        <v>153</v>
      </c>
      <c r="B178" s="170">
        <f t="shared" si="18"/>
        <v>6480</v>
      </c>
      <c r="C178" s="184">
        <f t="shared" si="19"/>
        <v>6480</v>
      </c>
      <c r="D178" s="176">
        <f t="shared" si="20"/>
        <v>6480</v>
      </c>
      <c r="E178" s="35" t="str">
        <f t="shared" si="21"/>
        <v/>
      </c>
      <c r="F178" s="35" t="str">
        <f t="shared" si="21"/>
        <v/>
      </c>
      <c r="G178" s="35" t="str">
        <f t="shared" si="21"/>
        <v/>
      </c>
      <c r="H178" s="167" t="str">
        <f t="shared" si="22"/>
        <v/>
      </c>
    </row>
    <row r="179" spans="1:8">
      <c r="A179" s="170">
        <f t="shared" si="17"/>
        <v>154</v>
      </c>
      <c r="B179" s="170">
        <f t="shared" si="18"/>
        <v>6912</v>
      </c>
      <c r="C179" s="184">
        <f t="shared" si="19"/>
        <v>6912</v>
      </c>
      <c r="D179" s="176">
        <f t="shared" si="20"/>
        <v>6912</v>
      </c>
      <c r="E179" s="35" t="str">
        <f t="shared" si="21"/>
        <v/>
      </c>
      <c r="F179" s="35" t="str">
        <f t="shared" si="21"/>
        <v/>
      </c>
      <c r="G179" s="35" t="str">
        <f t="shared" si="21"/>
        <v/>
      </c>
      <c r="H179" s="167" t="str">
        <f t="shared" si="22"/>
        <v/>
      </c>
    </row>
    <row r="180" spans="1:8">
      <c r="A180" s="170">
        <f t="shared" si="17"/>
        <v>155</v>
      </c>
      <c r="B180" s="170">
        <f t="shared" si="18"/>
        <v>7344</v>
      </c>
      <c r="C180" s="184">
        <f t="shared" si="19"/>
        <v>7344</v>
      </c>
      <c r="D180" s="176">
        <f t="shared" si="20"/>
        <v>7344</v>
      </c>
      <c r="E180" s="35" t="str">
        <f t="shared" si="21"/>
        <v/>
      </c>
      <c r="F180" s="35" t="str">
        <f t="shared" si="21"/>
        <v/>
      </c>
      <c r="G180" s="35" t="str">
        <f t="shared" si="21"/>
        <v/>
      </c>
      <c r="H180" s="167" t="str">
        <f t="shared" si="22"/>
        <v/>
      </c>
    </row>
    <row r="181" spans="1:8">
      <c r="A181" s="170">
        <f t="shared" si="17"/>
        <v>156</v>
      </c>
      <c r="B181" s="170">
        <f t="shared" si="18"/>
        <v>7776</v>
      </c>
      <c r="C181" s="184">
        <f t="shared" si="19"/>
        <v>7776</v>
      </c>
      <c r="D181" s="176">
        <f t="shared" si="20"/>
        <v>7776</v>
      </c>
      <c r="E181" s="35" t="str">
        <f t="shared" si="21"/>
        <v/>
      </c>
      <c r="F181" s="35" t="str">
        <f t="shared" si="21"/>
        <v/>
      </c>
      <c r="G181" s="35" t="str">
        <f t="shared" si="21"/>
        <v/>
      </c>
      <c r="H181" s="167" t="str">
        <f t="shared" si="22"/>
        <v/>
      </c>
    </row>
    <row r="182" spans="1:8">
      <c r="A182" s="170">
        <f t="shared" si="17"/>
        <v>157</v>
      </c>
      <c r="B182" s="170">
        <f t="shared" si="18"/>
        <v>8208</v>
      </c>
      <c r="C182" s="184">
        <f t="shared" si="19"/>
        <v>8208</v>
      </c>
      <c r="D182" s="176">
        <f t="shared" si="20"/>
        <v>8208</v>
      </c>
      <c r="E182" s="35" t="str">
        <f t="shared" si="21"/>
        <v/>
      </c>
      <c r="F182" s="35" t="str">
        <f t="shared" si="21"/>
        <v/>
      </c>
      <c r="G182" s="35" t="str">
        <f t="shared" si="21"/>
        <v/>
      </c>
      <c r="H182" s="167" t="str">
        <f t="shared" si="22"/>
        <v/>
      </c>
    </row>
    <row r="183" spans="1:8">
      <c r="A183" s="170">
        <f t="shared" si="17"/>
        <v>158</v>
      </c>
      <c r="B183" s="170">
        <f t="shared" si="18"/>
        <v>8640</v>
      </c>
      <c r="C183" s="184">
        <f t="shared" si="19"/>
        <v>8640</v>
      </c>
      <c r="D183" s="176">
        <f t="shared" si="20"/>
        <v>8640</v>
      </c>
      <c r="E183" s="35" t="str">
        <f t="shared" si="21"/>
        <v/>
      </c>
      <c r="F183" s="35" t="str">
        <f t="shared" si="21"/>
        <v/>
      </c>
      <c r="G183" s="35" t="str">
        <f t="shared" si="21"/>
        <v/>
      </c>
      <c r="H183" s="167" t="str">
        <f t="shared" si="22"/>
        <v/>
      </c>
    </row>
    <row r="184" spans="1:8">
      <c r="A184" s="170">
        <f t="shared" si="17"/>
        <v>159</v>
      </c>
      <c r="B184" s="170">
        <f t="shared" si="18"/>
        <v>9072</v>
      </c>
      <c r="C184" s="184">
        <f t="shared" si="19"/>
        <v>9072</v>
      </c>
      <c r="D184" s="176">
        <f t="shared" si="20"/>
        <v>9072</v>
      </c>
      <c r="E184" s="35" t="str">
        <f t="shared" si="21"/>
        <v/>
      </c>
      <c r="F184" s="35" t="str">
        <f t="shared" si="21"/>
        <v/>
      </c>
      <c r="G184" s="35" t="str">
        <f t="shared" si="21"/>
        <v/>
      </c>
      <c r="H184" s="167" t="str">
        <f t="shared" si="22"/>
        <v/>
      </c>
    </row>
    <row r="185" spans="1:8">
      <c r="A185" s="170">
        <f t="shared" si="17"/>
        <v>160</v>
      </c>
      <c r="B185" s="170">
        <f t="shared" si="18"/>
        <v>9504</v>
      </c>
      <c r="C185" s="184">
        <f t="shared" si="19"/>
        <v>9504</v>
      </c>
      <c r="D185" s="176">
        <f t="shared" si="20"/>
        <v>9504</v>
      </c>
      <c r="E185" s="35" t="str">
        <f t="shared" si="21"/>
        <v/>
      </c>
      <c r="F185" s="35" t="str">
        <f t="shared" si="21"/>
        <v/>
      </c>
      <c r="G185" s="35" t="str">
        <f t="shared" si="21"/>
        <v/>
      </c>
      <c r="H185" s="167" t="str">
        <f t="shared" si="22"/>
        <v/>
      </c>
    </row>
    <row r="186" spans="1:8">
      <c r="A186" s="170">
        <f t="shared" si="17"/>
        <v>161</v>
      </c>
      <c r="B186" s="170">
        <f t="shared" si="18"/>
        <v>9936</v>
      </c>
      <c r="C186" s="184">
        <f t="shared" si="19"/>
        <v>9936</v>
      </c>
      <c r="D186" s="176">
        <f t="shared" si="20"/>
        <v>9936</v>
      </c>
      <c r="E186" s="35" t="str">
        <f t="shared" si="21"/>
        <v/>
      </c>
      <c r="F186" s="35" t="str">
        <f t="shared" si="21"/>
        <v/>
      </c>
      <c r="G186" s="35" t="str">
        <f t="shared" si="21"/>
        <v/>
      </c>
      <c r="H186" s="167" t="str">
        <f t="shared" si="22"/>
        <v/>
      </c>
    </row>
    <row r="187" spans="1:8">
      <c r="A187" s="170">
        <f t="shared" si="17"/>
        <v>162</v>
      </c>
      <c r="B187" s="170">
        <f t="shared" si="18"/>
        <v>10368</v>
      </c>
      <c r="C187" s="184">
        <f t="shared" si="19"/>
        <v>10368</v>
      </c>
      <c r="D187" s="176">
        <f t="shared" si="20"/>
        <v>10368</v>
      </c>
      <c r="E187" s="35" t="str">
        <f t="shared" si="21"/>
        <v/>
      </c>
      <c r="F187" s="35" t="str">
        <f t="shared" si="21"/>
        <v/>
      </c>
      <c r="G187" s="35" t="str">
        <f t="shared" si="21"/>
        <v/>
      </c>
      <c r="H187" s="167" t="str">
        <f t="shared" si="22"/>
        <v/>
      </c>
    </row>
    <row r="188" spans="1:8">
      <c r="A188" s="170">
        <f t="shared" si="17"/>
        <v>163</v>
      </c>
      <c r="B188" s="170">
        <f t="shared" si="18"/>
        <v>10800</v>
      </c>
      <c r="C188" s="184">
        <f t="shared" si="19"/>
        <v>10800</v>
      </c>
      <c r="D188" s="176">
        <f t="shared" si="20"/>
        <v>10800</v>
      </c>
      <c r="E188" s="35" t="str">
        <f t="shared" si="21"/>
        <v/>
      </c>
      <c r="F188" s="35" t="str">
        <f t="shared" si="21"/>
        <v/>
      </c>
      <c r="G188" s="35" t="str">
        <f t="shared" si="21"/>
        <v/>
      </c>
      <c r="H188" s="167" t="str">
        <f t="shared" si="22"/>
        <v/>
      </c>
    </row>
    <row r="189" spans="1:8">
      <c r="A189" s="170">
        <f t="shared" si="17"/>
        <v>164</v>
      </c>
      <c r="B189" s="170">
        <f t="shared" si="18"/>
        <v>11232</v>
      </c>
      <c r="C189" s="184">
        <f t="shared" si="19"/>
        <v>11232</v>
      </c>
      <c r="D189" s="176">
        <f t="shared" si="20"/>
        <v>11232</v>
      </c>
      <c r="E189" s="35" t="str">
        <f t="shared" si="21"/>
        <v/>
      </c>
      <c r="F189" s="35" t="str">
        <f t="shared" si="21"/>
        <v/>
      </c>
      <c r="G189" s="35" t="str">
        <f t="shared" si="21"/>
        <v/>
      </c>
      <c r="H189" s="167" t="str">
        <f t="shared" si="22"/>
        <v/>
      </c>
    </row>
    <row r="190" spans="1:8">
      <c r="A190" s="170">
        <f t="shared" si="17"/>
        <v>165</v>
      </c>
      <c r="B190" s="170">
        <f t="shared" si="18"/>
        <v>11664</v>
      </c>
      <c r="C190" s="184">
        <f t="shared" si="19"/>
        <v>11664</v>
      </c>
      <c r="D190" s="176">
        <f t="shared" si="20"/>
        <v>11664</v>
      </c>
      <c r="E190" s="35" t="str">
        <f t="shared" si="21"/>
        <v/>
      </c>
      <c r="F190" s="35" t="str">
        <f t="shared" si="21"/>
        <v/>
      </c>
      <c r="G190" s="35" t="str">
        <f t="shared" si="21"/>
        <v/>
      </c>
      <c r="H190" s="167" t="str">
        <f t="shared" si="22"/>
        <v/>
      </c>
    </row>
    <row r="191" spans="1:8">
      <c r="A191" s="170">
        <f t="shared" si="17"/>
        <v>166</v>
      </c>
      <c r="B191" s="170">
        <f t="shared" si="18"/>
        <v>12096</v>
      </c>
      <c r="C191" s="184">
        <f t="shared" si="19"/>
        <v>12096</v>
      </c>
      <c r="D191" s="176">
        <f t="shared" si="20"/>
        <v>12096</v>
      </c>
      <c r="E191" s="35" t="str">
        <f t="shared" si="21"/>
        <v/>
      </c>
      <c r="F191" s="35" t="str">
        <f t="shared" si="21"/>
        <v/>
      </c>
      <c r="G191" s="35" t="str">
        <f t="shared" si="21"/>
        <v/>
      </c>
      <c r="H191" s="167" t="str">
        <f t="shared" si="22"/>
        <v/>
      </c>
    </row>
    <row r="192" spans="1:8">
      <c r="A192" s="170">
        <f t="shared" si="17"/>
        <v>167</v>
      </c>
      <c r="B192" s="170">
        <f t="shared" si="18"/>
        <v>12528</v>
      </c>
      <c r="C192" s="184">
        <f t="shared" si="19"/>
        <v>12528</v>
      </c>
      <c r="D192" s="176">
        <f t="shared" si="20"/>
        <v>12528</v>
      </c>
      <c r="E192" s="35" t="str">
        <f t="shared" si="21"/>
        <v/>
      </c>
      <c r="F192" s="35" t="str">
        <f t="shared" si="21"/>
        <v/>
      </c>
      <c r="G192" s="35" t="str">
        <f t="shared" si="21"/>
        <v/>
      </c>
      <c r="H192" s="167" t="str">
        <f t="shared" si="22"/>
        <v/>
      </c>
    </row>
    <row r="193" spans="1:8">
      <c r="A193" s="170">
        <f t="shared" si="17"/>
        <v>168</v>
      </c>
      <c r="B193" s="170">
        <f t="shared" si="18"/>
        <v>12960</v>
      </c>
      <c r="C193" s="184">
        <f t="shared" si="19"/>
        <v>12960</v>
      </c>
      <c r="D193" s="176">
        <f t="shared" si="20"/>
        <v>12960</v>
      </c>
      <c r="E193" s="35" t="str">
        <f t="shared" si="21"/>
        <v/>
      </c>
      <c r="F193" s="35" t="str">
        <f t="shared" si="21"/>
        <v/>
      </c>
      <c r="G193" s="35" t="str">
        <f t="shared" si="21"/>
        <v/>
      </c>
      <c r="H193" s="167" t="str">
        <f t="shared" si="22"/>
        <v/>
      </c>
    </row>
    <row r="194" spans="1:8">
      <c r="A194" s="170">
        <f t="shared" si="17"/>
        <v>169</v>
      </c>
      <c r="B194" s="170">
        <f t="shared" si="18"/>
        <v>13392</v>
      </c>
      <c r="C194" s="184">
        <f t="shared" si="19"/>
        <v>13392</v>
      </c>
      <c r="D194" s="176">
        <f t="shared" si="20"/>
        <v>13392</v>
      </c>
      <c r="E194" s="35" t="str">
        <f t="shared" si="21"/>
        <v/>
      </c>
      <c r="F194" s="35" t="str">
        <f t="shared" si="21"/>
        <v/>
      </c>
      <c r="G194" s="35" t="str">
        <f t="shared" si="21"/>
        <v/>
      </c>
      <c r="H194" s="167" t="str">
        <f t="shared" si="22"/>
        <v/>
      </c>
    </row>
    <row r="195" spans="1:8">
      <c r="A195" s="170">
        <f t="shared" si="17"/>
        <v>170</v>
      </c>
      <c r="B195" s="170">
        <f t="shared" si="18"/>
        <v>13824</v>
      </c>
      <c r="C195" s="184">
        <f t="shared" si="19"/>
        <v>13824</v>
      </c>
      <c r="D195" s="176">
        <f t="shared" si="20"/>
        <v>13824</v>
      </c>
      <c r="E195" s="35" t="str">
        <f t="shared" si="21"/>
        <v/>
      </c>
      <c r="F195" s="35" t="str">
        <f t="shared" si="21"/>
        <v/>
      </c>
      <c r="G195" s="35" t="str">
        <f t="shared" si="21"/>
        <v/>
      </c>
      <c r="H195" s="167" t="str">
        <f t="shared" si="22"/>
        <v/>
      </c>
    </row>
    <row r="196" spans="1:8">
      <c r="A196" s="170">
        <f t="shared" si="17"/>
        <v>171</v>
      </c>
      <c r="B196" s="170">
        <f t="shared" si="18"/>
        <v>14256</v>
      </c>
      <c r="C196" s="184">
        <f t="shared" si="19"/>
        <v>14256</v>
      </c>
      <c r="D196" s="176">
        <f t="shared" si="20"/>
        <v>14256</v>
      </c>
      <c r="E196" s="35" t="str">
        <f t="shared" si="21"/>
        <v/>
      </c>
      <c r="F196" s="35" t="str">
        <f t="shared" si="21"/>
        <v/>
      </c>
      <c r="G196" s="35" t="str">
        <f t="shared" si="21"/>
        <v/>
      </c>
      <c r="H196" s="167" t="str">
        <f t="shared" si="22"/>
        <v/>
      </c>
    </row>
    <row r="197" spans="1:8">
      <c r="A197" s="170">
        <f t="shared" si="17"/>
        <v>172</v>
      </c>
      <c r="B197" s="170">
        <f t="shared" si="18"/>
        <v>14688</v>
      </c>
      <c r="C197" s="184">
        <f t="shared" si="19"/>
        <v>14688</v>
      </c>
      <c r="D197" s="176">
        <f t="shared" si="20"/>
        <v>14688</v>
      </c>
      <c r="E197" s="35" t="str">
        <f t="shared" si="21"/>
        <v/>
      </c>
      <c r="F197" s="35" t="str">
        <f t="shared" si="21"/>
        <v/>
      </c>
      <c r="G197" s="35" t="str">
        <f t="shared" si="21"/>
        <v/>
      </c>
      <c r="H197" s="167" t="str">
        <f t="shared" si="22"/>
        <v/>
      </c>
    </row>
    <row r="198" spans="1:8">
      <c r="A198" s="170">
        <f t="shared" si="17"/>
        <v>173</v>
      </c>
      <c r="B198" s="170">
        <f t="shared" si="18"/>
        <v>15120</v>
      </c>
      <c r="C198" s="184">
        <f t="shared" si="19"/>
        <v>15120</v>
      </c>
      <c r="D198" s="176">
        <f t="shared" si="20"/>
        <v>15120</v>
      </c>
      <c r="E198" s="35" t="str">
        <f t="shared" si="21"/>
        <v/>
      </c>
      <c r="F198" s="35" t="str">
        <f t="shared" si="21"/>
        <v/>
      </c>
      <c r="G198" s="35" t="str">
        <f t="shared" si="21"/>
        <v/>
      </c>
      <c r="H198" s="167" t="str">
        <f t="shared" si="22"/>
        <v/>
      </c>
    </row>
    <row r="199" spans="1:8">
      <c r="A199" s="170">
        <f t="shared" si="17"/>
        <v>174</v>
      </c>
      <c r="B199" s="170">
        <f t="shared" si="18"/>
        <v>15552</v>
      </c>
      <c r="C199" s="184">
        <f t="shared" si="19"/>
        <v>15552</v>
      </c>
      <c r="D199" s="176">
        <f t="shared" si="20"/>
        <v>15552</v>
      </c>
      <c r="E199" s="35" t="str">
        <f t="shared" si="21"/>
        <v/>
      </c>
      <c r="F199" s="35" t="str">
        <f t="shared" si="21"/>
        <v/>
      </c>
      <c r="G199" s="35" t="str">
        <f t="shared" si="21"/>
        <v/>
      </c>
      <c r="H199" s="167" t="str">
        <f t="shared" si="22"/>
        <v/>
      </c>
    </row>
    <row r="200" spans="1:8">
      <c r="A200" s="170">
        <f t="shared" si="17"/>
        <v>175</v>
      </c>
      <c r="B200" s="170">
        <f t="shared" si="18"/>
        <v>15984</v>
      </c>
      <c r="C200" s="184">
        <f t="shared" si="19"/>
        <v>15984</v>
      </c>
      <c r="D200" s="176">
        <f t="shared" si="20"/>
        <v>15984</v>
      </c>
      <c r="E200" s="35" t="str">
        <f t="shared" si="21"/>
        <v/>
      </c>
      <c r="F200" s="35" t="str">
        <f t="shared" si="21"/>
        <v/>
      </c>
      <c r="G200" s="35" t="str">
        <f t="shared" si="21"/>
        <v/>
      </c>
      <c r="H200" s="167" t="str">
        <f t="shared" si="22"/>
        <v/>
      </c>
    </row>
    <row r="201" spans="1:8">
      <c r="A201" s="170">
        <f t="shared" si="17"/>
        <v>176</v>
      </c>
      <c r="B201" s="170">
        <f t="shared" si="18"/>
        <v>16416</v>
      </c>
      <c r="C201" s="184">
        <f t="shared" si="19"/>
        <v>16416</v>
      </c>
      <c r="D201" s="176">
        <f t="shared" si="20"/>
        <v>16416</v>
      </c>
      <c r="E201" s="35" t="str">
        <f t="shared" si="21"/>
        <v/>
      </c>
      <c r="F201" s="35" t="str">
        <f t="shared" si="21"/>
        <v/>
      </c>
      <c r="G201" s="35" t="str">
        <f t="shared" si="21"/>
        <v/>
      </c>
      <c r="H201" s="167" t="str">
        <f t="shared" si="22"/>
        <v/>
      </c>
    </row>
    <row r="202" spans="1:8">
      <c r="A202" s="170">
        <f t="shared" si="17"/>
        <v>177</v>
      </c>
      <c r="B202" s="170">
        <f t="shared" si="18"/>
        <v>16848</v>
      </c>
      <c r="C202" s="184">
        <f t="shared" si="19"/>
        <v>16848</v>
      </c>
      <c r="D202" s="176">
        <f t="shared" si="20"/>
        <v>16848</v>
      </c>
      <c r="E202" s="35" t="str">
        <f t="shared" si="21"/>
        <v/>
      </c>
      <c r="F202" s="35" t="str">
        <f t="shared" si="21"/>
        <v/>
      </c>
      <c r="G202" s="35" t="str">
        <f t="shared" si="21"/>
        <v/>
      </c>
      <c r="H202" s="167" t="str">
        <f t="shared" si="22"/>
        <v/>
      </c>
    </row>
    <row r="203" spans="1:8">
      <c r="A203" s="170">
        <f t="shared" si="17"/>
        <v>178</v>
      </c>
      <c r="B203" s="170">
        <f t="shared" si="18"/>
        <v>17280</v>
      </c>
      <c r="C203" s="184">
        <f t="shared" si="19"/>
        <v>17280</v>
      </c>
      <c r="D203" s="176">
        <f t="shared" si="20"/>
        <v>17280</v>
      </c>
      <c r="E203" s="35" t="str">
        <f t="shared" si="21"/>
        <v/>
      </c>
      <c r="F203" s="35" t="str">
        <f t="shared" si="21"/>
        <v/>
      </c>
      <c r="G203" s="35" t="str">
        <f t="shared" si="21"/>
        <v/>
      </c>
      <c r="H203" s="167" t="str">
        <f t="shared" si="22"/>
        <v/>
      </c>
    </row>
    <row r="204" spans="1:8">
      <c r="A204" s="170">
        <f t="shared" si="17"/>
        <v>179</v>
      </c>
      <c r="B204" s="170">
        <f t="shared" si="18"/>
        <v>17712</v>
      </c>
      <c r="C204" s="184">
        <f t="shared" si="19"/>
        <v>17712</v>
      </c>
      <c r="D204" s="176">
        <f t="shared" si="20"/>
        <v>17712</v>
      </c>
      <c r="E204" s="35" t="str">
        <f t="shared" si="21"/>
        <v/>
      </c>
      <c r="F204" s="35" t="str">
        <f t="shared" si="21"/>
        <v/>
      </c>
      <c r="G204" s="35" t="str">
        <f t="shared" si="21"/>
        <v/>
      </c>
      <c r="H204" s="167" t="str">
        <f t="shared" si="22"/>
        <v/>
      </c>
    </row>
    <row r="205" spans="1:8">
      <c r="A205" s="170">
        <f t="shared" si="17"/>
        <v>180</v>
      </c>
      <c r="B205" s="170">
        <f t="shared" si="18"/>
        <v>18144</v>
      </c>
      <c r="C205" s="184">
        <f t="shared" si="19"/>
        <v>18144</v>
      </c>
      <c r="D205" s="176">
        <f t="shared" si="20"/>
        <v>18144</v>
      </c>
      <c r="E205" s="35" t="str">
        <f t="shared" si="21"/>
        <v/>
      </c>
      <c r="F205" s="35" t="str">
        <f t="shared" si="21"/>
        <v/>
      </c>
      <c r="G205" s="35" t="str">
        <f t="shared" si="21"/>
        <v/>
      </c>
      <c r="H205" s="167" t="str">
        <f t="shared" si="22"/>
        <v/>
      </c>
    </row>
    <row r="206" spans="1:8">
      <c r="A206" s="170">
        <f t="shared" si="17"/>
        <v>181</v>
      </c>
      <c r="B206" s="170">
        <f t="shared" si="18"/>
        <v>18576</v>
      </c>
      <c r="C206" s="184">
        <f t="shared" si="19"/>
        <v>18576</v>
      </c>
      <c r="D206" s="176">
        <f t="shared" si="20"/>
        <v>18576</v>
      </c>
      <c r="E206" s="35" t="str">
        <f t="shared" si="21"/>
        <v/>
      </c>
      <c r="F206" s="35" t="str">
        <f t="shared" si="21"/>
        <v/>
      </c>
      <c r="G206" s="35" t="str">
        <f t="shared" si="21"/>
        <v/>
      </c>
      <c r="H206" s="167" t="str">
        <f t="shared" si="22"/>
        <v/>
      </c>
    </row>
    <row r="207" spans="1:8">
      <c r="A207" s="170">
        <f t="shared" si="17"/>
        <v>182</v>
      </c>
      <c r="B207" s="170">
        <f t="shared" si="18"/>
        <v>19008</v>
      </c>
      <c r="C207" s="184">
        <f t="shared" si="19"/>
        <v>19008</v>
      </c>
      <c r="D207" s="176">
        <f t="shared" si="20"/>
        <v>19008</v>
      </c>
      <c r="E207" s="35" t="str">
        <f t="shared" si="21"/>
        <v/>
      </c>
      <c r="F207" s="35" t="str">
        <f t="shared" si="21"/>
        <v/>
      </c>
      <c r="G207" s="35" t="str">
        <f t="shared" si="21"/>
        <v/>
      </c>
      <c r="H207" s="167" t="str">
        <f t="shared" si="22"/>
        <v/>
      </c>
    </row>
    <row r="208" spans="1:8">
      <c r="A208" s="170">
        <f t="shared" si="17"/>
        <v>183</v>
      </c>
      <c r="B208" s="170">
        <f t="shared" si="18"/>
        <v>19440</v>
      </c>
      <c r="C208" s="184">
        <f t="shared" si="19"/>
        <v>19440</v>
      </c>
      <c r="D208" s="176">
        <f t="shared" si="20"/>
        <v>19440</v>
      </c>
      <c r="E208" s="35" t="str">
        <f t="shared" si="21"/>
        <v/>
      </c>
      <c r="F208" s="35" t="str">
        <f t="shared" si="21"/>
        <v/>
      </c>
      <c r="G208" s="35" t="str">
        <f t="shared" si="21"/>
        <v/>
      </c>
      <c r="H208" s="167" t="str">
        <f t="shared" si="22"/>
        <v/>
      </c>
    </row>
    <row r="209" spans="1:8">
      <c r="A209" s="170">
        <f t="shared" si="17"/>
        <v>184</v>
      </c>
      <c r="B209" s="170">
        <f t="shared" si="18"/>
        <v>19872</v>
      </c>
      <c r="C209" s="184">
        <f t="shared" si="19"/>
        <v>19872</v>
      </c>
      <c r="D209" s="176">
        <f t="shared" si="20"/>
        <v>19872</v>
      </c>
      <c r="E209" s="35" t="str">
        <f t="shared" si="21"/>
        <v/>
      </c>
      <c r="F209" s="35" t="str">
        <f t="shared" si="21"/>
        <v/>
      </c>
      <c r="G209" s="35" t="str">
        <f t="shared" si="21"/>
        <v/>
      </c>
      <c r="H209" s="167" t="str">
        <f t="shared" si="22"/>
        <v/>
      </c>
    </row>
    <row r="210" spans="1:8">
      <c r="A210" s="170">
        <f t="shared" si="17"/>
        <v>185</v>
      </c>
      <c r="B210" s="170">
        <f t="shared" si="18"/>
        <v>432</v>
      </c>
      <c r="C210" s="184">
        <f t="shared" si="19"/>
        <v>432</v>
      </c>
      <c r="D210" s="176">
        <f t="shared" si="20"/>
        <v>432</v>
      </c>
      <c r="E210" s="35">
        <f t="shared" si="21"/>
        <v>1</v>
      </c>
      <c r="F210" s="35">
        <f t="shared" si="21"/>
        <v>1</v>
      </c>
      <c r="G210" s="35">
        <f t="shared" si="21"/>
        <v>1</v>
      </c>
      <c r="H210" s="167">
        <f t="shared" si="22"/>
        <v>1</v>
      </c>
    </row>
    <row r="211" spans="1:8">
      <c r="A211" s="170">
        <f t="shared" si="17"/>
        <v>186</v>
      </c>
      <c r="B211" s="170">
        <f t="shared" si="18"/>
        <v>864</v>
      </c>
      <c r="C211" s="184">
        <f t="shared" si="19"/>
        <v>864</v>
      </c>
      <c r="D211" s="176">
        <f t="shared" si="20"/>
        <v>864</v>
      </c>
      <c r="E211" s="35" t="str">
        <f t="shared" si="21"/>
        <v/>
      </c>
      <c r="F211" s="35" t="str">
        <f t="shared" si="21"/>
        <v/>
      </c>
      <c r="G211" s="35" t="str">
        <f t="shared" si="21"/>
        <v/>
      </c>
      <c r="H211" s="167" t="str">
        <f t="shared" si="22"/>
        <v/>
      </c>
    </row>
    <row r="212" spans="1:8">
      <c r="A212" s="170">
        <f t="shared" si="17"/>
        <v>187</v>
      </c>
      <c r="B212" s="170">
        <f t="shared" si="18"/>
        <v>1296</v>
      </c>
      <c r="C212" s="184">
        <f t="shared" si="19"/>
        <v>1296</v>
      </c>
      <c r="D212" s="176">
        <f t="shared" si="20"/>
        <v>1296</v>
      </c>
      <c r="E212" s="35" t="str">
        <f t="shared" si="21"/>
        <v/>
      </c>
      <c r="F212" s="35" t="str">
        <f t="shared" si="21"/>
        <v/>
      </c>
      <c r="G212" s="35" t="str">
        <f t="shared" si="21"/>
        <v/>
      </c>
      <c r="H212" s="167" t="str">
        <f t="shared" si="22"/>
        <v/>
      </c>
    </row>
    <row r="213" spans="1:8">
      <c r="A213" s="170">
        <f t="shared" si="17"/>
        <v>188</v>
      </c>
      <c r="B213" s="170">
        <f t="shared" si="18"/>
        <v>1728</v>
      </c>
      <c r="C213" s="184">
        <f t="shared" si="19"/>
        <v>1728</v>
      </c>
      <c r="D213" s="176">
        <f t="shared" si="20"/>
        <v>1728</v>
      </c>
      <c r="E213" s="35" t="str">
        <f t="shared" si="21"/>
        <v/>
      </c>
      <c r="F213" s="35" t="str">
        <f t="shared" si="21"/>
        <v/>
      </c>
      <c r="G213" s="35" t="str">
        <f t="shared" si="21"/>
        <v/>
      </c>
      <c r="H213" s="167" t="str">
        <f t="shared" si="22"/>
        <v/>
      </c>
    </row>
    <row r="214" spans="1:8">
      <c r="A214" s="170">
        <f t="shared" si="17"/>
        <v>189</v>
      </c>
      <c r="B214" s="170">
        <f t="shared" si="18"/>
        <v>2160</v>
      </c>
      <c r="C214" s="184">
        <f t="shared" si="19"/>
        <v>2160</v>
      </c>
      <c r="D214" s="176">
        <f t="shared" si="20"/>
        <v>2160</v>
      </c>
      <c r="E214" s="35" t="str">
        <f t="shared" si="21"/>
        <v/>
      </c>
      <c r="F214" s="35" t="str">
        <f t="shared" si="21"/>
        <v/>
      </c>
      <c r="G214" s="35" t="str">
        <f t="shared" si="21"/>
        <v/>
      </c>
      <c r="H214" s="167" t="str">
        <f t="shared" si="22"/>
        <v/>
      </c>
    </row>
    <row r="215" spans="1:8">
      <c r="A215" s="170">
        <f t="shared" si="17"/>
        <v>190</v>
      </c>
      <c r="B215" s="170">
        <f t="shared" si="18"/>
        <v>2592</v>
      </c>
      <c r="C215" s="184">
        <f t="shared" si="19"/>
        <v>2592</v>
      </c>
      <c r="D215" s="176">
        <f t="shared" si="20"/>
        <v>2592</v>
      </c>
      <c r="E215" s="35" t="str">
        <f t="shared" si="21"/>
        <v/>
      </c>
      <c r="F215" s="35" t="str">
        <f t="shared" si="21"/>
        <v/>
      </c>
      <c r="G215" s="35" t="str">
        <f t="shared" si="21"/>
        <v/>
      </c>
      <c r="H215" s="167" t="str">
        <f t="shared" si="22"/>
        <v/>
      </c>
    </row>
    <row r="216" spans="1:8">
      <c r="A216" s="170">
        <f t="shared" si="17"/>
        <v>191</v>
      </c>
      <c r="B216" s="170">
        <f t="shared" si="18"/>
        <v>3024</v>
      </c>
      <c r="C216" s="184">
        <f t="shared" si="19"/>
        <v>3024</v>
      </c>
      <c r="D216" s="176">
        <f t="shared" si="20"/>
        <v>3024</v>
      </c>
      <c r="E216" s="35" t="str">
        <f t="shared" si="21"/>
        <v/>
      </c>
      <c r="F216" s="35" t="str">
        <f t="shared" si="21"/>
        <v/>
      </c>
      <c r="G216" s="35" t="str">
        <f t="shared" si="21"/>
        <v/>
      </c>
      <c r="H216" s="167" t="str">
        <f t="shared" si="22"/>
        <v/>
      </c>
    </row>
    <row r="217" spans="1:8">
      <c r="A217" s="170">
        <f t="shared" si="17"/>
        <v>192</v>
      </c>
      <c r="B217" s="170">
        <f t="shared" si="18"/>
        <v>3456</v>
      </c>
      <c r="C217" s="184">
        <f t="shared" si="19"/>
        <v>3456</v>
      </c>
      <c r="D217" s="176">
        <f t="shared" si="20"/>
        <v>3456</v>
      </c>
      <c r="E217" s="35" t="str">
        <f t="shared" si="21"/>
        <v/>
      </c>
      <c r="F217" s="35" t="str">
        <f t="shared" si="21"/>
        <v/>
      </c>
      <c r="G217" s="35" t="str">
        <f t="shared" si="21"/>
        <v/>
      </c>
      <c r="H217" s="167" t="str">
        <f t="shared" si="22"/>
        <v/>
      </c>
    </row>
    <row r="218" spans="1:8">
      <c r="A218" s="170">
        <f t="shared" si="17"/>
        <v>193</v>
      </c>
      <c r="B218" s="170">
        <f t="shared" si="18"/>
        <v>3888</v>
      </c>
      <c r="C218" s="184">
        <f t="shared" si="19"/>
        <v>3888</v>
      </c>
      <c r="D218" s="176">
        <f t="shared" si="20"/>
        <v>3888</v>
      </c>
      <c r="E218" s="35" t="str">
        <f t="shared" si="21"/>
        <v/>
      </c>
      <c r="F218" s="35" t="str">
        <f t="shared" si="21"/>
        <v/>
      </c>
      <c r="G218" s="35" t="str">
        <f t="shared" si="21"/>
        <v/>
      </c>
      <c r="H218" s="167" t="str">
        <f t="shared" si="22"/>
        <v/>
      </c>
    </row>
    <row r="219" spans="1:8">
      <c r="A219" s="170">
        <f t="shared" si="17"/>
        <v>194</v>
      </c>
      <c r="B219" s="170">
        <f t="shared" si="18"/>
        <v>4320</v>
      </c>
      <c r="C219" s="184">
        <f t="shared" si="19"/>
        <v>4320</v>
      </c>
      <c r="D219" s="176">
        <f t="shared" si="20"/>
        <v>4320</v>
      </c>
      <c r="E219" s="35" t="str">
        <f t="shared" si="21"/>
        <v/>
      </c>
      <c r="F219" s="35" t="str">
        <f t="shared" si="21"/>
        <v/>
      </c>
      <c r="G219" s="35" t="str">
        <f t="shared" si="21"/>
        <v/>
      </c>
      <c r="H219" s="167" t="str">
        <f t="shared" si="22"/>
        <v/>
      </c>
    </row>
    <row r="220" spans="1:8">
      <c r="A220" s="170">
        <f t="shared" ref="A220:A283" si="23">1+A219</f>
        <v>195</v>
      </c>
      <c r="B220" s="170">
        <f t="shared" ref="B220:B283" si="24">IF($B$14="y",IF(B219+$C$8&gt;$D$14,$C$8,B219+$C$8),"")</f>
        <v>4752</v>
      </c>
      <c r="C220" s="184">
        <f t="shared" ref="C220:C283" si="25">IF($B$15="y",IF(C219+$C$8&gt;$D$15,$C$8,C219+$C$8),"")</f>
        <v>4752</v>
      </c>
      <c r="D220" s="176">
        <f t="shared" ref="D220:D283" si="26">IF($B$16="y",IF(D219+$C$8&gt;$D$16,$C$8,D219+$C$8),"")</f>
        <v>4752</v>
      </c>
      <c r="E220" s="35" t="str">
        <f t="shared" ref="E220:G283" si="27">IF(B220=$C$8,1,"")</f>
        <v/>
      </c>
      <c r="F220" s="35" t="str">
        <f t="shared" si="27"/>
        <v/>
      </c>
      <c r="G220" s="35" t="str">
        <f t="shared" si="27"/>
        <v/>
      </c>
      <c r="H220" s="167" t="str">
        <f t="shared" ref="H220:H283" si="28">IF(SUM(E220:G220)&gt;0,1,"")</f>
        <v/>
      </c>
    </row>
    <row r="221" spans="1:8">
      <c r="A221" s="170">
        <f t="shared" si="23"/>
        <v>196</v>
      </c>
      <c r="B221" s="170">
        <f t="shared" si="24"/>
        <v>5184</v>
      </c>
      <c r="C221" s="184">
        <f t="shared" si="25"/>
        <v>5184</v>
      </c>
      <c r="D221" s="176">
        <f t="shared" si="26"/>
        <v>5184</v>
      </c>
      <c r="E221" s="35" t="str">
        <f t="shared" si="27"/>
        <v/>
      </c>
      <c r="F221" s="35" t="str">
        <f t="shared" si="27"/>
        <v/>
      </c>
      <c r="G221" s="35" t="str">
        <f t="shared" si="27"/>
        <v/>
      </c>
      <c r="H221" s="167" t="str">
        <f t="shared" si="28"/>
        <v/>
      </c>
    </row>
    <row r="222" spans="1:8">
      <c r="A222" s="170">
        <f t="shared" si="23"/>
        <v>197</v>
      </c>
      <c r="B222" s="170">
        <f t="shared" si="24"/>
        <v>5616</v>
      </c>
      <c r="C222" s="184">
        <f t="shared" si="25"/>
        <v>5616</v>
      </c>
      <c r="D222" s="176">
        <f t="shared" si="26"/>
        <v>5616</v>
      </c>
      <c r="E222" s="35" t="str">
        <f t="shared" si="27"/>
        <v/>
      </c>
      <c r="F222" s="35" t="str">
        <f t="shared" si="27"/>
        <v/>
      </c>
      <c r="G222" s="35" t="str">
        <f t="shared" si="27"/>
        <v/>
      </c>
      <c r="H222" s="167" t="str">
        <f t="shared" si="28"/>
        <v/>
      </c>
    </row>
    <row r="223" spans="1:8">
      <c r="A223" s="170">
        <f t="shared" si="23"/>
        <v>198</v>
      </c>
      <c r="B223" s="170">
        <f t="shared" si="24"/>
        <v>6048</v>
      </c>
      <c r="C223" s="184">
        <f t="shared" si="25"/>
        <v>6048</v>
      </c>
      <c r="D223" s="176">
        <f t="shared" si="26"/>
        <v>6048</v>
      </c>
      <c r="E223" s="35" t="str">
        <f t="shared" si="27"/>
        <v/>
      </c>
      <c r="F223" s="35" t="str">
        <f t="shared" si="27"/>
        <v/>
      </c>
      <c r="G223" s="35" t="str">
        <f t="shared" si="27"/>
        <v/>
      </c>
      <c r="H223" s="167" t="str">
        <f t="shared" si="28"/>
        <v/>
      </c>
    </row>
    <row r="224" spans="1:8">
      <c r="A224" s="170">
        <f t="shared" si="23"/>
        <v>199</v>
      </c>
      <c r="B224" s="170">
        <f t="shared" si="24"/>
        <v>6480</v>
      </c>
      <c r="C224" s="184">
        <f t="shared" si="25"/>
        <v>6480</v>
      </c>
      <c r="D224" s="176">
        <f t="shared" si="26"/>
        <v>6480</v>
      </c>
      <c r="E224" s="35" t="str">
        <f t="shared" si="27"/>
        <v/>
      </c>
      <c r="F224" s="35" t="str">
        <f t="shared" si="27"/>
        <v/>
      </c>
      <c r="G224" s="35" t="str">
        <f t="shared" si="27"/>
        <v/>
      </c>
      <c r="H224" s="167" t="str">
        <f t="shared" si="28"/>
        <v/>
      </c>
    </row>
    <row r="225" spans="1:8">
      <c r="A225" s="170">
        <f t="shared" si="23"/>
        <v>200</v>
      </c>
      <c r="B225" s="170">
        <f t="shared" si="24"/>
        <v>6912</v>
      </c>
      <c r="C225" s="184">
        <f t="shared" si="25"/>
        <v>6912</v>
      </c>
      <c r="D225" s="176">
        <f t="shared" si="26"/>
        <v>6912</v>
      </c>
      <c r="E225" s="35" t="str">
        <f t="shared" si="27"/>
        <v/>
      </c>
      <c r="F225" s="35" t="str">
        <f t="shared" si="27"/>
        <v/>
      </c>
      <c r="G225" s="35" t="str">
        <f t="shared" si="27"/>
        <v/>
      </c>
      <c r="H225" s="167" t="str">
        <f t="shared" si="28"/>
        <v/>
      </c>
    </row>
    <row r="226" spans="1:8">
      <c r="A226" s="170">
        <f t="shared" si="23"/>
        <v>201</v>
      </c>
      <c r="B226" s="170">
        <f t="shared" si="24"/>
        <v>7344</v>
      </c>
      <c r="C226" s="184">
        <f t="shared" si="25"/>
        <v>7344</v>
      </c>
      <c r="D226" s="176">
        <f t="shared" si="26"/>
        <v>7344</v>
      </c>
      <c r="E226" s="35" t="str">
        <f t="shared" si="27"/>
        <v/>
      </c>
      <c r="F226" s="35" t="str">
        <f t="shared" si="27"/>
        <v/>
      </c>
      <c r="G226" s="35" t="str">
        <f t="shared" si="27"/>
        <v/>
      </c>
      <c r="H226" s="167" t="str">
        <f t="shared" si="28"/>
        <v/>
      </c>
    </row>
    <row r="227" spans="1:8">
      <c r="A227" s="170">
        <f t="shared" si="23"/>
        <v>202</v>
      </c>
      <c r="B227" s="170">
        <f t="shared" si="24"/>
        <v>7776</v>
      </c>
      <c r="C227" s="184">
        <f t="shared" si="25"/>
        <v>7776</v>
      </c>
      <c r="D227" s="176">
        <f t="shared" si="26"/>
        <v>7776</v>
      </c>
      <c r="E227" s="35" t="str">
        <f t="shared" si="27"/>
        <v/>
      </c>
      <c r="F227" s="35" t="str">
        <f t="shared" si="27"/>
        <v/>
      </c>
      <c r="G227" s="35" t="str">
        <f t="shared" si="27"/>
        <v/>
      </c>
      <c r="H227" s="167" t="str">
        <f t="shared" si="28"/>
        <v/>
      </c>
    </row>
    <row r="228" spans="1:8">
      <c r="A228" s="170">
        <f t="shared" si="23"/>
        <v>203</v>
      </c>
      <c r="B228" s="170">
        <f t="shared" si="24"/>
        <v>8208</v>
      </c>
      <c r="C228" s="184">
        <f t="shared" si="25"/>
        <v>8208</v>
      </c>
      <c r="D228" s="176">
        <f t="shared" si="26"/>
        <v>8208</v>
      </c>
      <c r="E228" s="35" t="str">
        <f t="shared" si="27"/>
        <v/>
      </c>
      <c r="F228" s="35" t="str">
        <f t="shared" si="27"/>
        <v/>
      </c>
      <c r="G228" s="35" t="str">
        <f t="shared" si="27"/>
        <v/>
      </c>
      <c r="H228" s="167" t="str">
        <f t="shared" si="28"/>
        <v/>
      </c>
    </row>
    <row r="229" spans="1:8">
      <c r="A229" s="170">
        <f t="shared" si="23"/>
        <v>204</v>
      </c>
      <c r="B229" s="170">
        <f t="shared" si="24"/>
        <v>8640</v>
      </c>
      <c r="C229" s="184">
        <f t="shared" si="25"/>
        <v>8640</v>
      </c>
      <c r="D229" s="176">
        <f t="shared" si="26"/>
        <v>8640</v>
      </c>
      <c r="E229" s="35" t="str">
        <f t="shared" si="27"/>
        <v/>
      </c>
      <c r="F229" s="35" t="str">
        <f t="shared" si="27"/>
        <v/>
      </c>
      <c r="G229" s="35" t="str">
        <f t="shared" si="27"/>
        <v/>
      </c>
      <c r="H229" s="167" t="str">
        <f t="shared" si="28"/>
        <v/>
      </c>
    </row>
    <row r="230" spans="1:8">
      <c r="A230" s="170">
        <f t="shared" si="23"/>
        <v>205</v>
      </c>
      <c r="B230" s="170">
        <f t="shared" si="24"/>
        <v>9072</v>
      </c>
      <c r="C230" s="184">
        <f t="shared" si="25"/>
        <v>9072</v>
      </c>
      <c r="D230" s="176">
        <f t="shared" si="26"/>
        <v>9072</v>
      </c>
      <c r="E230" s="35" t="str">
        <f t="shared" si="27"/>
        <v/>
      </c>
      <c r="F230" s="35" t="str">
        <f t="shared" si="27"/>
        <v/>
      </c>
      <c r="G230" s="35" t="str">
        <f t="shared" si="27"/>
        <v/>
      </c>
      <c r="H230" s="167" t="str">
        <f t="shared" si="28"/>
        <v/>
      </c>
    </row>
    <row r="231" spans="1:8">
      <c r="A231" s="170">
        <f t="shared" si="23"/>
        <v>206</v>
      </c>
      <c r="B231" s="170">
        <f t="shared" si="24"/>
        <v>9504</v>
      </c>
      <c r="C231" s="184">
        <f t="shared" si="25"/>
        <v>9504</v>
      </c>
      <c r="D231" s="176">
        <f t="shared" si="26"/>
        <v>9504</v>
      </c>
      <c r="E231" s="35" t="str">
        <f t="shared" si="27"/>
        <v/>
      </c>
      <c r="F231" s="35" t="str">
        <f t="shared" si="27"/>
        <v/>
      </c>
      <c r="G231" s="35" t="str">
        <f t="shared" si="27"/>
        <v/>
      </c>
      <c r="H231" s="167" t="str">
        <f t="shared" si="28"/>
        <v/>
      </c>
    </row>
    <row r="232" spans="1:8">
      <c r="A232" s="170">
        <f t="shared" si="23"/>
        <v>207</v>
      </c>
      <c r="B232" s="170">
        <f t="shared" si="24"/>
        <v>9936</v>
      </c>
      <c r="C232" s="184">
        <f t="shared" si="25"/>
        <v>9936</v>
      </c>
      <c r="D232" s="176">
        <f t="shared" si="26"/>
        <v>9936</v>
      </c>
      <c r="E232" s="35" t="str">
        <f t="shared" si="27"/>
        <v/>
      </c>
      <c r="F232" s="35" t="str">
        <f t="shared" si="27"/>
        <v/>
      </c>
      <c r="G232" s="35" t="str">
        <f t="shared" si="27"/>
        <v/>
      </c>
      <c r="H232" s="167" t="str">
        <f t="shared" si="28"/>
        <v/>
      </c>
    </row>
    <row r="233" spans="1:8">
      <c r="A233" s="170">
        <f t="shared" si="23"/>
        <v>208</v>
      </c>
      <c r="B233" s="170">
        <f t="shared" si="24"/>
        <v>10368</v>
      </c>
      <c r="C233" s="184">
        <f t="shared" si="25"/>
        <v>10368</v>
      </c>
      <c r="D233" s="176">
        <f t="shared" si="26"/>
        <v>10368</v>
      </c>
      <c r="E233" s="35" t="str">
        <f t="shared" si="27"/>
        <v/>
      </c>
      <c r="F233" s="35" t="str">
        <f t="shared" si="27"/>
        <v/>
      </c>
      <c r="G233" s="35" t="str">
        <f t="shared" si="27"/>
        <v/>
      </c>
      <c r="H233" s="167" t="str">
        <f t="shared" si="28"/>
        <v/>
      </c>
    </row>
    <row r="234" spans="1:8">
      <c r="A234" s="170">
        <f t="shared" si="23"/>
        <v>209</v>
      </c>
      <c r="B234" s="170">
        <f t="shared" si="24"/>
        <v>10800</v>
      </c>
      <c r="C234" s="184">
        <f t="shared" si="25"/>
        <v>10800</v>
      </c>
      <c r="D234" s="176">
        <f t="shared" si="26"/>
        <v>10800</v>
      </c>
      <c r="E234" s="35" t="str">
        <f t="shared" si="27"/>
        <v/>
      </c>
      <c r="F234" s="35" t="str">
        <f t="shared" si="27"/>
        <v/>
      </c>
      <c r="G234" s="35" t="str">
        <f t="shared" si="27"/>
        <v/>
      </c>
      <c r="H234" s="167" t="str">
        <f t="shared" si="28"/>
        <v/>
      </c>
    </row>
    <row r="235" spans="1:8">
      <c r="A235" s="170">
        <f t="shared" si="23"/>
        <v>210</v>
      </c>
      <c r="B235" s="170">
        <f t="shared" si="24"/>
        <v>11232</v>
      </c>
      <c r="C235" s="184">
        <f t="shared" si="25"/>
        <v>11232</v>
      </c>
      <c r="D235" s="176">
        <f t="shared" si="26"/>
        <v>11232</v>
      </c>
      <c r="E235" s="35" t="str">
        <f t="shared" si="27"/>
        <v/>
      </c>
      <c r="F235" s="35" t="str">
        <f t="shared" si="27"/>
        <v/>
      </c>
      <c r="G235" s="35" t="str">
        <f t="shared" si="27"/>
        <v/>
      </c>
      <c r="H235" s="167" t="str">
        <f t="shared" si="28"/>
        <v/>
      </c>
    </row>
    <row r="236" spans="1:8">
      <c r="A236" s="170">
        <f t="shared" si="23"/>
        <v>211</v>
      </c>
      <c r="B236" s="170">
        <f t="shared" si="24"/>
        <v>11664</v>
      </c>
      <c r="C236" s="184">
        <f t="shared" si="25"/>
        <v>11664</v>
      </c>
      <c r="D236" s="176">
        <f t="shared" si="26"/>
        <v>11664</v>
      </c>
      <c r="E236" s="35" t="str">
        <f t="shared" si="27"/>
        <v/>
      </c>
      <c r="F236" s="35" t="str">
        <f t="shared" si="27"/>
        <v/>
      </c>
      <c r="G236" s="35" t="str">
        <f t="shared" si="27"/>
        <v/>
      </c>
      <c r="H236" s="167" t="str">
        <f t="shared" si="28"/>
        <v/>
      </c>
    </row>
    <row r="237" spans="1:8">
      <c r="A237" s="170">
        <f t="shared" si="23"/>
        <v>212</v>
      </c>
      <c r="B237" s="170">
        <f t="shared" si="24"/>
        <v>12096</v>
      </c>
      <c r="C237" s="184">
        <f t="shared" si="25"/>
        <v>12096</v>
      </c>
      <c r="D237" s="176">
        <f t="shared" si="26"/>
        <v>12096</v>
      </c>
      <c r="E237" s="35" t="str">
        <f t="shared" si="27"/>
        <v/>
      </c>
      <c r="F237" s="35" t="str">
        <f t="shared" si="27"/>
        <v/>
      </c>
      <c r="G237" s="35" t="str">
        <f t="shared" si="27"/>
        <v/>
      </c>
      <c r="H237" s="167" t="str">
        <f t="shared" si="28"/>
        <v/>
      </c>
    </row>
    <row r="238" spans="1:8">
      <c r="A238" s="170">
        <f t="shared" si="23"/>
        <v>213</v>
      </c>
      <c r="B238" s="170">
        <f t="shared" si="24"/>
        <v>12528</v>
      </c>
      <c r="C238" s="184">
        <f t="shared" si="25"/>
        <v>12528</v>
      </c>
      <c r="D238" s="176">
        <f t="shared" si="26"/>
        <v>12528</v>
      </c>
      <c r="E238" s="35" t="str">
        <f t="shared" si="27"/>
        <v/>
      </c>
      <c r="F238" s="35" t="str">
        <f t="shared" si="27"/>
        <v/>
      </c>
      <c r="G238" s="35" t="str">
        <f t="shared" si="27"/>
        <v/>
      </c>
      <c r="H238" s="167" t="str">
        <f t="shared" si="28"/>
        <v/>
      </c>
    </row>
    <row r="239" spans="1:8">
      <c r="A239" s="170">
        <f t="shared" si="23"/>
        <v>214</v>
      </c>
      <c r="B239" s="170">
        <f t="shared" si="24"/>
        <v>12960</v>
      </c>
      <c r="C239" s="184">
        <f t="shared" si="25"/>
        <v>12960</v>
      </c>
      <c r="D239" s="176">
        <f t="shared" si="26"/>
        <v>12960</v>
      </c>
      <c r="E239" s="35" t="str">
        <f t="shared" si="27"/>
        <v/>
      </c>
      <c r="F239" s="35" t="str">
        <f t="shared" si="27"/>
        <v/>
      </c>
      <c r="G239" s="35" t="str">
        <f t="shared" si="27"/>
        <v/>
      </c>
      <c r="H239" s="167" t="str">
        <f t="shared" si="28"/>
        <v/>
      </c>
    </row>
    <row r="240" spans="1:8">
      <c r="A240" s="170">
        <f t="shared" si="23"/>
        <v>215</v>
      </c>
      <c r="B240" s="170">
        <f t="shared" si="24"/>
        <v>13392</v>
      </c>
      <c r="C240" s="184">
        <f t="shared" si="25"/>
        <v>13392</v>
      </c>
      <c r="D240" s="176">
        <f t="shared" si="26"/>
        <v>13392</v>
      </c>
      <c r="E240" s="35" t="str">
        <f t="shared" si="27"/>
        <v/>
      </c>
      <c r="F240" s="35" t="str">
        <f t="shared" si="27"/>
        <v/>
      </c>
      <c r="G240" s="35" t="str">
        <f t="shared" si="27"/>
        <v/>
      </c>
      <c r="H240" s="167" t="str">
        <f t="shared" si="28"/>
        <v/>
      </c>
    </row>
    <row r="241" spans="1:8">
      <c r="A241" s="170">
        <f t="shared" si="23"/>
        <v>216</v>
      </c>
      <c r="B241" s="170">
        <f t="shared" si="24"/>
        <v>13824</v>
      </c>
      <c r="C241" s="184">
        <f t="shared" si="25"/>
        <v>13824</v>
      </c>
      <c r="D241" s="176">
        <f t="shared" si="26"/>
        <v>13824</v>
      </c>
      <c r="E241" s="35" t="str">
        <f t="shared" si="27"/>
        <v/>
      </c>
      <c r="F241" s="35" t="str">
        <f t="shared" si="27"/>
        <v/>
      </c>
      <c r="G241" s="35" t="str">
        <f t="shared" si="27"/>
        <v/>
      </c>
      <c r="H241" s="167" t="str">
        <f t="shared" si="28"/>
        <v/>
      </c>
    </row>
    <row r="242" spans="1:8">
      <c r="A242" s="170">
        <f t="shared" si="23"/>
        <v>217</v>
      </c>
      <c r="B242" s="170">
        <f t="shared" si="24"/>
        <v>14256</v>
      </c>
      <c r="C242" s="184">
        <f t="shared" si="25"/>
        <v>14256</v>
      </c>
      <c r="D242" s="176">
        <f t="shared" si="26"/>
        <v>14256</v>
      </c>
      <c r="E242" s="35" t="str">
        <f t="shared" si="27"/>
        <v/>
      </c>
      <c r="F242" s="35" t="str">
        <f t="shared" si="27"/>
        <v/>
      </c>
      <c r="G242" s="35" t="str">
        <f t="shared" si="27"/>
        <v/>
      </c>
      <c r="H242" s="167" t="str">
        <f t="shared" si="28"/>
        <v/>
      </c>
    </row>
    <row r="243" spans="1:8">
      <c r="A243" s="170">
        <f t="shared" si="23"/>
        <v>218</v>
      </c>
      <c r="B243" s="170">
        <f t="shared" si="24"/>
        <v>14688</v>
      </c>
      <c r="C243" s="184">
        <f t="shared" si="25"/>
        <v>14688</v>
      </c>
      <c r="D243" s="176">
        <f t="shared" si="26"/>
        <v>14688</v>
      </c>
      <c r="E243" s="35" t="str">
        <f t="shared" si="27"/>
        <v/>
      </c>
      <c r="F243" s="35" t="str">
        <f t="shared" si="27"/>
        <v/>
      </c>
      <c r="G243" s="35" t="str">
        <f t="shared" si="27"/>
        <v/>
      </c>
      <c r="H243" s="167" t="str">
        <f t="shared" si="28"/>
        <v/>
      </c>
    </row>
    <row r="244" spans="1:8">
      <c r="A244" s="170">
        <f t="shared" si="23"/>
        <v>219</v>
      </c>
      <c r="B244" s="170">
        <f t="shared" si="24"/>
        <v>15120</v>
      </c>
      <c r="C244" s="184">
        <f t="shared" si="25"/>
        <v>15120</v>
      </c>
      <c r="D244" s="176">
        <f t="shared" si="26"/>
        <v>15120</v>
      </c>
      <c r="E244" s="35" t="str">
        <f t="shared" si="27"/>
        <v/>
      </c>
      <c r="F244" s="35" t="str">
        <f t="shared" si="27"/>
        <v/>
      </c>
      <c r="G244" s="35" t="str">
        <f t="shared" si="27"/>
        <v/>
      </c>
      <c r="H244" s="167" t="str">
        <f t="shared" si="28"/>
        <v/>
      </c>
    </row>
    <row r="245" spans="1:8">
      <c r="A245" s="170">
        <f t="shared" si="23"/>
        <v>220</v>
      </c>
      <c r="B245" s="170">
        <f t="shared" si="24"/>
        <v>15552</v>
      </c>
      <c r="C245" s="184">
        <f t="shared" si="25"/>
        <v>15552</v>
      </c>
      <c r="D245" s="176">
        <f t="shared" si="26"/>
        <v>15552</v>
      </c>
      <c r="E245" s="35" t="str">
        <f t="shared" si="27"/>
        <v/>
      </c>
      <c r="F245" s="35" t="str">
        <f t="shared" si="27"/>
        <v/>
      </c>
      <c r="G245" s="35" t="str">
        <f t="shared" si="27"/>
        <v/>
      </c>
      <c r="H245" s="167" t="str">
        <f t="shared" si="28"/>
        <v/>
      </c>
    </row>
    <row r="246" spans="1:8">
      <c r="A246" s="170">
        <f t="shared" si="23"/>
        <v>221</v>
      </c>
      <c r="B246" s="170">
        <f t="shared" si="24"/>
        <v>15984</v>
      </c>
      <c r="C246" s="184">
        <f t="shared" si="25"/>
        <v>15984</v>
      </c>
      <c r="D246" s="176">
        <f t="shared" si="26"/>
        <v>15984</v>
      </c>
      <c r="E246" s="35" t="str">
        <f t="shared" si="27"/>
        <v/>
      </c>
      <c r="F246" s="35" t="str">
        <f t="shared" si="27"/>
        <v/>
      </c>
      <c r="G246" s="35" t="str">
        <f t="shared" si="27"/>
        <v/>
      </c>
      <c r="H246" s="167" t="str">
        <f t="shared" si="28"/>
        <v/>
      </c>
    </row>
    <row r="247" spans="1:8">
      <c r="A247" s="170">
        <f t="shared" si="23"/>
        <v>222</v>
      </c>
      <c r="B247" s="170">
        <f t="shared" si="24"/>
        <v>16416</v>
      </c>
      <c r="C247" s="184">
        <f t="shared" si="25"/>
        <v>16416</v>
      </c>
      <c r="D247" s="176">
        <f t="shared" si="26"/>
        <v>16416</v>
      </c>
      <c r="E247" s="35" t="str">
        <f t="shared" si="27"/>
        <v/>
      </c>
      <c r="F247" s="35" t="str">
        <f t="shared" si="27"/>
        <v/>
      </c>
      <c r="G247" s="35" t="str">
        <f t="shared" si="27"/>
        <v/>
      </c>
      <c r="H247" s="167" t="str">
        <f t="shared" si="28"/>
        <v/>
      </c>
    </row>
    <row r="248" spans="1:8">
      <c r="A248" s="170">
        <f t="shared" si="23"/>
        <v>223</v>
      </c>
      <c r="B248" s="170">
        <f t="shared" si="24"/>
        <v>16848</v>
      </c>
      <c r="C248" s="184">
        <f t="shared" si="25"/>
        <v>16848</v>
      </c>
      <c r="D248" s="176">
        <f t="shared" si="26"/>
        <v>16848</v>
      </c>
      <c r="E248" s="35" t="str">
        <f t="shared" si="27"/>
        <v/>
      </c>
      <c r="F248" s="35" t="str">
        <f t="shared" si="27"/>
        <v/>
      </c>
      <c r="G248" s="35" t="str">
        <f t="shared" si="27"/>
        <v/>
      </c>
      <c r="H248" s="167" t="str">
        <f t="shared" si="28"/>
        <v/>
      </c>
    </row>
    <row r="249" spans="1:8">
      <c r="A249" s="170">
        <f t="shared" si="23"/>
        <v>224</v>
      </c>
      <c r="B249" s="170">
        <f t="shared" si="24"/>
        <v>17280</v>
      </c>
      <c r="C249" s="184">
        <f t="shared" si="25"/>
        <v>17280</v>
      </c>
      <c r="D249" s="176">
        <f t="shared" si="26"/>
        <v>17280</v>
      </c>
      <c r="E249" s="35" t="str">
        <f t="shared" si="27"/>
        <v/>
      </c>
      <c r="F249" s="35" t="str">
        <f t="shared" si="27"/>
        <v/>
      </c>
      <c r="G249" s="35" t="str">
        <f t="shared" si="27"/>
        <v/>
      </c>
      <c r="H249" s="167" t="str">
        <f t="shared" si="28"/>
        <v/>
      </c>
    </row>
    <row r="250" spans="1:8">
      <c r="A250" s="170">
        <f t="shared" si="23"/>
        <v>225</v>
      </c>
      <c r="B250" s="170">
        <f t="shared" si="24"/>
        <v>17712</v>
      </c>
      <c r="C250" s="184">
        <f t="shared" si="25"/>
        <v>17712</v>
      </c>
      <c r="D250" s="176">
        <f t="shared" si="26"/>
        <v>17712</v>
      </c>
      <c r="E250" s="35" t="str">
        <f t="shared" si="27"/>
        <v/>
      </c>
      <c r="F250" s="35" t="str">
        <f t="shared" si="27"/>
        <v/>
      </c>
      <c r="G250" s="35" t="str">
        <f t="shared" si="27"/>
        <v/>
      </c>
      <c r="H250" s="167" t="str">
        <f t="shared" si="28"/>
        <v/>
      </c>
    </row>
    <row r="251" spans="1:8">
      <c r="A251" s="170">
        <f t="shared" si="23"/>
        <v>226</v>
      </c>
      <c r="B251" s="170">
        <f t="shared" si="24"/>
        <v>18144</v>
      </c>
      <c r="C251" s="184">
        <f t="shared" si="25"/>
        <v>18144</v>
      </c>
      <c r="D251" s="176">
        <f t="shared" si="26"/>
        <v>18144</v>
      </c>
      <c r="E251" s="35" t="str">
        <f t="shared" si="27"/>
        <v/>
      </c>
      <c r="F251" s="35" t="str">
        <f t="shared" si="27"/>
        <v/>
      </c>
      <c r="G251" s="35" t="str">
        <f t="shared" si="27"/>
        <v/>
      </c>
      <c r="H251" s="167" t="str">
        <f t="shared" si="28"/>
        <v/>
      </c>
    </row>
    <row r="252" spans="1:8">
      <c r="A252" s="170">
        <f t="shared" si="23"/>
        <v>227</v>
      </c>
      <c r="B252" s="170">
        <f t="shared" si="24"/>
        <v>18576</v>
      </c>
      <c r="C252" s="184">
        <f t="shared" si="25"/>
        <v>18576</v>
      </c>
      <c r="D252" s="176">
        <f t="shared" si="26"/>
        <v>18576</v>
      </c>
      <c r="E252" s="35" t="str">
        <f t="shared" si="27"/>
        <v/>
      </c>
      <c r="F252" s="35" t="str">
        <f t="shared" si="27"/>
        <v/>
      </c>
      <c r="G252" s="35" t="str">
        <f t="shared" si="27"/>
        <v/>
      </c>
      <c r="H252" s="167" t="str">
        <f t="shared" si="28"/>
        <v/>
      </c>
    </row>
    <row r="253" spans="1:8">
      <c r="A253" s="170">
        <f t="shared" si="23"/>
        <v>228</v>
      </c>
      <c r="B253" s="170">
        <f t="shared" si="24"/>
        <v>19008</v>
      </c>
      <c r="C253" s="184">
        <f t="shared" si="25"/>
        <v>19008</v>
      </c>
      <c r="D253" s="176">
        <f t="shared" si="26"/>
        <v>19008</v>
      </c>
      <c r="E253" s="35" t="str">
        <f t="shared" si="27"/>
        <v/>
      </c>
      <c r="F253" s="35" t="str">
        <f t="shared" si="27"/>
        <v/>
      </c>
      <c r="G253" s="35" t="str">
        <f t="shared" si="27"/>
        <v/>
      </c>
      <c r="H253" s="167" t="str">
        <f t="shared" si="28"/>
        <v/>
      </c>
    </row>
    <row r="254" spans="1:8">
      <c r="A254" s="170">
        <f t="shared" si="23"/>
        <v>229</v>
      </c>
      <c r="B254" s="170">
        <f t="shared" si="24"/>
        <v>19440</v>
      </c>
      <c r="C254" s="184">
        <f t="shared" si="25"/>
        <v>19440</v>
      </c>
      <c r="D254" s="176">
        <f t="shared" si="26"/>
        <v>19440</v>
      </c>
      <c r="E254" s="35" t="str">
        <f t="shared" si="27"/>
        <v/>
      </c>
      <c r="F254" s="35" t="str">
        <f t="shared" si="27"/>
        <v/>
      </c>
      <c r="G254" s="35" t="str">
        <f t="shared" si="27"/>
        <v/>
      </c>
      <c r="H254" s="167" t="str">
        <f t="shared" si="28"/>
        <v/>
      </c>
    </row>
    <row r="255" spans="1:8">
      <c r="A255" s="170">
        <f t="shared" si="23"/>
        <v>230</v>
      </c>
      <c r="B255" s="170">
        <f t="shared" si="24"/>
        <v>19872</v>
      </c>
      <c r="C255" s="184">
        <f t="shared" si="25"/>
        <v>19872</v>
      </c>
      <c r="D255" s="176">
        <f t="shared" si="26"/>
        <v>19872</v>
      </c>
      <c r="E255" s="35" t="str">
        <f t="shared" si="27"/>
        <v/>
      </c>
      <c r="F255" s="35" t="str">
        <f t="shared" si="27"/>
        <v/>
      </c>
      <c r="G255" s="35" t="str">
        <f t="shared" si="27"/>
        <v/>
      </c>
      <c r="H255" s="167" t="str">
        <f t="shared" si="28"/>
        <v/>
      </c>
    </row>
    <row r="256" spans="1:8">
      <c r="A256" s="170">
        <f t="shared" si="23"/>
        <v>231</v>
      </c>
      <c r="B256" s="170">
        <f t="shared" si="24"/>
        <v>432</v>
      </c>
      <c r="C256" s="184">
        <f t="shared" si="25"/>
        <v>432</v>
      </c>
      <c r="D256" s="176">
        <f t="shared" si="26"/>
        <v>432</v>
      </c>
      <c r="E256" s="35">
        <f t="shared" si="27"/>
        <v>1</v>
      </c>
      <c r="F256" s="35">
        <f t="shared" si="27"/>
        <v>1</v>
      </c>
      <c r="G256" s="35">
        <f t="shared" si="27"/>
        <v>1</v>
      </c>
      <c r="H256" s="167">
        <f t="shared" si="28"/>
        <v>1</v>
      </c>
    </row>
    <row r="257" spans="1:8">
      <c r="A257" s="170">
        <f t="shared" si="23"/>
        <v>232</v>
      </c>
      <c r="B257" s="170">
        <f t="shared" si="24"/>
        <v>864</v>
      </c>
      <c r="C257" s="184">
        <f t="shared" si="25"/>
        <v>864</v>
      </c>
      <c r="D257" s="176">
        <f t="shared" si="26"/>
        <v>864</v>
      </c>
      <c r="E257" s="35" t="str">
        <f t="shared" si="27"/>
        <v/>
      </c>
      <c r="F257" s="35" t="str">
        <f t="shared" si="27"/>
        <v/>
      </c>
      <c r="G257" s="35" t="str">
        <f t="shared" si="27"/>
        <v/>
      </c>
      <c r="H257" s="167" t="str">
        <f t="shared" si="28"/>
        <v/>
      </c>
    </row>
    <row r="258" spans="1:8">
      <c r="A258" s="170">
        <f t="shared" si="23"/>
        <v>233</v>
      </c>
      <c r="B258" s="170">
        <f t="shared" si="24"/>
        <v>1296</v>
      </c>
      <c r="C258" s="184">
        <f t="shared" si="25"/>
        <v>1296</v>
      </c>
      <c r="D258" s="176">
        <f t="shared" si="26"/>
        <v>1296</v>
      </c>
      <c r="E258" s="35" t="str">
        <f t="shared" si="27"/>
        <v/>
      </c>
      <c r="F258" s="35" t="str">
        <f t="shared" si="27"/>
        <v/>
      </c>
      <c r="G258" s="35" t="str">
        <f t="shared" si="27"/>
        <v/>
      </c>
      <c r="H258" s="167" t="str">
        <f t="shared" si="28"/>
        <v/>
      </c>
    </row>
    <row r="259" spans="1:8">
      <c r="A259" s="170">
        <f t="shared" si="23"/>
        <v>234</v>
      </c>
      <c r="B259" s="170">
        <f t="shared" si="24"/>
        <v>1728</v>
      </c>
      <c r="C259" s="184">
        <f t="shared" si="25"/>
        <v>1728</v>
      </c>
      <c r="D259" s="176">
        <f t="shared" si="26"/>
        <v>1728</v>
      </c>
      <c r="E259" s="35" t="str">
        <f t="shared" si="27"/>
        <v/>
      </c>
      <c r="F259" s="35" t="str">
        <f t="shared" si="27"/>
        <v/>
      </c>
      <c r="G259" s="35" t="str">
        <f t="shared" si="27"/>
        <v/>
      </c>
      <c r="H259" s="167" t="str">
        <f t="shared" si="28"/>
        <v/>
      </c>
    </row>
    <row r="260" spans="1:8">
      <c r="A260" s="170">
        <f t="shared" si="23"/>
        <v>235</v>
      </c>
      <c r="B260" s="170">
        <f t="shared" si="24"/>
        <v>2160</v>
      </c>
      <c r="C260" s="184">
        <f t="shared" si="25"/>
        <v>2160</v>
      </c>
      <c r="D260" s="176">
        <f t="shared" si="26"/>
        <v>2160</v>
      </c>
      <c r="E260" s="35" t="str">
        <f t="shared" si="27"/>
        <v/>
      </c>
      <c r="F260" s="35" t="str">
        <f t="shared" si="27"/>
        <v/>
      </c>
      <c r="G260" s="35" t="str">
        <f t="shared" si="27"/>
        <v/>
      </c>
      <c r="H260" s="167" t="str">
        <f t="shared" si="28"/>
        <v/>
      </c>
    </row>
    <row r="261" spans="1:8">
      <c r="A261" s="170">
        <f t="shared" si="23"/>
        <v>236</v>
      </c>
      <c r="B261" s="170">
        <f t="shared" si="24"/>
        <v>2592</v>
      </c>
      <c r="C261" s="184">
        <f t="shared" si="25"/>
        <v>2592</v>
      </c>
      <c r="D261" s="176">
        <f t="shared" si="26"/>
        <v>2592</v>
      </c>
      <c r="E261" s="35" t="str">
        <f t="shared" si="27"/>
        <v/>
      </c>
      <c r="F261" s="35" t="str">
        <f t="shared" si="27"/>
        <v/>
      </c>
      <c r="G261" s="35" t="str">
        <f t="shared" si="27"/>
        <v/>
      </c>
      <c r="H261" s="167" t="str">
        <f t="shared" si="28"/>
        <v/>
      </c>
    </row>
    <row r="262" spans="1:8">
      <c r="A262" s="170">
        <f t="shared" si="23"/>
        <v>237</v>
      </c>
      <c r="B262" s="170">
        <f t="shared" si="24"/>
        <v>3024</v>
      </c>
      <c r="C262" s="184">
        <f t="shared" si="25"/>
        <v>3024</v>
      </c>
      <c r="D262" s="176">
        <f t="shared" si="26"/>
        <v>3024</v>
      </c>
      <c r="E262" s="35" t="str">
        <f t="shared" si="27"/>
        <v/>
      </c>
      <c r="F262" s="35" t="str">
        <f t="shared" si="27"/>
        <v/>
      </c>
      <c r="G262" s="35" t="str">
        <f t="shared" si="27"/>
        <v/>
      </c>
      <c r="H262" s="167" t="str">
        <f t="shared" si="28"/>
        <v/>
      </c>
    </row>
    <row r="263" spans="1:8">
      <c r="A263" s="170">
        <f t="shared" si="23"/>
        <v>238</v>
      </c>
      <c r="B263" s="170">
        <f t="shared" si="24"/>
        <v>3456</v>
      </c>
      <c r="C263" s="184">
        <f t="shared" si="25"/>
        <v>3456</v>
      </c>
      <c r="D263" s="176">
        <f t="shared" si="26"/>
        <v>3456</v>
      </c>
      <c r="E263" s="35" t="str">
        <f t="shared" si="27"/>
        <v/>
      </c>
      <c r="F263" s="35" t="str">
        <f t="shared" si="27"/>
        <v/>
      </c>
      <c r="G263" s="35" t="str">
        <f t="shared" si="27"/>
        <v/>
      </c>
      <c r="H263" s="167" t="str">
        <f t="shared" si="28"/>
        <v/>
      </c>
    </row>
    <row r="264" spans="1:8">
      <c r="A264" s="170">
        <f t="shared" si="23"/>
        <v>239</v>
      </c>
      <c r="B264" s="170">
        <f t="shared" si="24"/>
        <v>3888</v>
      </c>
      <c r="C264" s="184">
        <f t="shared" si="25"/>
        <v>3888</v>
      </c>
      <c r="D264" s="176">
        <f t="shared" si="26"/>
        <v>3888</v>
      </c>
      <c r="E264" s="35" t="str">
        <f t="shared" si="27"/>
        <v/>
      </c>
      <c r="F264" s="35" t="str">
        <f t="shared" si="27"/>
        <v/>
      </c>
      <c r="G264" s="35" t="str">
        <f t="shared" si="27"/>
        <v/>
      </c>
      <c r="H264" s="167" t="str">
        <f t="shared" si="28"/>
        <v/>
      </c>
    </row>
    <row r="265" spans="1:8">
      <c r="A265" s="170">
        <f t="shared" si="23"/>
        <v>240</v>
      </c>
      <c r="B265" s="170">
        <f t="shared" si="24"/>
        <v>4320</v>
      </c>
      <c r="C265" s="184">
        <f t="shared" si="25"/>
        <v>4320</v>
      </c>
      <c r="D265" s="176">
        <f t="shared" si="26"/>
        <v>4320</v>
      </c>
      <c r="E265" s="35" t="str">
        <f t="shared" si="27"/>
        <v/>
      </c>
      <c r="F265" s="35" t="str">
        <f t="shared" si="27"/>
        <v/>
      </c>
      <c r="G265" s="35" t="str">
        <f t="shared" si="27"/>
        <v/>
      </c>
      <c r="H265" s="167" t="str">
        <f t="shared" si="28"/>
        <v/>
      </c>
    </row>
    <row r="266" spans="1:8">
      <c r="A266" s="170">
        <f t="shared" si="23"/>
        <v>241</v>
      </c>
      <c r="B266" s="170">
        <f t="shared" si="24"/>
        <v>4752</v>
      </c>
      <c r="C266" s="184">
        <f t="shared" si="25"/>
        <v>4752</v>
      </c>
      <c r="D266" s="176">
        <f t="shared" si="26"/>
        <v>4752</v>
      </c>
      <c r="E266" s="35" t="str">
        <f t="shared" si="27"/>
        <v/>
      </c>
      <c r="F266" s="35" t="str">
        <f t="shared" si="27"/>
        <v/>
      </c>
      <c r="G266" s="35" t="str">
        <f t="shared" si="27"/>
        <v/>
      </c>
      <c r="H266" s="167" t="str">
        <f t="shared" si="28"/>
        <v/>
      </c>
    </row>
    <row r="267" spans="1:8">
      <c r="A267" s="170">
        <f t="shared" si="23"/>
        <v>242</v>
      </c>
      <c r="B267" s="170">
        <f t="shared" si="24"/>
        <v>5184</v>
      </c>
      <c r="C267" s="184">
        <f t="shared" si="25"/>
        <v>5184</v>
      </c>
      <c r="D267" s="176">
        <f t="shared" si="26"/>
        <v>5184</v>
      </c>
      <c r="E267" s="35" t="str">
        <f t="shared" si="27"/>
        <v/>
      </c>
      <c r="F267" s="35" t="str">
        <f t="shared" si="27"/>
        <v/>
      </c>
      <c r="G267" s="35" t="str">
        <f t="shared" si="27"/>
        <v/>
      </c>
      <c r="H267" s="167" t="str">
        <f t="shared" si="28"/>
        <v/>
      </c>
    </row>
    <row r="268" spans="1:8">
      <c r="A268" s="170">
        <f t="shared" si="23"/>
        <v>243</v>
      </c>
      <c r="B268" s="170">
        <f t="shared" si="24"/>
        <v>5616</v>
      </c>
      <c r="C268" s="184">
        <f t="shared" si="25"/>
        <v>5616</v>
      </c>
      <c r="D268" s="176">
        <f t="shared" si="26"/>
        <v>5616</v>
      </c>
      <c r="E268" s="35" t="str">
        <f t="shared" si="27"/>
        <v/>
      </c>
      <c r="F268" s="35" t="str">
        <f t="shared" si="27"/>
        <v/>
      </c>
      <c r="G268" s="35" t="str">
        <f t="shared" si="27"/>
        <v/>
      </c>
      <c r="H268" s="167" t="str">
        <f t="shared" si="28"/>
        <v/>
      </c>
    </row>
    <row r="269" spans="1:8">
      <c r="A269" s="170">
        <f t="shared" si="23"/>
        <v>244</v>
      </c>
      <c r="B269" s="170">
        <f t="shared" si="24"/>
        <v>6048</v>
      </c>
      <c r="C269" s="184">
        <f t="shared" si="25"/>
        <v>6048</v>
      </c>
      <c r="D269" s="176">
        <f t="shared" si="26"/>
        <v>6048</v>
      </c>
      <c r="E269" s="35" t="str">
        <f t="shared" si="27"/>
        <v/>
      </c>
      <c r="F269" s="35" t="str">
        <f t="shared" si="27"/>
        <v/>
      </c>
      <c r="G269" s="35" t="str">
        <f t="shared" si="27"/>
        <v/>
      </c>
      <c r="H269" s="167" t="str">
        <f t="shared" si="28"/>
        <v/>
      </c>
    </row>
    <row r="270" spans="1:8">
      <c r="A270" s="170">
        <f t="shared" si="23"/>
        <v>245</v>
      </c>
      <c r="B270" s="170">
        <f t="shared" si="24"/>
        <v>6480</v>
      </c>
      <c r="C270" s="184">
        <f t="shared" si="25"/>
        <v>6480</v>
      </c>
      <c r="D270" s="176">
        <f t="shared" si="26"/>
        <v>6480</v>
      </c>
      <c r="E270" s="35" t="str">
        <f t="shared" si="27"/>
        <v/>
      </c>
      <c r="F270" s="35" t="str">
        <f t="shared" si="27"/>
        <v/>
      </c>
      <c r="G270" s="35" t="str">
        <f t="shared" si="27"/>
        <v/>
      </c>
      <c r="H270" s="167" t="str">
        <f t="shared" si="28"/>
        <v/>
      </c>
    </row>
    <row r="271" spans="1:8">
      <c r="A271" s="170">
        <f t="shared" si="23"/>
        <v>246</v>
      </c>
      <c r="B271" s="170">
        <f t="shared" si="24"/>
        <v>6912</v>
      </c>
      <c r="C271" s="184">
        <f t="shared" si="25"/>
        <v>6912</v>
      </c>
      <c r="D271" s="176">
        <f t="shared" si="26"/>
        <v>6912</v>
      </c>
      <c r="E271" s="35" t="str">
        <f t="shared" si="27"/>
        <v/>
      </c>
      <c r="F271" s="35" t="str">
        <f t="shared" si="27"/>
        <v/>
      </c>
      <c r="G271" s="35" t="str">
        <f t="shared" si="27"/>
        <v/>
      </c>
      <c r="H271" s="167" t="str">
        <f t="shared" si="28"/>
        <v/>
      </c>
    </row>
    <row r="272" spans="1:8">
      <c r="A272" s="170">
        <f t="shared" si="23"/>
        <v>247</v>
      </c>
      <c r="B272" s="170">
        <f t="shared" si="24"/>
        <v>7344</v>
      </c>
      <c r="C272" s="184">
        <f t="shared" si="25"/>
        <v>7344</v>
      </c>
      <c r="D272" s="176">
        <f t="shared" si="26"/>
        <v>7344</v>
      </c>
      <c r="E272" s="35" t="str">
        <f t="shared" si="27"/>
        <v/>
      </c>
      <c r="F272" s="35" t="str">
        <f t="shared" si="27"/>
        <v/>
      </c>
      <c r="G272" s="35" t="str">
        <f t="shared" si="27"/>
        <v/>
      </c>
      <c r="H272" s="167" t="str">
        <f t="shared" si="28"/>
        <v/>
      </c>
    </row>
    <row r="273" spans="1:8">
      <c r="A273" s="170">
        <f t="shared" si="23"/>
        <v>248</v>
      </c>
      <c r="B273" s="170">
        <f t="shared" si="24"/>
        <v>7776</v>
      </c>
      <c r="C273" s="184">
        <f t="shared" si="25"/>
        <v>7776</v>
      </c>
      <c r="D273" s="176">
        <f t="shared" si="26"/>
        <v>7776</v>
      </c>
      <c r="E273" s="35" t="str">
        <f t="shared" si="27"/>
        <v/>
      </c>
      <c r="F273" s="35" t="str">
        <f t="shared" si="27"/>
        <v/>
      </c>
      <c r="G273" s="35" t="str">
        <f t="shared" si="27"/>
        <v/>
      </c>
      <c r="H273" s="167" t="str">
        <f t="shared" si="28"/>
        <v/>
      </c>
    </row>
    <row r="274" spans="1:8">
      <c r="A274" s="170">
        <f t="shared" si="23"/>
        <v>249</v>
      </c>
      <c r="B274" s="170">
        <f t="shared" si="24"/>
        <v>8208</v>
      </c>
      <c r="C274" s="184">
        <f t="shared" si="25"/>
        <v>8208</v>
      </c>
      <c r="D274" s="176">
        <f t="shared" si="26"/>
        <v>8208</v>
      </c>
      <c r="E274" s="35" t="str">
        <f t="shared" si="27"/>
        <v/>
      </c>
      <c r="F274" s="35" t="str">
        <f t="shared" si="27"/>
        <v/>
      </c>
      <c r="G274" s="35" t="str">
        <f t="shared" si="27"/>
        <v/>
      </c>
      <c r="H274" s="167" t="str">
        <f t="shared" si="28"/>
        <v/>
      </c>
    </row>
    <row r="275" spans="1:8">
      <c r="A275" s="170">
        <f t="shared" si="23"/>
        <v>250</v>
      </c>
      <c r="B275" s="170">
        <f t="shared" si="24"/>
        <v>8640</v>
      </c>
      <c r="C275" s="184">
        <f t="shared" si="25"/>
        <v>8640</v>
      </c>
      <c r="D275" s="176">
        <f t="shared" si="26"/>
        <v>8640</v>
      </c>
      <c r="E275" s="35" t="str">
        <f t="shared" si="27"/>
        <v/>
      </c>
      <c r="F275" s="35" t="str">
        <f t="shared" si="27"/>
        <v/>
      </c>
      <c r="G275" s="35" t="str">
        <f t="shared" si="27"/>
        <v/>
      </c>
      <c r="H275" s="167" t="str">
        <f t="shared" si="28"/>
        <v/>
      </c>
    </row>
    <row r="276" spans="1:8">
      <c r="A276" s="170">
        <f t="shared" si="23"/>
        <v>251</v>
      </c>
      <c r="B276" s="170">
        <f t="shared" si="24"/>
        <v>9072</v>
      </c>
      <c r="C276" s="184">
        <f t="shared" si="25"/>
        <v>9072</v>
      </c>
      <c r="D276" s="176">
        <f t="shared" si="26"/>
        <v>9072</v>
      </c>
      <c r="E276" s="35" t="str">
        <f t="shared" si="27"/>
        <v/>
      </c>
      <c r="F276" s="35" t="str">
        <f t="shared" si="27"/>
        <v/>
      </c>
      <c r="G276" s="35" t="str">
        <f t="shared" si="27"/>
        <v/>
      </c>
      <c r="H276" s="167" t="str">
        <f t="shared" si="28"/>
        <v/>
      </c>
    </row>
    <row r="277" spans="1:8">
      <c r="A277" s="170">
        <f t="shared" si="23"/>
        <v>252</v>
      </c>
      <c r="B277" s="170">
        <f t="shared" si="24"/>
        <v>9504</v>
      </c>
      <c r="C277" s="184">
        <f t="shared" si="25"/>
        <v>9504</v>
      </c>
      <c r="D277" s="176">
        <f t="shared" si="26"/>
        <v>9504</v>
      </c>
      <c r="E277" s="35" t="str">
        <f t="shared" si="27"/>
        <v/>
      </c>
      <c r="F277" s="35" t="str">
        <f t="shared" si="27"/>
        <v/>
      </c>
      <c r="G277" s="35" t="str">
        <f t="shared" si="27"/>
        <v/>
      </c>
      <c r="H277" s="167" t="str">
        <f t="shared" si="28"/>
        <v/>
      </c>
    </row>
    <row r="278" spans="1:8">
      <c r="A278" s="170">
        <f t="shared" si="23"/>
        <v>253</v>
      </c>
      <c r="B278" s="170">
        <f t="shared" si="24"/>
        <v>9936</v>
      </c>
      <c r="C278" s="184">
        <f t="shared" si="25"/>
        <v>9936</v>
      </c>
      <c r="D278" s="176">
        <f t="shared" si="26"/>
        <v>9936</v>
      </c>
      <c r="E278" s="35" t="str">
        <f t="shared" si="27"/>
        <v/>
      </c>
      <c r="F278" s="35" t="str">
        <f t="shared" si="27"/>
        <v/>
      </c>
      <c r="G278" s="35" t="str">
        <f t="shared" si="27"/>
        <v/>
      </c>
      <c r="H278" s="167" t="str">
        <f t="shared" si="28"/>
        <v/>
      </c>
    </row>
    <row r="279" spans="1:8">
      <c r="A279" s="170">
        <f t="shared" si="23"/>
        <v>254</v>
      </c>
      <c r="B279" s="170">
        <f t="shared" si="24"/>
        <v>10368</v>
      </c>
      <c r="C279" s="184">
        <f t="shared" si="25"/>
        <v>10368</v>
      </c>
      <c r="D279" s="176">
        <f t="shared" si="26"/>
        <v>10368</v>
      </c>
      <c r="E279" s="35" t="str">
        <f t="shared" si="27"/>
        <v/>
      </c>
      <c r="F279" s="35" t="str">
        <f t="shared" si="27"/>
        <v/>
      </c>
      <c r="G279" s="35" t="str">
        <f t="shared" si="27"/>
        <v/>
      </c>
      <c r="H279" s="167" t="str">
        <f t="shared" si="28"/>
        <v/>
      </c>
    </row>
    <row r="280" spans="1:8">
      <c r="A280" s="170">
        <f t="shared" si="23"/>
        <v>255</v>
      </c>
      <c r="B280" s="170">
        <f t="shared" si="24"/>
        <v>10800</v>
      </c>
      <c r="C280" s="184">
        <f t="shared" si="25"/>
        <v>10800</v>
      </c>
      <c r="D280" s="176">
        <f t="shared" si="26"/>
        <v>10800</v>
      </c>
      <c r="E280" s="35" t="str">
        <f t="shared" si="27"/>
        <v/>
      </c>
      <c r="F280" s="35" t="str">
        <f t="shared" si="27"/>
        <v/>
      </c>
      <c r="G280" s="35" t="str">
        <f t="shared" si="27"/>
        <v/>
      </c>
      <c r="H280" s="167" t="str">
        <f t="shared" si="28"/>
        <v/>
      </c>
    </row>
    <row r="281" spans="1:8">
      <c r="A281" s="170">
        <f t="shared" si="23"/>
        <v>256</v>
      </c>
      <c r="B281" s="170">
        <f t="shared" si="24"/>
        <v>11232</v>
      </c>
      <c r="C281" s="184">
        <f t="shared" si="25"/>
        <v>11232</v>
      </c>
      <c r="D281" s="176">
        <f t="shared" si="26"/>
        <v>11232</v>
      </c>
      <c r="E281" s="35" t="str">
        <f t="shared" si="27"/>
        <v/>
      </c>
      <c r="F281" s="35" t="str">
        <f t="shared" si="27"/>
        <v/>
      </c>
      <c r="G281" s="35" t="str">
        <f t="shared" si="27"/>
        <v/>
      </c>
      <c r="H281" s="167" t="str">
        <f t="shared" si="28"/>
        <v/>
      </c>
    </row>
    <row r="282" spans="1:8">
      <c r="A282" s="170">
        <f t="shared" si="23"/>
        <v>257</v>
      </c>
      <c r="B282" s="170">
        <f t="shared" si="24"/>
        <v>11664</v>
      </c>
      <c r="C282" s="184">
        <f t="shared" si="25"/>
        <v>11664</v>
      </c>
      <c r="D282" s="176">
        <f t="shared" si="26"/>
        <v>11664</v>
      </c>
      <c r="E282" s="35" t="str">
        <f t="shared" si="27"/>
        <v/>
      </c>
      <c r="F282" s="35" t="str">
        <f t="shared" si="27"/>
        <v/>
      </c>
      <c r="G282" s="35" t="str">
        <f t="shared" si="27"/>
        <v/>
      </c>
      <c r="H282" s="167" t="str">
        <f t="shared" si="28"/>
        <v/>
      </c>
    </row>
    <row r="283" spans="1:8">
      <c r="A283" s="170">
        <f t="shared" si="23"/>
        <v>258</v>
      </c>
      <c r="B283" s="170">
        <f t="shared" si="24"/>
        <v>12096</v>
      </c>
      <c r="C283" s="184">
        <f t="shared" si="25"/>
        <v>12096</v>
      </c>
      <c r="D283" s="176">
        <f t="shared" si="26"/>
        <v>12096</v>
      </c>
      <c r="E283" s="35" t="str">
        <f t="shared" si="27"/>
        <v/>
      </c>
      <c r="F283" s="35" t="str">
        <f t="shared" si="27"/>
        <v/>
      </c>
      <c r="G283" s="35" t="str">
        <f t="shared" si="27"/>
        <v/>
      </c>
      <c r="H283" s="167" t="str">
        <f t="shared" si="28"/>
        <v/>
      </c>
    </row>
    <row r="284" spans="1:8">
      <c r="A284" s="170">
        <f t="shared" ref="A284:A347" si="29">1+A283</f>
        <v>259</v>
      </c>
      <c r="B284" s="170">
        <f t="shared" ref="B284:B347" si="30">IF($B$14="y",IF(B283+$C$8&gt;$D$14,$C$8,B283+$C$8),"")</f>
        <v>12528</v>
      </c>
      <c r="C284" s="184">
        <f t="shared" ref="C284:C347" si="31">IF($B$15="y",IF(C283+$C$8&gt;$D$15,$C$8,C283+$C$8),"")</f>
        <v>12528</v>
      </c>
      <c r="D284" s="176">
        <f t="shared" ref="D284:D347" si="32">IF($B$16="y",IF(D283+$C$8&gt;$D$16,$C$8,D283+$C$8),"")</f>
        <v>12528</v>
      </c>
      <c r="E284" s="35" t="str">
        <f t="shared" ref="E284:G347" si="33">IF(B284=$C$8,1,"")</f>
        <v/>
      </c>
      <c r="F284" s="35" t="str">
        <f t="shared" si="33"/>
        <v/>
      </c>
      <c r="G284" s="35" t="str">
        <f t="shared" si="33"/>
        <v/>
      </c>
      <c r="H284" s="167" t="str">
        <f t="shared" ref="H284:H347" si="34">IF(SUM(E284:G284)&gt;0,1,"")</f>
        <v/>
      </c>
    </row>
    <row r="285" spans="1:8">
      <c r="A285" s="170">
        <f t="shared" si="29"/>
        <v>260</v>
      </c>
      <c r="B285" s="170">
        <f t="shared" si="30"/>
        <v>12960</v>
      </c>
      <c r="C285" s="184">
        <f t="shared" si="31"/>
        <v>12960</v>
      </c>
      <c r="D285" s="176">
        <f t="shared" si="32"/>
        <v>12960</v>
      </c>
      <c r="E285" s="35" t="str">
        <f t="shared" si="33"/>
        <v/>
      </c>
      <c r="F285" s="35" t="str">
        <f t="shared" si="33"/>
        <v/>
      </c>
      <c r="G285" s="35" t="str">
        <f t="shared" si="33"/>
        <v/>
      </c>
      <c r="H285" s="167" t="str">
        <f t="shared" si="34"/>
        <v/>
      </c>
    </row>
    <row r="286" spans="1:8">
      <c r="A286" s="170">
        <f t="shared" si="29"/>
        <v>261</v>
      </c>
      <c r="B286" s="170">
        <f t="shared" si="30"/>
        <v>13392</v>
      </c>
      <c r="C286" s="184">
        <f t="shared" si="31"/>
        <v>13392</v>
      </c>
      <c r="D286" s="176">
        <f t="shared" si="32"/>
        <v>13392</v>
      </c>
      <c r="E286" s="35" t="str">
        <f t="shared" si="33"/>
        <v/>
      </c>
      <c r="F286" s="35" t="str">
        <f t="shared" si="33"/>
        <v/>
      </c>
      <c r="G286" s="35" t="str">
        <f t="shared" si="33"/>
        <v/>
      </c>
      <c r="H286" s="167" t="str">
        <f t="shared" si="34"/>
        <v/>
      </c>
    </row>
    <row r="287" spans="1:8">
      <c r="A287" s="170">
        <f t="shared" si="29"/>
        <v>262</v>
      </c>
      <c r="B287" s="170">
        <f t="shared" si="30"/>
        <v>13824</v>
      </c>
      <c r="C287" s="184">
        <f t="shared" si="31"/>
        <v>13824</v>
      </c>
      <c r="D287" s="176">
        <f t="shared" si="32"/>
        <v>13824</v>
      </c>
      <c r="E287" s="35" t="str">
        <f t="shared" si="33"/>
        <v/>
      </c>
      <c r="F287" s="35" t="str">
        <f t="shared" si="33"/>
        <v/>
      </c>
      <c r="G287" s="35" t="str">
        <f t="shared" si="33"/>
        <v/>
      </c>
      <c r="H287" s="167" t="str">
        <f t="shared" si="34"/>
        <v/>
      </c>
    </row>
    <row r="288" spans="1:8">
      <c r="A288" s="170">
        <f t="shared" si="29"/>
        <v>263</v>
      </c>
      <c r="B288" s="170">
        <f t="shared" si="30"/>
        <v>14256</v>
      </c>
      <c r="C288" s="184">
        <f t="shared" si="31"/>
        <v>14256</v>
      </c>
      <c r="D288" s="176">
        <f t="shared" si="32"/>
        <v>14256</v>
      </c>
      <c r="E288" s="35" t="str">
        <f t="shared" si="33"/>
        <v/>
      </c>
      <c r="F288" s="35" t="str">
        <f t="shared" si="33"/>
        <v/>
      </c>
      <c r="G288" s="35" t="str">
        <f t="shared" si="33"/>
        <v/>
      </c>
      <c r="H288" s="167" t="str">
        <f t="shared" si="34"/>
        <v/>
      </c>
    </row>
    <row r="289" spans="1:8">
      <c r="A289" s="170">
        <f t="shared" si="29"/>
        <v>264</v>
      </c>
      <c r="B289" s="170">
        <f t="shared" si="30"/>
        <v>14688</v>
      </c>
      <c r="C289" s="184">
        <f t="shared" si="31"/>
        <v>14688</v>
      </c>
      <c r="D289" s="176">
        <f t="shared" si="32"/>
        <v>14688</v>
      </c>
      <c r="E289" s="35" t="str">
        <f t="shared" si="33"/>
        <v/>
      </c>
      <c r="F289" s="35" t="str">
        <f t="shared" si="33"/>
        <v/>
      </c>
      <c r="G289" s="35" t="str">
        <f t="shared" si="33"/>
        <v/>
      </c>
      <c r="H289" s="167" t="str">
        <f t="shared" si="34"/>
        <v/>
      </c>
    </row>
    <row r="290" spans="1:8">
      <c r="A290" s="170">
        <f t="shared" si="29"/>
        <v>265</v>
      </c>
      <c r="B290" s="170">
        <f t="shared" si="30"/>
        <v>15120</v>
      </c>
      <c r="C290" s="184">
        <f t="shared" si="31"/>
        <v>15120</v>
      </c>
      <c r="D290" s="176">
        <f t="shared" si="32"/>
        <v>15120</v>
      </c>
      <c r="E290" s="35" t="str">
        <f t="shared" si="33"/>
        <v/>
      </c>
      <c r="F290" s="35" t="str">
        <f t="shared" si="33"/>
        <v/>
      </c>
      <c r="G290" s="35" t="str">
        <f t="shared" si="33"/>
        <v/>
      </c>
      <c r="H290" s="167" t="str">
        <f t="shared" si="34"/>
        <v/>
      </c>
    </row>
    <row r="291" spans="1:8">
      <c r="A291" s="170">
        <f t="shared" si="29"/>
        <v>266</v>
      </c>
      <c r="B291" s="170">
        <f t="shared" si="30"/>
        <v>15552</v>
      </c>
      <c r="C291" s="184">
        <f t="shared" si="31"/>
        <v>15552</v>
      </c>
      <c r="D291" s="176">
        <f t="shared" si="32"/>
        <v>15552</v>
      </c>
      <c r="E291" s="35" t="str">
        <f t="shared" si="33"/>
        <v/>
      </c>
      <c r="F291" s="35" t="str">
        <f t="shared" si="33"/>
        <v/>
      </c>
      <c r="G291" s="35" t="str">
        <f t="shared" si="33"/>
        <v/>
      </c>
      <c r="H291" s="167" t="str">
        <f t="shared" si="34"/>
        <v/>
      </c>
    </row>
    <row r="292" spans="1:8">
      <c r="A292" s="170">
        <f t="shared" si="29"/>
        <v>267</v>
      </c>
      <c r="B292" s="170">
        <f t="shared" si="30"/>
        <v>15984</v>
      </c>
      <c r="C292" s="184">
        <f t="shared" si="31"/>
        <v>15984</v>
      </c>
      <c r="D292" s="176">
        <f t="shared" si="32"/>
        <v>15984</v>
      </c>
      <c r="E292" s="35" t="str">
        <f t="shared" si="33"/>
        <v/>
      </c>
      <c r="F292" s="35" t="str">
        <f t="shared" si="33"/>
        <v/>
      </c>
      <c r="G292" s="35" t="str">
        <f t="shared" si="33"/>
        <v/>
      </c>
      <c r="H292" s="167" t="str">
        <f t="shared" si="34"/>
        <v/>
      </c>
    </row>
    <row r="293" spans="1:8">
      <c r="A293" s="170">
        <f t="shared" si="29"/>
        <v>268</v>
      </c>
      <c r="B293" s="170">
        <f t="shared" si="30"/>
        <v>16416</v>
      </c>
      <c r="C293" s="184">
        <f t="shared" si="31"/>
        <v>16416</v>
      </c>
      <c r="D293" s="176">
        <f t="shared" si="32"/>
        <v>16416</v>
      </c>
      <c r="E293" s="35" t="str">
        <f t="shared" si="33"/>
        <v/>
      </c>
      <c r="F293" s="35" t="str">
        <f t="shared" si="33"/>
        <v/>
      </c>
      <c r="G293" s="35" t="str">
        <f t="shared" si="33"/>
        <v/>
      </c>
      <c r="H293" s="167" t="str">
        <f t="shared" si="34"/>
        <v/>
      </c>
    </row>
    <row r="294" spans="1:8">
      <c r="A294" s="170">
        <f t="shared" si="29"/>
        <v>269</v>
      </c>
      <c r="B294" s="170">
        <f t="shared" si="30"/>
        <v>16848</v>
      </c>
      <c r="C294" s="184">
        <f t="shared" si="31"/>
        <v>16848</v>
      </c>
      <c r="D294" s="176">
        <f t="shared" si="32"/>
        <v>16848</v>
      </c>
      <c r="E294" s="35" t="str">
        <f t="shared" si="33"/>
        <v/>
      </c>
      <c r="F294" s="35" t="str">
        <f t="shared" si="33"/>
        <v/>
      </c>
      <c r="G294" s="35" t="str">
        <f t="shared" si="33"/>
        <v/>
      </c>
      <c r="H294" s="167" t="str">
        <f t="shared" si="34"/>
        <v/>
      </c>
    </row>
    <row r="295" spans="1:8">
      <c r="A295" s="170">
        <f t="shared" si="29"/>
        <v>270</v>
      </c>
      <c r="B295" s="170">
        <f t="shared" si="30"/>
        <v>17280</v>
      </c>
      <c r="C295" s="184">
        <f t="shared" si="31"/>
        <v>17280</v>
      </c>
      <c r="D295" s="176">
        <f t="shared" si="32"/>
        <v>17280</v>
      </c>
      <c r="E295" s="35" t="str">
        <f t="shared" si="33"/>
        <v/>
      </c>
      <c r="F295" s="35" t="str">
        <f t="shared" si="33"/>
        <v/>
      </c>
      <c r="G295" s="35" t="str">
        <f t="shared" si="33"/>
        <v/>
      </c>
      <c r="H295" s="167" t="str">
        <f t="shared" si="34"/>
        <v/>
      </c>
    </row>
    <row r="296" spans="1:8">
      <c r="A296" s="170">
        <f t="shared" si="29"/>
        <v>271</v>
      </c>
      <c r="B296" s="170">
        <f t="shared" si="30"/>
        <v>17712</v>
      </c>
      <c r="C296" s="184">
        <f t="shared" si="31"/>
        <v>17712</v>
      </c>
      <c r="D296" s="176">
        <f t="shared" si="32"/>
        <v>17712</v>
      </c>
      <c r="E296" s="35" t="str">
        <f t="shared" si="33"/>
        <v/>
      </c>
      <c r="F296" s="35" t="str">
        <f t="shared" si="33"/>
        <v/>
      </c>
      <c r="G296" s="35" t="str">
        <f t="shared" si="33"/>
        <v/>
      </c>
      <c r="H296" s="167" t="str">
        <f t="shared" si="34"/>
        <v/>
      </c>
    </row>
    <row r="297" spans="1:8">
      <c r="A297" s="170">
        <f t="shared" si="29"/>
        <v>272</v>
      </c>
      <c r="B297" s="170">
        <f t="shared" si="30"/>
        <v>18144</v>
      </c>
      <c r="C297" s="184">
        <f t="shared" si="31"/>
        <v>18144</v>
      </c>
      <c r="D297" s="176">
        <f t="shared" si="32"/>
        <v>18144</v>
      </c>
      <c r="E297" s="35" t="str">
        <f t="shared" si="33"/>
        <v/>
      </c>
      <c r="F297" s="35" t="str">
        <f t="shared" si="33"/>
        <v/>
      </c>
      <c r="G297" s="35" t="str">
        <f t="shared" si="33"/>
        <v/>
      </c>
      <c r="H297" s="167" t="str">
        <f t="shared" si="34"/>
        <v/>
      </c>
    </row>
    <row r="298" spans="1:8">
      <c r="A298" s="170">
        <f t="shared" si="29"/>
        <v>273</v>
      </c>
      <c r="B298" s="170">
        <f t="shared" si="30"/>
        <v>18576</v>
      </c>
      <c r="C298" s="184">
        <f t="shared" si="31"/>
        <v>18576</v>
      </c>
      <c r="D298" s="176">
        <f t="shared" si="32"/>
        <v>18576</v>
      </c>
      <c r="E298" s="35" t="str">
        <f t="shared" si="33"/>
        <v/>
      </c>
      <c r="F298" s="35" t="str">
        <f t="shared" si="33"/>
        <v/>
      </c>
      <c r="G298" s="35" t="str">
        <f t="shared" si="33"/>
        <v/>
      </c>
      <c r="H298" s="167" t="str">
        <f t="shared" si="34"/>
        <v/>
      </c>
    </row>
    <row r="299" spans="1:8">
      <c r="A299" s="170">
        <f t="shared" si="29"/>
        <v>274</v>
      </c>
      <c r="B299" s="170">
        <f t="shared" si="30"/>
        <v>19008</v>
      </c>
      <c r="C299" s="184">
        <f t="shared" si="31"/>
        <v>19008</v>
      </c>
      <c r="D299" s="176">
        <f t="shared" si="32"/>
        <v>19008</v>
      </c>
      <c r="E299" s="35" t="str">
        <f t="shared" si="33"/>
        <v/>
      </c>
      <c r="F299" s="35" t="str">
        <f t="shared" si="33"/>
        <v/>
      </c>
      <c r="G299" s="35" t="str">
        <f t="shared" si="33"/>
        <v/>
      </c>
      <c r="H299" s="167" t="str">
        <f t="shared" si="34"/>
        <v/>
      </c>
    </row>
    <row r="300" spans="1:8">
      <c r="A300" s="170">
        <f t="shared" si="29"/>
        <v>275</v>
      </c>
      <c r="B300" s="170">
        <f t="shared" si="30"/>
        <v>19440</v>
      </c>
      <c r="C300" s="184">
        <f t="shared" si="31"/>
        <v>19440</v>
      </c>
      <c r="D300" s="176">
        <f t="shared" si="32"/>
        <v>19440</v>
      </c>
      <c r="E300" s="35" t="str">
        <f t="shared" si="33"/>
        <v/>
      </c>
      <c r="F300" s="35" t="str">
        <f t="shared" si="33"/>
        <v/>
      </c>
      <c r="G300" s="35" t="str">
        <f t="shared" si="33"/>
        <v/>
      </c>
      <c r="H300" s="167" t="str">
        <f t="shared" si="34"/>
        <v/>
      </c>
    </row>
    <row r="301" spans="1:8">
      <c r="A301" s="170">
        <f t="shared" si="29"/>
        <v>276</v>
      </c>
      <c r="B301" s="170">
        <f t="shared" si="30"/>
        <v>19872</v>
      </c>
      <c r="C301" s="184">
        <f t="shared" si="31"/>
        <v>19872</v>
      </c>
      <c r="D301" s="176">
        <f t="shared" si="32"/>
        <v>19872</v>
      </c>
      <c r="E301" s="35" t="str">
        <f t="shared" si="33"/>
        <v/>
      </c>
      <c r="F301" s="35" t="str">
        <f t="shared" si="33"/>
        <v/>
      </c>
      <c r="G301" s="35" t="str">
        <f t="shared" si="33"/>
        <v/>
      </c>
      <c r="H301" s="167" t="str">
        <f t="shared" si="34"/>
        <v/>
      </c>
    </row>
    <row r="302" spans="1:8">
      <c r="A302" s="170">
        <f t="shared" si="29"/>
        <v>277</v>
      </c>
      <c r="B302" s="170">
        <f t="shared" si="30"/>
        <v>432</v>
      </c>
      <c r="C302" s="184">
        <f t="shared" si="31"/>
        <v>432</v>
      </c>
      <c r="D302" s="176">
        <f t="shared" si="32"/>
        <v>432</v>
      </c>
      <c r="E302" s="35">
        <f t="shared" si="33"/>
        <v>1</v>
      </c>
      <c r="F302" s="35">
        <f t="shared" si="33"/>
        <v>1</v>
      </c>
      <c r="G302" s="35">
        <f t="shared" si="33"/>
        <v>1</v>
      </c>
      <c r="H302" s="167">
        <f t="shared" si="34"/>
        <v>1</v>
      </c>
    </row>
    <row r="303" spans="1:8">
      <c r="A303" s="170">
        <f t="shared" si="29"/>
        <v>278</v>
      </c>
      <c r="B303" s="170">
        <f t="shared" si="30"/>
        <v>864</v>
      </c>
      <c r="C303" s="184">
        <f t="shared" si="31"/>
        <v>864</v>
      </c>
      <c r="D303" s="176">
        <f t="shared" si="32"/>
        <v>864</v>
      </c>
      <c r="E303" s="35" t="str">
        <f t="shared" si="33"/>
        <v/>
      </c>
      <c r="F303" s="35" t="str">
        <f t="shared" si="33"/>
        <v/>
      </c>
      <c r="G303" s="35" t="str">
        <f t="shared" si="33"/>
        <v/>
      </c>
      <c r="H303" s="167" t="str">
        <f t="shared" si="34"/>
        <v/>
      </c>
    </row>
    <row r="304" spans="1:8">
      <c r="A304" s="170">
        <f t="shared" si="29"/>
        <v>279</v>
      </c>
      <c r="B304" s="170">
        <f t="shared" si="30"/>
        <v>1296</v>
      </c>
      <c r="C304" s="184">
        <f t="shared" si="31"/>
        <v>1296</v>
      </c>
      <c r="D304" s="176">
        <f t="shared" si="32"/>
        <v>1296</v>
      </c>
      <c r="E304" s="35" t="str">
        <f t="shared" si="33"/>
        <v/>
      </c>
      <c r="F304" s="35" t="str">
        <f t="shared" si="33"/>
        <v/>
      </c>
      <c r="G304" s="35" t="str">
        <f t="shared" si="33"/>
        <v/>
      </c>
      <c r="H304" s="167" t="str">
        <f t="shared" si="34"/>
        <v/>
      </c>
    </row>
    <row r="305" spans="1:8">
      <c r="A305" s="170">
        <f t="shared" si="29"/>
        <v>280</v>
      </c>
      <c r="B305" s="170">
        <f t="shared" si="30"/>
        <v>1728</v>
      </c>
      <c r="C305" s="184">
        <f t="shared" si="31"/>
        <v>1728</v>
      </c>
      <c r="D305" s="176">
        <f t="shared" si="32"/>
        <v>1728</v>
      </c>
      <c r="E305" s="35" t="str">
        <f t="shared" si="33"/>
        <v/>
      </c>
      <c r="F305" s="35" t="str">
        <f t="shared" si="33"/>
        <v/>
      </c>
      <c r="G305" s="35" t="str">
        <f t="shared" si="33"/>
        <v/>
      </c>
      <c r="H305" s="167" t="str">
        <f t="shared" si="34"/>
        <v/>
      </c>
    </row>
    <row r="306" spans="1:8">
      <c r="A306" s="170">
        <f t="shared" si="29"/>
        <v>281</v>
      </c>
      <c r="B306" s="170">
        <f t="shared" si="30"/>
        <v>2160</v>
      </c>
      <c r="C306" s="184">
        <f t="shared" si="31"/>
        <v>2160</v>
      </c>
      <c r="D306" s="176">
        <f t="shared" si="32"/>
        <v>2160</v>
      </c>
      <c r="E306" s="35" t="str">
        <f t="shared" si="33"/>
        <v/>
      </c>
      <c r="F306" s="35" t="str">
        <f t="shared" si="33"/>
        <v/>
      </c>
      <c r="G306" s="35" t="str">
        <f t="shared" si="33"/>
        <v/>
      </c>
      <c r="H306" s="167" t="str">
        <f t="shared" si="34"/>
        <v/>
      </c>
    </row>
    <row r="307" spans="1:8">
      <c r="A307" s="170">
        <f t="shared" si="29"/>
        <v>282</v>
      </c>
      <c r="B307" s="170">
        <f t="shared" si="30"/>
        <v>2592</v>
      </c>
      <c r="C307" s="184">
        <f t="shared" si="31"/>
        <v>2592</v>
      </c>
      <c r="D307" s="176">
        <f t="shared" si="32"/>
        <v>2592</v>
      </c>
      <c r="E307" s="35" t="str">
        <f t="shared" si="33"/>
        <v/>
      </c>
      <c r="F307" s="35" t="str">
        <f t="shared" si="33"/>
        <v/>
      </c>
      <c r="G307" s="35" t="str">
        <f t="shared" si="33"/>
        <v/>
      </c>
      <c r="H307" s="167" t="str">
        <f t="shared" si="34"/>
        <v/>
      </c>
    </row>
    <row r="308" spans="1:8">
      <c r="A308" s="170">
        <f t="shared" si="29"/>
        <v>283</v>
      </c>
      <c r="B308" s="170">
        <f t="shared" si="30"/>
        <v>3024</v>
      </c>
      <c r="C308" s="184">
        <f t="shared" si="31"/>
        <v>3024</v>
      </c>
      <c r="D308" s="176">
        <f t="shared" si="32"/>
        <v>3024</v>
      </c>
      <c r="E308" s="35" t="str">
        <f t="shared" si="33"/>
        <v/>
      </c>
      <c r="F308" s="35" t="str">
        <f t="shared" si="33"/>
        <v/>
      </c>
      <c r="G308" s="35" t="str">
        <f t="shared" si="33"/>
        <v/>
      </c>
      <c r="H308" s="167" t="str">
        <f t="shared" si="34"/>
        <v/>
      </c>
    </row>
    <row r="309" spans="1:8">
      <c r="A309" s="170">
        <f t="shared" si="29"/>
        <v>284</v>
      </c>
      <c r="B309" s="170">
        <f t="shared" si="30"/>
        <v>3456</v>
      </c>
      <c r="C309" s="184">
        <f t="shared" si="31"/>
        <v>3456</v>
      </c>
      <c r="D309" s="176">
        <f t="shared" si="32"/>
        <v>3456</v>
      </c>
      <c r="E309" s="35" t="str">
        <f t="shared" si="33"/>
        <v/>
      </c>
      <c r="F309" s="35" t="str">
        <f t="shared" si="33"/>
        <v/>
      </c>
      <c r="G309" s="35" t="str">
        <f t="shared" si="33"/>
        <v/>
      </c>
      <c r="H309" s="167" t="str">
        <f t="shared" si="34"/>
        <v/>
      </c>
    </row>
    <row r="310" spans="1:8">
      <c r="A310" s="170">
        <f t="shared" si="29"/>
        <v>285</v>
      </c>
      <c r="B310" s="170">
        <f t="shared" si="30"/>
        <v>3888</v>
      </c>
      <c r="C310" s="184">
        <f t="shared" si="31"/>
        <v>3888</v>
      </c>
      <c r="D310" s="176">
        <f t="shared" si="32"/>
        <v>3888</v>
      </c>
      <c r="E310" s="35" t="str">
        <f t="shared" si="33"/>
        <v/>
      </c>
      <c r="F310" s="35" t="str">
        <f t="shared" si="33"/>
        <v/>
      </c>
      <c r="G310" s="35" t="str">
        <f t="shared" si="33"/>
        <v/>
      </c>
      <c r="H310" s="167" t="str">
        <f t="shared" si="34"/>
        <v/>
      </c>
    </row>
    <row r="311" spans="1:8">
      <c r="A311" s="170">
        <f t="shared" si="29"/>
        <v>286</v>
      </c>
      <c r="B311" s="170">
        <f t="shared" si="30"/>
        <v>4320</v>
      </c>
      <c r="C311" s="184">
        <f t="shared" si="31"/>
        <v>4320</v>
      </c>
      <c r="D311" s="176">
        <f t="shared" si="32"/>
        <v>4320</v>
      </c>
      <c r="E311" s="35" t="str">
        <f t="shared" si="33"/>
        <v/>
      </c>
      <c r="F311" s="35" t="str">
        <f t="shared" si="33"/>
        <v/>
      </c>
      <c r="G311" s="35" t="str">
        <f t="shared" si="33"/>
        <v/>
      </c>
      <c r="H311" s="167" t="str">
        <f t="shared" si="34"/>
        <v/>
      </c>
    </row>
    <row r="312" spans="1:8">
      <c r="A312" s="170">
        <f t="shared" si="29"/>
        <v>287</v>
      </c>
      <c r="B312" s="170">
        <f t="shared" si="30"/>
        <v>4752</v>
      </c>
      <c r="C312" s="184">
        <f t="shared" si="31"/>
        <v>4752</v>
      </c>
      <c r="D312" s="176">
        <f t="shared" si="32"/>
        <v>4752</v>
      </c>
      <c r="E312" s="35" t="str">
        <f t="shared" si="33"/>
        <v/>
      </c>
      <c r="F312" s="35" t="str">
        <f t="shared" si="33"/>
        <v/>
      </c>
      <c r="G312" s="35" t="str">
        <f t="shared" si="33"/>
        <v/>
      </c>
      <c r="H312" s="167" t="str">
        <f t="shared" si="34"/>
        <v/>
      </c>
    </row>
    <row r="313" spans="1:8">
      <c r="A313" s="170">
        <f t="shared" si="29"/>
        <v>288</v>
      </c>
      <c r="B313" s="170">
        <f t="shared" si="30"/>
        <v>5184</v>
      </c>
      <c r="C313" s="184">
        <f t="shared" si="31"/>
        <v>5184</v>
      </c>
      <c r="D313" s="176">
        <f t="shared" si="32"/>
        <v>5184</v>
      </c>
      <c r="E313" s="35" t="str">
        <f t="shared" si="33"/>
        <v/>
      </c>
      <c r="F313" s="35" t="str">
        <f t="shared" si="33"/>
        <v/>
      </c>
      <c r="G313" s="35" t="str">
        <f t="shared" si="33"/>
        <v/>
      </c>
      <c r="H313" s="167" t="str">
        <f t="shared" si="34"/>
        <v/>
      </c>
    </row>
    <row r="314" spans="1:8">
      <c r="A314" s="170">
        <f t="shared" si="29"/>
        <v>289</v>
      </c>
      <c r="B314" s="170">
        <f t="shared" si="30"/>
        <v>5616</v>
      </c>
      <c r="C314" s="184">
        <f t="shared" si="31"/>
        <v>5616</v>
      </c>
      <c r="D314" s="176">
        <f t="shared" si="32"/>
        <v>5616</v>
      </c>
      <c r="E314" s="35" t="str">
        <f t="shared" si="33"/>
        <v/>
      </c>
      <c r="F314" s="35" t="str">
        <f t="shared" si="33"/>
        <v/>
      </c>
      <c r="G314" s="35" t="str">
        <f t="shared" si="33"/>
        <v/>
      </c>
      <c r="H314" s="167" t="str">
        <f t="shared" si="34"/>
        <v/>
      </c>
    </row>
    <row r="315" spans="1:8">
      <c r="A315" s="170">
        <f t="shared" si="29"/>
        <v>290</v>
      </c>
      <c r="B315" s="170">
        <f t="shared" si="30"/>
        <v>6048</v>
      </c>
      <c r="C315" s="184">
        <f t="shared" si="31"/>
        <v>6048</v>
      </c>
      <c r="D315" s="176">
        <f t="shared" si="32"/>
        <v>6048</v>
      </c>
      <c r="E315" s="35" t="str">
        <f t="shared" si="33"/>
        <v/>
      </c>
      <c r="F315" s="35" t="str">
        <f t="shared" si="33"/>
        <v/>
      </c>
      <c r="G315" s="35" t="str">
        <f t="shared" si="33"/>
        <v/>
      </c>
      <c r="H315" s="167" t="str">
        <f t="shared" si="34"/>
        <v/>
      </c>
    </row>
    <row r="316" spans="1:8">
      <c r="A316" s="170">
        <f t="shared" si="29"/>
        <v>291</v>
      </c>
      <c r="B316" s="170">
        <f t="shared" si="30"/>
        <v>6480</v>
      </c>
      <c r="C316" s="184">
        <f t="shared" si="31"/>
        <v>6480</v>
      </c>
      <c r="D316" s="176">
        <f t="shared" si="32"/>
        <v>6480</v>
      </c>
      <c r="E316" s="35" t="str">
        <f t="shared" si="33"/>
        <v/>
      </c>
      <c r="F316" s="35" t="str">
        <f t="shared" si="33"/>
        <v/>
      </c>
      <c r="G316" s="35" t="str">
        <f t="shared" si="33"/>
        <v/>
      </c>
      <c r="H316" s="167" t="str">
        <f t="shared" si="34"/>
        <v/>
      </c>
    </row>
    <row r="317" spans="1:8">
      <c r="A317" s="170">
        <f t="shared" si="29"/>
        <v>292</v>
      </c>
      <c r="B317" s="170">
        <f t="shared" si="30"/>
        <v>6912</v>
      </c>
      <c r="C317" s="184">
        <f t="shared" si="31"/>
        <v>6912</v>
      </c>
      <c r="D317" s="176">
        <f t="shared" si="32"/>
        <v>6912</v>
      </c>
      <c r="E317" s="35" t="str">
        <f t="shared" si="33"/>
        <v/>
      </c>
      <c r="F317" s="35" t="str">
        <f t="shared" si="33"/>
        <v/>
      </c>
      <c r="G317" s="35" t="str">
        <f t="shared" si="33"/>
        <v/>
      </c>
      <c r="H317" s="167" t="str">
        <f t="shared" si="34"/>
        <v/>
      </c>
    </row>
    <row r="318" spans="1:8">
      <c r="A318" s="170">
        <f t="shared" si="29"/>
        <v>293</v>
      </c>
      <c r="B318" s="170">
        <f t="shared" si="30"/>
        <v>7344</v>
      </c>
      <c r="C318" s="184">
        <f t="shared" si="31"/>
        <v>7344</v>
      </c>
      <c r="D318" s="176">
        <f t="shared" si="32"/>
        <v>7344</v>
      </c>
      <c r="E318" s="35" t="str">
        <f t="shared" si="33"/>
        <v/>
      </c>
      <c r="F318" s="35" t="str">
        <f t="shared" si="33"/>
        <v/>
      </c>
      <c r="G318" s="35" t="str">
        <f t="shared" si="33"/>
        <v/>
      </c>
      <c r="H318" s="167" t="str">
        <f t="shared" si="34"/>
        <v/>
      </c>
    </row>
    <row r="319" spans="1:8">
      <c r="A319" s="170">
        <f t="shared" si="29"/>
        <v>294</v>
      </c>
      <c r="B319" s="170">
        <f t="shared" si="30"/>
        <v>7776</v>
      </c>
      <c r="C319" s="184">
        <f t="shared" si="31"/>
        <v>7776</v>
      </c>
      <c r="D319" s="176">
        <f t="shared" si="32"/>
        <v>7776</v>
      </c>
      <c r="E319" s="35" t="str">
        <f t="shared" si="33"/>
        <v/>
      </c>
      <c r="F319" s="35" t="str">
        <f t="shared" si="33"/>
        <v/>
      </c>
      <c r="G319" s="35" t="str">
        <f t="shared" si="33"/>
        <v/>
      </c>
      <c r="H319" s="167" t="str">
        <f t="shared" si="34"/>
        <v/>
      </c>
    </row>
    <row r="320" spans="1:8">
      <c r="A320" s="170">
        <f t="shared" si="29"/>
        <v>295</v>
      </c>
      <c r="B320" s="170">
        <f t="shared" si="30"/>
        <v>8208</v>
      </c>
      <c r="C320" s="184">
        <f t="shared" si="31"/>
        <v>8208</v>
      </c>
      <c r="D320" s="176">
        <f t="shared" si="32"/>
        <v>8208</v>
      </c>
      <c r="E320" s="35" t="str">
        <f t="shared" si="33"/>
        <v/>
      </c>
      <c r="F320" s="35" t="str">
        <f t="shared" si="33"/>
        <v/>
      </c>
      <c r="G320" s="35" t="str">
        <f t="shared" si="33"/>
        <v/>
      </c>
      <c r="H320" s="167" t="str">
        <f t="shared" si="34"/>
        <v/>
      </c>
    </row>
    <row r="321" spans="1:8">
      <c r="A321" s="170">
        <f t="shared" si="29"/>
        <v>296</v>
      </c>
      <c r="B321" s="170">
        <f t="shared" si="30"/>
        <v>8640</v>
      </c>
      <c r="C321" s="184">
        <f t="shared" si="31"/>
        <v>8640</v>
      </c>
      <c r="D321" s="176">
        <f t="shared" si="32"/>
        <v>8640</v>
      </c>
      <c r="E321" s="35" t="str">
        <f t="shared" si="33"/>
        <v/>
      </c>
      <c r="F321" s="35" t="str">
        <f t="shared" si="33"/>
        <v/>
      </c>
      <c r="G321" s="35" t="str">
        <f t="shared" si="33"/>
        <v/>
      </c>
      <c r="H321" s="167" t="str">
        <f t="shared" si="34"/>
        <v/>
      </c>
    </row>
    <row r="322" spans="1:8">
      <c r="A322" s="170">
        <f t="shared" si="29"/>
        <v>297</v>
      </c>
      <c r="B322" s="170">
        <f t="shared" si="30"/>
        <v>9072</v>
      </c>
      <c r="C322" s="184">
        <f t="shared" si="31"/>
        <v>9072</v>
      </c>
      <c r="D322" s="176">
        <f t="shared" si="32"/>
        <v>9072</v>
      </c>
      <c r="E322" s="35" t="str">
        <f t="shared" si="33"/>
        <v/>
      </c>
      <c r="F322" s="35" t="str">
        <f t="shared" si="33"/>
        <v/>
      </c>
      <c r="G322" s="35" t="str">
        <f t="shared" si="33"/>
        <v/>
      </c>
      <c r="H322" s="167" t="str">
        <f t="shared" si="34"/>
        <v/>
      </c>
    </row>
    <row r="323" spans="1:8">
      <c r="A323" s="170">
        <f t="shared" si="29"/>
        <v>298</v>
      </c>
      <c r="B323" s="170">
        <f t="shared" si="30"/>
        <v>9504</v>
      </c>
      <c r="C323" s="184">
        <f t="shared" si="31"/>
        <v>9504</v>
      </c>
      <c r="D323" s="176">
        <f t="shared" si="32"/>
        <v>9504</v>
      </c>
      <c r="E323" s="35" t="str">
        <f t="shared" si="33"/>
        <v/>
      </c>
      <c r="F323" s="35" t="str">
        <f t="shared" si="33"/>
        <v/>
      </c>
      <c r="G323" s="35" t="str">
        <f t="shared" si="33"/>
        <v/>
      </c>
      <c r="H323" s="167" t="str">
        <f t="shared" si="34"/>
        <v/>
      </c>
    </row>
    <row r="324" spans="1:8">
      <c r="A324" s="170">
        <f t="shared" si="29"/>
        <v>299</v>
      </c>
      <c r="B324" s="170">
        <f t="shared" si="30"/>
        <v>9936</v>
      </c>
      <c r="C324" s="184">
        <f t="shared" si="31"/>
        <v>9936</v>
      </c>
      <c r="D324" s="176">
        <f t="shared" si="32"/>
        <v>9936</v>
      </c>
      <c r="E324" s="35" t="str">
        <f t="shared" si="33"/>
        <v/>
      </c>
      <c r="F324" s="35" t="str">
        <f t="shared" si="33"/>
        <v/>
      </c>
      <c r="G324" s="35" t="str">
        <f t="shared" si="33"/>
        <v/>
      </c>
      <c r="H324" s="167" t="str">
        <f t="shared" si="34"/>
        <v/>
      </c>
    </row>
    <row r="325" spans="1:8">
      <c r="A325" s="170">
        <f t="shared" si="29"/>
        <v>300</v>
      </c>
      <c r="B325" s="170">
        <f t="shared" si="30"/>
        <v>10368</v>
      </c>
      <c r="C325" s="184">
        <f t="shared" si="31"/>
        <v>10368</v>
      </c>
      <c r="D325" s="176">
        <f t="shared" si="32"/>
        <v>10368</v>
      </c>
      <c r="E325" s="35" t="str">
        <f t="shared" si="33"/>
        <v/>
      </c>
      <c r="F325" s="35" t="str">
        <f t="shared" si="33"/>
        <v/>
      </c>
      <c r="G325" s="35" t="str">
        <f t="shared" si="33"/>
        <v/>
      </c>
      <c r="H325" s="167" t="str">
        <f t="shared" si="34"/>
        <v/>
      </c>
    </row>
    <row r="326" spans="1:8">
      <c r="A326" s="170">
        <f t="shared" si="29"/>
        <v>301</v>
      </c>
      <c r="B326" s="170">
        <f t="shared" si="30"/>
        <v>10800</v>
      </c>
      <c r="C326" s="184">
        <f t="shared" si="31"/>
        <v>10800</v>
      </c>
      <c r="D326" s="176">
        <f t="shared" si="32"/>
        <v>10800</v>
      </c>
      <c r="E326" s="35" t="str">
        <f t="shared" si="33"/>
        <v/>
      </c>
      <c r="F326" s="35" t="str">
        <f t="shared" si="33"/>
        <v/>
      </c>
      <c r="G326" s="35" t="str">
        <f t="shared" si="33"/>
        <v/>
      </c>
      <c r="H326" s="167" t="str">
        <f t="shared" si="34"/>
        <v/>
      </c>
    </row>
    <row r="327" spans="1:8">
      <c r="A327" s="170">
        <f t="shared" si="29"/>
        <v>302</v>
      </c>
      <c r="B327" s="170">
        <f t="shared" si="30"/>
        <v>11232</v>
      </c>
      <c r="C327" s="184">
        <f t="shared" si="31"/>
        <v>11232</v>
      </c>
      <c r="D327" s="176">
        <f t="shared" si="32"/>
        <v>11232</v>
      </c>
      <c r="E327" s="35" t="str">
        <f t="shared" si="33"/>
        <v/>
      </c>
      <c r="F327" s="35" t="str">
        <f t="shared" si="33"/>
        <v/>
      </c>
      <c r="G327" s="35" t="str">
        <f t="shared" si="33"/>
        <v/>
      </c>
      <c r="H327" s="167" t="str">
        <f t="shared" si="34"/>
        <v/>
      </c>
    </row>
    <row r="328" spans="1:8">
      <c r="A328" s="170">
        <f t="shared" si="29"/>
        <v>303</v>
      </c>
      <c r="B328" s="170">
        <f t="shared" si="30"/>
        <v>11664</v>
      </c>
      <c r="C328" s="184">
        <f t="shared" si="31"/>
        <v>11664</v>
      </c>
      <c r="D328" s="176">
        <f t="shared" si="32"/>
        <v>11664</v>
      </c>
      <c r="E328" s="35" t="str">
        <f t="shared" si="33"/>
        <v/>
      </c>
      <c r="F328" s="35" t="str">
        <f t="shared" si="33"/>
        <v/>
      </c>
      <c r="G328" s="35" t="str">
        <f t="shared" si="33"/>
        <v/>
      </c>
      <c r="H328" s="167" t="str">
        <f t="shared" si="34"/>
        <v/>
      </c>
    </row>
    <row r="329" spans="1:8">
      <c r="A329" s="170">
        <f t="shared" si="29"/>
        <v>304</v>
      </c>
      <c r="B329" s="170">
        <f t="shared" si="30"/>
        <v>12096</v>
      </c>
      <c r="C329" s="184">
        <f t="shared" si="31"/>
        <v>12096</v>
      </c>
      <c r="D329" s="176">
        <f t="shared" si="32"/>
        <v>12096</v>
      </c>
      <c r="E329" s="35" t="str">
        <f t="shared" si="33"/>
        <v/>
      </c>
      <c r="F329" s="35" t="str">
        <f t="shared" si="33"/>
        <v/>
      </c>
      <c r="G329" s="35" t="str">
        <f t="shared" si="33"/>
        <v/>
      </c>
      <c r="H329" s="167" t="str">
        <f t="shared" si="34"/>
        <v/>
      </c>
    </row>
    <row r="330" spans="1:8">
      <c r="A330" s="170">
        <f t="shared" si="29"/>
        <v>305</v>
      </c>
      <c r="B330" s="170">
        <f t="shared" si="30"/>
        <v>12528</v>
      </c>
      <c r="C330" s="184">
        <f t="shared" si="31"/>
        <v>12528</v>
      </c>
      <c r="D330" s="176">
        <f t="shared" si="32"/>
        <v>12528</v>
      </c>
      <c r="E330" s="35" t="str">
        <f t="shared" si="33"/>
        <v/>
      </c>
      <c r="F330" s="35" t="str">
        <f t="shared" si="33"/>
        <v/>
      </c>
      <c r="G330" s="35" t="str">
        <f t="shared" si="33"/>
        <v/>
      </c>
      <c r="H330" s="167" t="str">
        <f t="shared" si="34"/>
        <v/>
      </c>
    </row>
    <row r="331" spans="1:8">
      <c r="A331" s="170">
        <f t="shared" si="29"/>
        <v>306</v>
      </c>
      <c r="B331" s="170">
        <f t="shared" si="30"/>
        <v>12960</v>
      </c>
      <c r="C331" s="184">
        <f t="shared" si="31"/>
        <v>12960</v>
      </c>
      <c r="D331" s="176">
        <f t="shared" si="32"/>
        <v>12960</v>
      </c>
      <c r="E331" s="35" t="str">
        <f t="shared" si="33"/>
        <v/>
      </c>
      <c r="F331" s="35" t="str">
        <f t="shared" si="33"/>
        <v/>
      </c>
      <c r="G331" s="35" t="str">
        <f t="shared" si="33"/>
        <v/>
      </c>
      <c r="H331" s="167" t="str">
        <f t="shared" si="34"/>
        <v/>
      </c>
    </row>
    <row r="332" spans="1:8">
      <c r="A332" s="170">
        <f t="shared" si="29"/>
        <v>307</v>
      </c>
      <c r="B332" s="170">
        <f t="shared" si="30"/>
        <v>13392</v>
      </c>
      <c r="C332" s="184">
        <f t="shared" si="31"/>
        <v>13392</v>
      </c>
      <c r="D332" s="176">
        <f t="shared" si="32"/>
        <v>13392</v>
      </c>
      <c r="E332" s="35" t="str">
        <f t="shared" si="33"/>
        <v/>
      </c>
      <c r="F332" s="35" t="str">
        <f t="shared" si="33"/>
        <v/>
      </c>
      <c r="G332" s="35" t="str">
        <f t="shared" si="33"/>
        <v/>
      </c>
      <c r="H332" s="167" t="str">
        <f t="shared" si="34"/>
        <v/>
      </c>
    </row>
    <row r="333" spans="1:8">
      <c r="A333" s="170">
        <f t="shared" si="29"/>
        <v>308</v>
      </c>
      <c r="B333" s="170">
        <f t="shared" si="30"/>
        <v>13824</v>
      </c>
      <c r="C333" s="184">
        <f t="shared" si="31"/>
        <v>13824</v>
      </c>
      <c r="D333" s="176">
        <f t="shared" si="32"/>
        <v>13824</v>
      </c>
      <c r="E333" s="35" t="str">
        <f t="shared" si="33"/>
        <v/>
      </c>
      <c r="F333" s="35" t="str">
        <f t="shared" si="33"/>
        <v/>
      </c>
      <c r="G333" s="35" t="str">
        <f t="shared" si="33"/>
        <v/>
      </c>
      <c r="H333" s="167" t="str">
        <f t="shared" si="34"/>
        <v/>
      </c>
    </row>
    <row r="334" spans="1:8">
      <c r="A334" s="170">
        <f t="shared" si="29"/>
        <v>309</v>
      </c>
      <c r="B334" s="170">
        <f t="shared" si="30"/>
        <v>14256</v>
      </c>
      <c r="C334" s="184">
        <f t="shared" si="31"/>
        <v>14256</v>
      </c>
      <c r="D334" s="176">
        <f t="shared" si="32"/>
        <v>14256</v>
      </c>
      <c r="E334" s="35" t="str">
        <f t="shared" si="33"/>
        <v/>
      </c>
      <c r="F334" s="35" t="str">
        <f t="shared" si="33"/>
        <v/>
      </c>
      <c r="G334" s="35" t="str">
        <f t="shared" si="33"/>
        <v/>
      </c>
      <c r="H334" s="167" t="str">
        <f t="shared" si="34"/>
        <v/>
      </c>
    </row>
    <row r="335" spans="1:8">
      <c r="A335" s="170">
        <f t="shared" si="29"/>
        <v>310</v>
      </c>
      <c r="B335" s="170">
        <f t="shared" si="30"/>
        <v>14688</v>
      </c>
      <c r="C335" s="184">
        <f t="shared" si="31"/>
        <v>14688</v>
      </c>
      <c r="D335" s="176">
        <f t="shared" si="32"/>
        <v>14688</v>
      </c>
      <c r="E335" s="35" t="str">
        <f t="shared" si="33"/>
        <v/>
      </c>
      <c r="F335" s="35" t="str">
        <f t="shared" si="33"/>
        <v/>
      </c>
      <c r="G335" s="35" t="str">
        <f t="shared" si="33"/>
        <v/>
      </c>
      <c r="H335" s="167" t="str">
        <f t="shared" si="34"/>
        <v/>
      </c>
    </row>
    <row r="336" spans="1:8">
      <c r="A336" s="170">
        <f t="shared" si="29"/>
        <v>311</v>
      </c>
      <c r="B336" s="170">
        <f t="shared" si="30"/>
        <v>15120</v>
      </c>
      <c r="C336" s="184">
        <f t="shared" si="31"/>
        <v>15120</v>
      </c>
      <c r="D336" s="176">
        <f t="shared" si="32"/>
        <v>15120</v>
      </c>
      <c r="E336" s="35" t="str">
        <f t="shared" si="33"/>
        <v/>
      </c>
      <c r="F336" s="35" t="str">
        <f t="shared" si="33"/>
        <v/>
      </c>
      <c r="G336" s="35" t="str">
        <f t="shared" si="33"/>
        <v/>
      </c>
      <c r="H336" s="167" t="str">
        <f t="shared" si="34"/>
        <v/>
      </c>
    </row>
    <row r="337" spans="1:8">
      <c r="A337" s="170">
        <f t="shared" si="29"/>
        <v>312</v>
      </c>
      <c r="B337" s="170">
        <f t="shared" si="30"/>
        <v>15552</v>
      </c>
      <c r="C337" s="184">
        <f t="shared" si="31"/>
        <v>15552</v>
      </c>
      <c r="D337" s="176">
        <f t="shared" si="32"/>
        <v>15552</v>
      </c>
      <c r="E337" s="35" t="str">
        <f t="shared" si="33"/>
        <v/>
      </c>
      <c r="F337" s="35" t="str">
        <f t="shared" si="33"/>
        <v/>
      </c>
      <c r="G337" s="35" t="str">
        <f t="shared" si="33"/>
        <v/>
      </c>
      <c r="H337" s="167" t="str">
        <f t="shared" si="34"/>
        <v/>
      </c>
    </row>
    <row r="338" spans="1:8">
      <c r="A338" s="170">
        <f t="shared" si="29"/>
        <v>313</v>
      </c>
      <c r="B338" s="170">
        <f t="shared" si="30"/>
        <v>15984</v>
      </c>
      <c r="C338" s="184">
        <f t="shared" si="31"/>
        <v>15984</v>
      </c>
      <c r="D338" s="176">
        <f t="shared" si="32"/>
        <v>15984</v>
      </c>
      <c r="E338" s="35" t="str">
        <f t="shared" si="33"/>
        <v/>
      </c>
      <c r="F338" s="35" t="str">
        <f t="shared" si="33"/>
        <v/>
      </c>
      <c r="G338" s="35" t="str">
        <f t="shared" si="33"/>
        <v/>
      </c>
      <c r="H338" s="167" t="str">
        <f t="shared" si="34"/>
        <v/>
      </c>
    </row>
    <row r="339" spans="1:8">
      <c r="A339" s="170">
        <f t="shared" si="29"/>
        <v>314</v>
      </c>
      <c r="B339" s="170">
        <f t="shared" si="30"/>
        <v>16416</v>
      </c>
      <c r="C339" s="184">
        <f t="shared" si="31"/>
        <v>16416</v>
      </c>
      <c r="D339" s="176">
        <f t="shared" si="32"/>
        <v>16416</v>
      </c>
      <c r="E339" s="35" t="str">
        <f t="shared" si="33"/>
        <v/>
      </c>
      <c r="F339" s="35" t="str">
        <f t="shared" si="33"/>
        <v/>
      </c>
      <c r="G339" s="35" t="str">
        <f t="shared" si="33"/>
        <v/>
      </c>
      <c r="H339" s="167" t="str">
        <f t="shared" si="34"/>
        <v/>
      </c>
    </row>
    <row r="340" spans="1:8">
      <c r="A340" s="170">
        <f t="shared" si="29"/>
        <v>315</v>
      </c>
      <c r="B340" s="170">
        <f t="shared" si="30"/>
        <v>16848</v>
      </c>
      <c r="C340" s="184">
        <f t="shared" si="31"/>
        <v>16848</v>
      </c>
      <c r="D340" s="176">
        <f t="shared" si="32"/>
        <v>16848</v>
      </c>
      <c r="E340" s="35" t="str">
        <f t="shared" si="33"/>
        <v/>
      </c>
      <c r="F340" s="35" t="str">
        <f t="shared" si="33"/>
        <v/>
      </c>
      <c r="G340" s="35" t="str">
        <f t="shared" si="33"/>
        <v/>
      </c>
      <c r="H340" s="167" t="str">
        <f t="shared" si="34"/>
        <v/>
      </c>
    </row>
    <row r="341" spans="1:8">
      <c r="A341" s="170">
        <f t="shared" si="29"/>
        <v>316</v>
      </c>
      <c r="B341" s="170">
        <f t="shared" si="30"/>
        <v>17280</v>
      </c>
      <c r="C341" s="184">
        <f t="shared" si="31"/>
        <v>17280</v>
      </c>
      <c r="D341" s="176">
        <f t="shared" si="32"/>
        <v>17280</v>
      </c>
      <c r="E341" s="35" t="str">
        <f t="shared" si="33"/>
        <v/>
      </c>
      <c r="F341" s="35" t="str">
        <f t="shared" si="33"/>
        <v/>
      </c>
      <c r="G341" s="35" t="str">
        <f t="shared" si="33"/>
        <v/>
      </c>
      <c r="H341" s="167" t="str">
        <f t="shared" si="34"/>
        <v/>
      </c>
    </row>
    <row r="342" spans="1:8">
      <c r="A342" s="170">
        <f t="shared" si="29"/>
        <v>317</v>
      </c>
      <c r="B342" s="170">
        <f t="shared" si="30"/>
        <v>17712</v>
      </c>
      <c r="C342" s="184">
        <f t="shared" si="31"/>
        <v>17712</v>
      </c>
      <c r="D342" s="176">
        <f t="shared" si="32"/>
        <v>17712</v>
      </c>
      <c r="E342" s="35" t="str">
        <f t="shared" si="33"/>
        <v/>
      </c>
      <c r="F342" s="35" t="str">
        <f t="shared" si="33"/>
        <v/>
      </c>
      <c r="G342" s="35" t="str">
        <f t="shared" si="33"/>
        <v/>
      </c>
      <c r="H342" s="167" t="str">
        <f t="shared" si="34"/>
        <v/>
      </c>
    </row>
    <row r="343" spans="1:8">
      <c r="A343" s="170">
        <f t="shared" si="29"/>
        <v>318</v>
      </c>
      <c r="B343" s="170">
        <f t="shared" si="30"/>
        <v>18144</v>
      </c>
      <c r="C343" s="184">
        <f t="shared" si="31"/>
        <v>18144</v>
      </c>
      <c r="D343" s="176">
        <f t="shared" si="32"/>
        <v>18144</v>
      </c>
      <c r="E343" s="35" t="str">
        <f t="shared" si="33"/>
        <v/>
      </c>
      <c r="F343" s="35" t="str">
        <f t="shared" si="33"/>
        <v/>
      </c>
      <c r="G343" s="35" t="str">
        <f t="shared" si="33"/>
        <v/>
      </c>
      <c r="H343" s="167" t="str">
        <f t="shared" si="34"/>
        <v/>
      </c>
    </row>
    <row r="344" spans="1:8">
      <c r="A344" s="170">
        <f t="shared" si="29"/>
        <v>319</v>
      </c>
      <c r="B344" s="170">
        <f t="shared" si="30"/>
        <v>18576</v>
      </c>
      <c r="C344" s="184">
        <f t="shared" si="31"/>
        <v>18576</v>
      </c>
      <c r="D344" s="176">
        <f t="shared" si="32"/>
        <v>18576</v>
      </c>
      <c r="E344" s="35" t="str">
        <f t="shared" si="33"/>
        <v/>
      </c>
      <c r="F344" s="35" t="str">
        <f t="shared" si="33"/>
        <v/>
      </c>
      <c r="G344" s="35" t="str">
        <f t="shared" si="33"/>
        <v/>
      </c>
      <c r="H344" s="167" t="str">
        <f t="shared" si="34"/>
        <v/>
      </c>
    </row>
    <row r="345" spans="1:8">
      <c r="A345" s="170">
        <f t="shared" si="29"/>
        <v>320</v>
      </c>
      <c r="B345" s="170">
        <f t="shared" si="30"/>
        <v>19008</v>
      </c>
      <c r="C345" s="184">
        <f t="shared" si="31"/>
        <v>19008</v>
      </c>
      <c r="D345" s="176">
        <f t="shared" si="32"/>
        <v>19008</v>
      </c>
      <c r="E345" s="35" t="str">
        <f t="shared" si="33"/>
        <v/>
      </c>
      <c r="F345" s="35" t="str">
        <f t="shared" si="33"/>
        <v/>
      </c>
      <c r="G345" s="35" t="str">
        <f t="shared" si="33"/>
        <v/>
      </c>
      <c r="H345" s="167" t="str">
        <f t="shared" si="34"/>
        <v/>
      </c>
    </row>
    <row r="346" spans="1:8">
      <c r="A346" s="170">
        <f t="shared" si="29"/>
        <v>321</v>
      </c>
      <c r="B346" s="170">
        <f t="shared" si="30"/>
        <v>19440</v>
      </c>
      <c r="C346" s="184">
        <f t="shared" si="31"/>
        <v>19440</v>
      </c>
      <c r="D346" s="176">
        <f t="shared" si="32"/>
        <v>19440</v>
      </c>
      <c r="E346" s="35" t="str">
        <f t="shared" si="33"/>
        <v/>
      </c>
      <c r="F346" s="35" t="str">
        <f t="shared" si="33"/>
        <v/>
      </c>
      <c r="G346" s="35" t="str">
        <f t="shared" si="33"/>
        <v/>
      </c>
      <c r="H346" s="167" t="str">
        <f t="shared" si="34"/>
        <v/>
      </c>
    </row>
    <row r="347" spans="1:8">
      <c r="A347" s="170">
        <f t="shared" si="29"/>
        <v>322</v>
      </c>
      <c r="B347" s="170">
        <f t="shared" si="30"/>
        <v>19872</v>
      </c>
      <c r="C347" s="184">
        <f t="shared" si="31"/>
        <v>19872</v>
      </c>
      <c r="D347" s="176">
        <f t="shared" si="32"/>
        <v>19872</v>
      </c>
      <c r="E347" s="35" t="str">
        <f t="shared" si="33"/>
        <v/>
      </c>
      <c r="F347" s="35" t="str">
        <f t="shared" si="33"/>
        <v/>
      </c>
      <c r="G347" s="35" t="str">
        <f t="shared" si="33"/>
        <v/>
      </c>
      <c r="H347" s="167" t="str">
        <f t="shared" si="34"/>
        <v/>
      </c>
    </row>
    <row r="348" spans="1:8">
      <c r="A348" s="170">
        <f t="shared" ref="A348:A389" si="35">1+A347</f>
        <v>323</v>
      </c>
      <c r="B348" s="170">
        <f t="shared" ref="B348:B389" si="36">IF($B$14="y",IF(B347+$C$8&gt;$D$14,$C$8,B347+$C$8),"")</f>
        <v>432</v>
      </c>
      <c r="C348" s="184">
        <f t="shared" ref="C348:C389" si="37">IF($B$15="y",IF(C347+$C$8&gt;$D$15,$C$8,C347+$C$8),"")</f>
        <v>432</v>
      </c>
      <c r="D348" s="176">
        <f t="shared" ref="D348:D389" si="38">IF($B$16="y",IF(D347+$C$8&gt;$D$16,$C$8,D347+$C$8),"")</f>
        <v>432</v>
      </c>
      <c r="E348" s="35">
        <f t="shared" ref="E348:G389" si="39">IF(B348=$C$8,1,"")</f>
        <v>1</v>
      </c>
      <c r="F348" s="35">
        <f t="shared" si="39"/>
        <v>1</v>
      </c>
      <c r="G348" s="35">
        <f t="shared" si="39"/>
        <v>1</v>
      </c>
      <c r="H348" s="167">
        <f t="shared" ref="H348:H389" si="40">IF(SUM(E348:G348)&gt;0,1,"")</f>
        <v>1</v>
      </c>
    </row>
    <row r="349" spans="1:8">
      <c r="A349" s="170">
        <f t="shared" si="35"/>
        <v>324</v>
      </c>
      <c r="B349" s="170">
        <f t="shared" si="36"/>
        <v>864</v>
      </c>
      <c r="C349" s="184">
        <f t="shared" si="37"/>
        <v>864</v>
      </c>
      <c r="D349" s="176">
        <f t="shared" si="38"/>
        <v>864</v>
      </c>
      <c r="E349" s="35" t="str">
        <f t="shared" si="39"/>
        <v/>
      </c>
      <c r="F349" s="35" t="str">
        <f t="shared" si="39"/>
        <v/>
      </c>
      <c r="G349" s="35" t="str">
        <f t="shared" si="39"/>
        <v/>
      </c>
      <c r="H349" s="167" t="str">
        <f t="shared" si="40"/>
        <v/>
      </c>
    </row>
    <row r="350" spans="1:8">
      <c r="A350" s="170">
        <f t="shared" si="35"/>
        <v>325</v>
      </c>
      <c r="B350" s="170">
        <f t="shared" si="36"/>
        <v>1296</v>
      </c>
      <c r="C350" s="184">
        <f t="shared" si="37"/>
        <v>1296</v>
      </c>
      <c r="D350" s="176">
        <f t="shared" si="38"/>
        <v>1296</v>
      </c>
      <c r="E350" s="35" t="str">
        <f t="shared" si="39"/>
        <v/>
      </c>
      <c r="F350" s="35" t="str">
        <f t="shared" si="39"/>
        <v/>
      </c>
      <c r="G350" s="35" t="str">
        <f t="shared" si="39"/>
        <v/>
      </c>
      <c r="H350" s="167" t="str">
        <f t="shared" si="40"/>
        <v/>
      </c>
    </row>
    <row r="351" spans="1:8">
      <c r="A351" s="170">
        <f t="shared" si="35"/>
        <v>326</v>
      </c>
      <c r="B351" s="170">
        <f t="shared" si="36"/>
        <v>1728</v>
      </c>
      <c r="C351" s="184">
        <f t="shared" si="37"/>
        <v>1728</v>
      </c>
      <c r="D351" s="176">
        <f t="shared" si="38"/>
        <v>1728</v>
      </c>
      <c r="E351" s="35" t="str">
        <f t="shared" si="39"/>
        <v/>
      </c>
      <c r="F351" s="35" t="str">
        <f t="shared" si="39"/>
        <v/>
      </c>
      <c r="G351" s="35" t="str">
        <f t="shared" si="39"/>
        <v/>
      </c>
      <c r="H351" s="167" t="str">
        <f t="shared" si="40"/>
        <v/>
      </c>
    </row>
    <row r="352" spans="1:8">
      <c r="A352" s="170">
        <f t="shared" si="35"/>
        <v>327</v>
      </c>
      <c r="B352" s="170">
        <f t="shared" si="36"/>
        <v>2160</v>
      </c>
      <c r="C352" s="184">
        <f t="shared" si="37"/>
        <v>2160</v>
      </c>
      <c r="D352" s="176">
        <f t="shared" si="38"/>
        <v>2160</v>
      </c>
      <c r="E352" s="35" t="str">
        <f t="shared" si="39"/>
        <v/>
      </c>
      <c r="F352" s="35" t="str">
        <f t="shared" si="39"/>
        <v/>
      </c>
      <c r="G352" s="35" t="str">
        <f t="shared" si="39"/>
        <v/>
      </c>
      <c r="H352" s="167" t="str">
        <f t="shared" si="40"/>
        <v/>
      </c>
    </row>
    <row r="353" spans="1:8">
      <c r="A353" s="170">
        <f t="shared" si="35"/>
        <v>328</v>
      </c>
      <c r="B353" s="170">
        <f t="shared" si="36"/>
        <v>2592</v>
      </c>
      <c r="C353" s="184">
        <f t="shared" si="37"/>
        <v>2592</v>
      </c>
      <c r="D353" s="176">
        <f t="shared" si="38"/>
        <v>2592</v>
      </c>
      <c r="E353" s="35" t="str">
        <f t="shared" si="39"/>
        <v/>
      </c>
      <c r="F353" s="35" t="str">
        <f t="shared" si="39"/>
        <v/>
      </c>
      <c r="G353" s="35" t="str">
        <f t="shared" si="39"/>
        <v/>
      </c>
      <c r="H353" s="167" t="str">
        <f t="shared" si="40"/>
        <v/>
      </c>
    </row>
    <row r="354" spans="1:8">
      <c r="A354" s="170">
        <f t="shared" si="35"/>
        <v>329</v>
      </c>
      <c r="B354" s="170">
        <f t="shared" si="36"/>
        <v>3024</v>
      </c>
      <c r="C354" s="184">
        <f t="shared" si="37"/>
        <v>3024</v>
      </c>
      <c r="D354" s="176">
        <f t="shared" si="38"/>
        <v>3024</v>
      </c>
      <c r="E354" s="35" t="str">
        <f t="shared" si="39"/>
        <v/>
      </c>
      <c r="F354" s="35" t="str">
        <f t="shared" si="39"/>
        <v/>
      </c>
      <c r="G354" s="35" t="str">
        <f t="shared" si="39"/>
        <v/>
      </c>
      <c r="H354" s="167" t="str">
        <f t="shared" si="40"/>
        <v/>
      </c>
    </row>
    <row r="355" spans="1:8">
      <c r="A355" s="170">
        <f t="shared" si="35"/>
        <v>330</v>
      </c>
      <c r="B355" s="170">
        <f t="shared" si="36"/>
        <v>3456</v>
      </c>
      <c r="C355" s="184">
        <f t="shared" si="37"/>
        <v>3456</v>
      </c>
      <c r="D355" s="176">
        <f t="shared" si="38"/>
        <v>3456</v>
      </c>
      <c r="E355" s="35" t="str">
        <f t="shared" si="39"/>
        <v/>
      </c>
      <c r="F355" s="35" t="str">
        <f t="shared" si="39"/>
        <v/>
      </c>
      <c r="G355" s="35" t="str">
        <f t="shared" si="39"/>
        <v/>
      </c>
      <c r="H355" s="167" t="str">
        <f t="shared" si="40"/>
        <v/>
      </c>
    </row>
    <row r="356" spans="1:8">
      <c r="A356" s="170">
        <f t="shared" si="35"/>
        <v>331</v>
      </c>
      <c r="B356" s="170">
        <f t="shared" si="36"/>
        <v>3888</v>
      </c>
      <c r="C356" s="184">
        <f t="shared" si="37"/>
        <v>3888</v>
      </c>
      <c r="D356" s="176">
        <f t="shared" si="38"/>
        <v>3888</v>
      </c>
      <c r="E356" s="35" t="str">
        <f t="shared" si="39"/>
        <v/>
      </c>
      <c r="F356" s="35" t="str">
        <f t="shared" si="39"/>
        <v/>
      </c>
      <c r="G356" s="35" t="str">
        <f t="shared" si="39"/>
        <v/>
      </c>
      <c r="H356" s="167" t="str">
        <f t="shared" si="40"/>
        <v/>
      </c>
    </row>
    <row r="357" spans="1:8">
      <c r="A357" s="170">
        <f t="shared" si="35"/>
        <v>332</v>
      </c>
      <c r="B357" s="170">
        <f t="shared" si="36"/>
        <v>4320</v>
      </c>
      <c r="C357" s="184">
        <f t="shared" si="37"/>
        <v>4320</v>
      </c>
      <c r="D357" s="176">
        <f t="shared" si="38"/>
        <v>4320</v>
      </c>
      <c r="E357" s="35" t="str">
        <f t="shared" si="39"/>
        <v/>
      </c>
      <c r="F357" s="35" t="str">
        <f t="shared" si="39"/>
        <v/>
      </c>
      <c r="G357" s="35" t="str">
        <f t="shared" si="39"/>
        <v/>
      </c>
      <c r="H357" s="167" t="str">
        <f t="shared" si="40"/>
        <v/>
      </c>
    </row>
    <row r="358" spans="1:8">
      <c r="A358" s="170">
        <f t="shared" si="35"/>
        <v>333</v>
      </c>
      <c r="B358" s="170">
        <f t="shared" si="36"/>
        <v>4752</v>
      </c>
      <c r="C358" s="184">
        <f t="shared" si="37"/>
        <v>4752</v>
      </c>
      <c r="D358" s="176">
        <f t="shared" si="38"/>
        <v>4752</v>
      </c>
      <c r="E358" s="35" t="str">
        <f t="shared" si="39"/>
        <v/>
      </c>
      <c r="F358" s="35" t="str">
        <f t="shared" si="39"/>
        <v/>
      </c>
      <c r="G358" s="35" t="str">
        <f t="shared" si="39"/>
        <v/>
      </c>
      <c r="H358" s="167" t="str">
        <f t="shared" si="40"/>
        <v/>
      </c>
    </row>
    <row r="359" spans="1:8">
      <c r="A359" s="170">
        <f t="shared" si="35"/>
        <v>334</v>
      </c>
      <c r="B359" s="170">
        <f t="shared" si="36"/>
        <v>5184</v>
      </c>
      <c r="C359" s="184">
        <f t="shared" si="37"/>
        <v>5184</v>
      </c>
      <c r="D359" s="176">
        <f t="shared" si="38"/>
        <v>5184</v>
      </c>
      <c r="E359" s="35" t="str">
        <f t="shared" si="39"/>
        <v/>
      </c>
      <c r="F359" s="35" t="str">
        <f t="shared" si="39"/>
        <v/>
      </c>
      <c r="G359" s="35" t="str">
        <f t="shared" si="39"/>
        <v/>
      </c>
      <c r="H359" s="167" t="str">
        <f t="shared" si="40"/>
        <v/>
      </c>
    </row>
    <row r="360" spans="1:8">
      <c r="A360" s="170">
        <f t="shared" si="35"/>
        <v>335</v>
      </c>
      <c r="B360" s="170">
        <f t="shared" si="36"/>
        <v>5616</v>
      </c>
      <c r="C360" s="184">
        <f t="shared" si="37"/>
        <v>5616</v>
      </c>
      <c r="D360" s="176">
        <f t="shared" si="38"/>
        <v>5616</v>
      </c>
      <c r="E360" s="35" t="str">
        <f t="shared" si="39"/>
        <v/>
      </c>
      <c r="F360" s="35" t="str">
        <f t="shared" si="39"/>
        <v/>
      </c>
      <c r="G360" s="35" t="str">
        <f t="shared" si="39"/>
        <v/>
      </c>
      <c r="H360" s="167" t="str">
        <f t="shared" si="40"/>
        <v/>
      </c>
    </row>
    <row r="361" spans="1:8">
      <c r="A361" s="170">
        <f t="shared" si="35"/>
        <v>336</v>
      </c>
      <c r="B361" s="170">
        <f t="shared" si="36"/>
        <v>6048</v>
      </c>
      <c r="C361" s="184">
        <f t="shared" si="37"/>
        <v>6048</v>
      </c>
      <c r="D361" s="176">
        <f t="shared" si="38"/>
        <v>6048</v>
      </c>
      <c r="E361" s="35" t="str">
        <f t="shared" si="39"/>
        <v/>
      </c>
      <c r="F361" s="35" t="str">
        <f t="shared" si="39"/>
        <v/>
      </c>
      <c r="G361" s="35" t="str">
        <f t="shared" si="39"/>
        <v/>
      </c>
      <c r="H361" s="167" t="str">
        <f t="shared" si="40"/>
        <v/>
      </c>
    </row>
    <row r="362" spans="1:8">
      <c r="A362" s="170">
        <f t="shared" si="35"/>
        <v>337</v>
      </c>
      <c r="B362" s="170">
        <f t="shared" si="36"/>
        <v>6480</v>
      </c>
      <c r="C362" s="184">
        <f t="shared" si="37"/>
        <v>6480</v>
      </c>
      <c r="D362" s="176">
        <f t="shared" si="38"/>
        <v>6480</v>
      </c>
      <c r="E362" s="35" t="str">
        <f t="shared" si="39"/>
        <v/>
      </c>
      <c r="F362" s="35" t="str">
        <f t="shared" si="39"/>
        <v/>
      </c>
      <c r="G362" s="35" t="str">
        <f t="shared" si="39"/>
        <v/>
      </c>
      <c r="H362" s="167" t="str">
        <f t="shared" si="40"/>
        <v/>
      </c>
    </row>
    <row r="363" spans="1:8">
      <c r="A363" s="170">
        <f t="shared" si="35"/>
        <v>338</v>
      </c>
      <c r="B363" s="170">
        <f t="shared" si="36"/>
        <v>6912</v>
      </c>
      <c r="C363" s="184">
        <f t="shared" si="37"/>
        <v>6912</v>
      </c>
      <c r="D363" s="176">
        <f t="shared" si="38"/>
        <v>6912</v>
      </c>
      <c r="E363" s="35" t="str">
        <f t="shared" si="39"/>
        <v/>
      </c>
      <c r="F363" s="35" t="str">
        <f t="shared" si="39"/>
        <v/>
      </c>
      <c r="G363" s="35" t="str">
        <f t="shared" si="39"/>
        <v/>
      </c>
      <c r="H363" s="167" t="str">
        <f t="shared" si="40"/>
        <v/>
      </c>
    </row>
    <row r="364" spans="1:8">
      <c r="A364" s="170">
        <f t="shared" si="35"/>
        <v>339</v>
      </c>
      <c r="B364" s="170">
        <f t="shared" si="36"/>
        <v>7344</v>
      </c>
      <c r="C364" s="184">
        <f t="shared" si="37"/>
        <v>7344</v>
      </c>
      <c r="D364" s="176">
        <f t="shared" si="38"/>
        <v>7344</v>
      </c>
      <c r="E364" s="35" t="str">
        <f t="shared" si="39"/>
        <v/>
      </c>
      <c r="F364" s="35" t="str">
        <f t="shared" si="39"/>
        <v/>
      </c>
      <c r="G364" s="35" t="str">
        <f t="shared" si="39"/>
        <v/>
      </c>
      <c r="H364" s="167" t="str">
        <f t="shared" si="40"/>
        <v/>
      </c>
    </row>
    <row r="365" spans="1:8">
      <c r="A365" s="170">
        <f t="shared" si="35"/>
        <v>340</v>
      </c>
      <c r="B365" s="170">
        <f t="shared" si="36"/>
        <v>7776</v>
      </c>
      <c r="C365" s="184">
        <f t="shared" si="37"/>
        <v>7776</v>
      </c>
      <c r="D365" s="176">
        <f t="shared" si="38"/>
        <v>7776</v>
      </c>
      <c r="E365" s="35" t="str">
        <f t="shared" si="39"/>
        <v/>
      </c>
      <c r="F365" s="35" t="str">
        <f t="shared" si="39"/>
        <v/>
      </c>
      <c r="G365" s="35" t="str">
        <f t="shared" si="39"/>
        <v/>
      </c>
      <c r="H365" s="167" t="str">
        <f t="shared" si="40"/>
        <v/>
      </c>
    </row>
    <row r="366" spans="1:8">
      <c r="A366" s="170">
        <f t="shared" si="35"/>
        <v>341</v>
      </c>
      <c r="B366" s="170">
        <f t="shared" si="36"/>
        <v>8208</v>
      </c>
      <c r="C366" s="184">
        <f t="shared" si="37"/>
        <v>8208</v>
      </c>
      <c r="D366" s="176">
        <f t="shared" si="38"/>
        <v>8208</v>
      </c>
      <c r="E366" s="35" t="str">
        <f t="shared" si="39"/>
        <v/>
      </c>
      <c r="F366" s="35" t="str">
        <f t="shared" si="39"/>
        <v/>
      </c>
      <c r="G366" s="35" t="str">
        <f t="shared" si="39"/>
        <v/>
      </c>
      <c r="H366" s="167" t="str">
        <f t="shared" si="40"/>
        <v/>
      </c>
    </row>
    <row r="367" spans="1:8">
      <c r="A367" s="170">
        <f t="shared" si="35"/>
        <v>342</v>
      </c>
      <c r="B367" s="170">
        <f t="shared" si="36"/>
        <v>8640</v>
      </c>
      <c r="C367" s="184">
        <f t="shared" si="37"/>
        <v>8640</v>
      </c>
      <c r="D367" s="176">
        <f t="shared" si="38"/>
        <v>8640</v>
      </c>
      <c r="E367" s="35" t="str">
        <f t="shared" si="39"/>
        <v/>
      </c>
      <c r="F367" s="35" t="str">
        <f t="shared" si="39"/>
        <v/>
      </c>
      <c r="G367" s="35" t="str">
        <f t="shared" si="39"/>
        <v/>
      </c>
      <c r="H367" s="167" t="str">
        <f t="shared" si="40"/>
        <v/>
      </c>
    </row>
    <row r="368" spans="1:8">
      <c r="A368" s="170">
        <f t="shared" si="35"/>
        <v>343</v>
      </c>
      <c r="B368" s="170">
        <f t="shared" si="36"/>
        <v>9072</v>
      </c>
      <c r="C368" s="184">
        <f t="shared" si="37"/>
        <v>9072</v>
      </c>
      <c r="D368" s="176">
        <f t="shared" si="38"/>
        <v>9072</v>
      </c>
      <c r="E368" s="35" t="str">
        <f t="shared" si="39"/>
        <v/>
      </c>
      <c r="F368" s="35" t="str">
        <f t="shared" si="39"/>
        <v/>
      </c>
      <c r="G368" s="35" t="str">
        <f t="shared" si="39"/>
        <v/>
      </c>
      <c r="H368" s="167" t="str">
        <f t="shared" si="40"/>
        <v/>
      </c>
    </row>
    <row r="369" spans="1:8">
      <c r="A369" s="170">
        <f t="shared" si="35"/>
        <v>344</v>
      </c>
      <c r="B369" s="170">
        <f t="shared" si="36"/>
        <v>9504</v>
      </c>
      <c r="C369" s="184">
        <f t="shared" si="37"/>
        <v>9504</v>
      </c>
      <c r="D369" s="176">
        <f t="shared" si="38"/>
        <v>9504</v>
      </c>
      <c r="E369" s="35" t="str">
        <f t="shared" si="39"/>
        <v/>
      </c>
      <c r="F369" s="35" t="str">
        <f t="shared" si="39"/>
        <v/>
      </c>
      <c r="G369" s="35" t="str">
        <f t="shared" si="39"/>
        <v/>
      </c>
      <c r="H369" s="167" t="str">
        <f t="shared" si="40"/>
        <v/>
      </c>
    </row>
    <row r="370" spans="1:8">
      <c r="A370" s="170">
        <f t="shared" si="35"/>
        <v>345</v>
      </c>
      <c r="B370" s="170">
        <f t="shared" si="36"/>
        <v>9936</v>
      </c>
      <c r="C370" s="184">
        <f t="shared" si="37"/>
        <v>9936</v>
      </c>
      <c r="D370" s="176">
        <f t="shared" si="38"/>
        <v>9936</v>
      </c>
      <c r="E370" s="35" t="str">
        <f t="shared" si="39"/>
        <v/>
      </c>
      <c r="F370" s="35" t="str">
        <f t="shared" si="39"/>
        <v/>
      </c>
      <c r="G370" s="35" t="str">
        <f t="shared" si="39"/>
        <v/>
      </c>
      <c r="H370" s="167" t="str">
        <f t="shared" si="40"/>
        <v/>
      </c>
    </row>
    <row r="371" spans="1:8">
      <c r="A371" s="170">
        <f t="shared" si="35"/>
        <v>346</v>
      </c>
      <c r="B371" s="170">
        <f t="shared" si="36"/>
        <v>10368</v>
      </c>
      <c r="C371" s="184">
        <f t="shared" si="37"/>
        <v>10368</v>
      </c>
      <c r="D371" s="176">
        <f t="shared" si="38"/>
        <v>10368</v>
      </c>
      <c r="E371" s="35" t="str">
        <f t="shared" si="39"/>
        <v/>
      </c>
      <c r="F371" s="35" t="str">
        <f t="shared" si="39"/>
        <v/>
      </c>
      <c r="G371" s="35" t="str">
        <f t="shared" si="39"/>
        <v/>
      </c>
      <c r="H371" s="167" t="str">
        <f t="shared" si="40"/>
        <v/>
      </c>
    </row>
    <row r="372" spans="1:8">
      <c r="A372" s="170">
        <f t="shared" si="35"/>
        <v>347</v>
      </c>
      <c r="B372" s="170">
        <f t="shared" si="36"/>
        <v>10800</v>
      </c>
      <c r="C372" s="184">
        <f t="shared" si="37"/>
        <v>10800</v>
      </c>
      <c r="D372" s="176">
        <f t="shared" si="38"/>
        <v>10800</v>
      </c>
      <c r="E372" s="35" t="str">
        <f t="shared" si="39"/>
        <v/>
      </c>
      <c r="F372" s="35" t="str">
        <f t="shared" si="39"/>
        <v/>
      </c>
      <c r="G372" s="35" t="str">
        <f t="shared" si="39"/>
        <v/>
      </c>
      <c r="H372" s="167" t="str">
        <f t="shared" si="40"/>
        <v/>
      </c>
    </row>
    <row r="373" spans="1:8">
      <c r="A373" s="170">
        <f t="shared" si="35"/>
        <v>348</v>
      </c>
      <c r="B373" s="170">
        <f t="shared" si="36"/>
        <v>11232</v>
      </c>
      <c r="C373" s="184">
        <f t="shared" si="37"/>
        <v>11232</v>
      </c>
      <c r="D373" s="176">
        <f t="shared" si="38"/>
        <v>11232</v>
      </c>
      <c r="E373" s="35" t="str">
        <f t="shared" si="39"/>
        <v/>
      </c>
      <c r="F373" s="35" t="str">
        <f t="shared" si="39"/>
        <v/>
      </c>
      <c r="G373" s="35" t="str">
        <f t="shared" si="39"/>
        <v/>
      </c>
      <c r="H373" s="167" t="str">
        <f t="shared" si="40"/>
        <v/>
      </c>
    </row>
    <row r="374" spans="1:8">
      <c r="A374" s="170">
        <f t="shared" si="35"/>
        <v>349</v>
      </c>
      <c r="B374" s="170">
        <f t="shared" si="36"/>
        <v>11664</v>
      </c>
      <c r="C374" s="184">
        <f t="shared" si="37"/>
        <v>11664</v>
      </c>
      <c r="D374" s="176">
        <f t="shared" si="38"/>
        <v>11664</v>
      </c>
      <c r="E374" s="35" t="str">
        <f t="shared" si="39"/>
        <v/>
      </c>
      <c r="F374" s="35" t="str">
        <f t="shared" si="39"/>
        <v/>
      </c>
      <c r="G374" s="35" t="str">
        <f t="shared" si="39"/>
        <v/>
      </c>
      <c r="H374" s="167" t="str">
        <f t="shared" si="40"/>
        <v/>
      </c>
    </row>
    <row r="375" spans="1:8">
      <c r="A375" s="170">
        <f t="shared" si="35"/>
        <v>350</v>
      </c>
      <c r="B375" s="170">
        <f t="shared" si="36"/>
        <v>12096</v>
      </c>
      <c r="C375" s="184">
        <f t="shared" si="37"/>
        <v>12096</v>
      </c>
      <c r="D375" s="176">
        <f t="shared" si="38"/>
        <v>12096</v>
      </c>
      <c r="E375" s="35" t="str">
        <f t="shared" si="39"/>
        <v/>
      </c>
      <c r="F375" s="35" t="str">
        <f t="shared" si="39"/>
        <v/>
      </c>
      <c r="G375" s="35" t="str">
        <f t="shared" si="39"/>
        <v/>
      </c>
      <c r="H375" s="167" t="str">
        <f t="shared" si="40"/>
        <v/>
      </c>
    </row>
    <row r="376" spans="1:8">
      <c r="A376" s="170">
        <f t="shared" si="35"/>
        <v>351</v>
      </c>
      <c r="B376" s="170">
        <f t="shared" si="36"/>
        <v>12528</v>
      </c>
      <c r="C376" s="184">
        <f t="shared" si="37"/>
        <v>12528</v>
      </c>
      <c r="D376" s="176">
        <f t="shared" si="38"/>
        <v>12528</v>
      </c>
      <c r="E376" s="35" t="str">
        <f t="shared" si="39"/>
        <v/>
      </c>
      <c r="F376" s="35" t="str">
        <f t="shared" si="39"/>
        <v/>
      </c>
      <c r="G376" s="35" t="str">
        <f t="shared" si="39"/>
        <v/>
      </c>
      <c r="H376" s="167" t="str">
        <f t="shared" si="40"/>
        <v/>
      </c>
    </row>
    <row r="377" spans="1:8">
      <c r="A377" s="170">
        <f t="shared" si="35"/>
        <v>352</v>
      </c>
      <c r="B377" s="170">
        <f t="shared" si="36"/>
        <v>12960</v>
      </c>
      <c r="C377" s="184">
        <f t="shared" si="37"/>
        <v>12960</v>
      </c>
      <c r="D377" s="176">
        <f t="shared" si="38"/>
        <v>12960</v>
      </c>
      <c r="E377" s="35" t="str">
        <f t="shared" si="39"/>
        <v/>
      </c>
      <c r="F377" s="35" t="str">
        <f t="shared" si="39"/>
        <v/>
      </c>
      <c r="G377" s="35" t="str">
        <f t="shared" si="39"/>
        <v/>
      </c>
      <c r="H377" s="167" t="str">
        <f t="shared" si="40"/>
        <v/>
      </c>
    </row>
    <row r="378" spans="1:8">
      <c r="A378" s="170">
        <f t="shared" si="35"/>
        <v>353</v>
      </c>
      <c r="B378" s="170">
        <f t="shared" si="36"/>
        <v>13392</v>
      </c>
      <c r="C378" s="184">
        <f t="shared" si="37"/>
        <v>13392</v>
      </c>
      <c r="D378" s="176">
        <f t="shared" si="38"/>
        <v>13392</v>
      </c>
      <c r="E378" s="35" t="str">
        <f t="shared" si="39"/>
        <v/>
      </c>
      <c r="F378" s="35" t="str">
        <f t="shared" si="39"/>
        <v/>
      </c>
      <c r="G378" s="35" t="str">
        <f t="shared" si="39"/>
        <v/>
      </c>
      <c r="H378" s="167" t="str">
        <f t="shared" si="40"/>
        <v/>
      </c>
    </row>
    <row r="379" spans="1:8">
      <c r="A379" s="170">
        <f t="shared" si="35"/>
        <v>354</v>
      </c>
      <c r="B379" s="170">
        <f t="shared" si="36"/>
        <v>13824</v>
      </c>
      <c r="C379" s="184">
        <f t="shared" si="37"/>
        <v>13824</v>
      </c>
      <c r="D379" s="176">
        <f t="shared" si="38"/>
        <v>13824</v>
      </c>
      <c r="E379" s="35" t="str">
        <f t="shared" si="39"/>
        <v/>
      </c>
      <c r="F379" s="35" t="str">
        <f t="shared" si="39"/>
        <v/>
      </c>
      <c r="G379" s="35" t="str">
        <f t="shared" si="39"/>
        <v/>
      </c>
      <c r="H379" s="167" t="str">
        <f t="shared" si="40"/>
        <v/>
      </c>
    </row>
    <row r="380" spans="1:8">
      <c r="A380" s="170">
        <f t="shared" si="35"/>
        <v>355</v>
      </c>
      <c r="B380" s="170">
        <f t="shared" si="36"/>
        <v>14256</v>
      </c>
      <c r="C380" s="184">
        <f t="shared" si="37"/>
        <v>14256</v>
      </c>
      <c r="D380" s="176">
        <f t="shared" si="38"/>
        <v>14256</v>
      </c>
      <c r="E380" s="35" t="str">
        <f t="shared" si="39"/>
        <v/>
      </c>
      <c r="F380" s="35" t="str">
        <f t="shared" si="39"/>
        <v/>
      </c>
      <c r="G380" s="35" t="str">
        <f t="shared" si="39"/>
        <v/>
      </c>
      <c r="H380" s="167" t="str">
        <f t="shared" si="40"/>
        <v/>
      </c>
    </row>
    <row r="381" spans="1:8">
      <c r="A381" s="170">
        <f t="shared" si="35"/>
        <v>356</v>
      </c>
      <c r="B381" s="170">
        <f t="shared" si="36"/>
        <v>14688</v>
      </c>
      <c r="C381" s="184">
        <f t="shared" si="37"/>
        <v>14688</v>
      </c>
      <c r="D381" s="176">
        <f t="shared" si="38"/>
        <v>14688</v>
      </c>
      <c r="E381" s="35" t="str">
        <f t="shared" si="39"/>
        <v/>
      </c>
      <c r="F381" s="35" t="str">
        <f t="shared" si="39"/>
        <v/>
      </c>
      <c r="G381" s="35" t="str">
        <f t="shared" si="39"/>
        <v/>
      </c>
      <c r="H381" s="167" t="str">
        <f t="shared" si="40"/>
        <v/>
      </c>
    </row>
    <row r="382" spans="1:8">
      <c r="A382" s="170">
        <f t="shared" si="35"/>
        <v>357</v>
      </c>
      <c r="B382" s="170">
        <f t="shared" si="36"/>
        <v>15120</v>
      </c>
      <c r="C382" s="184">
        <f t="shared" si="37"/>
        <v>15120</v>
      </c>
      <c r="D382" s="176">
        <f t="shared" si="38"/>
        <v>15120</v>
      </c>
      <c r="E382" s="35" t="str">
        <f t="shared" si="39"/>
        <v/>
      </c>
      <c r="F382" s="35" t="str">
        <f t="shared" si="39"/>
        <v/>
      </c>
      <c r="G382" s="35" t="str">
        <f t="shared" si="39"/>
        <v/>
      </c>
      <c r="H382" s="167" t="str">
        <f t="shared" si="40"/>
        <v/>
      </c>
    </row>
    <row r="383" spans="1:8">
      <c r="A383" s="170">
        <f t="shared" si="35"/>
        <v>358</v>
      </c>
      <c r="B383" s="170">
        <f t="shared" si="36"/>
        <v>15552</v>
      </c>
      <c r="C383" s="184">
        <f t="shared" si="37"/>
        <v>15552</v>
      </c>
      <c r="D383" s="176">
        <f t="shared" si="38"/>
        <v>15552</v>
      </c>
      <c r="E383" s="35" t="str">
        <f t="shared" si="39"/>
        <v/>
      </c>
      <c r="F383" s="35" t="str">
        <f t="shared" si="39"/>
        <v/>
      </c>
      <c r="G383" s="35" t="str">
        <f t="shared" si="39"/>
        <v/>
      </c>
      <c r="H383" s="167" t="str">
        <f t="shared" si="40"/>
        <v/>
      </c>
    </row>
    <row r="384" spans="1:8">
      <c r="A384" s="170">
        <f t="shared" si="35"/>
        <v>359</v>
      </c>
      <c r="B384" s="170">
        <f t="shared" si="36"/>
        <v>15984</v>
      </c>
      <c r="C384" s="184">
        <f t="shared" si="37"/>
        <v>15984</v>
      </c>
      <c r="D384" s="176">
        <f t="shared" si="38"/>
        <v>15984</v>
      </c>
      <c r="E384" s="35" t="str">
        <f t="shared" si="39"/>
        <v/>
      </c>
      <c r="F384" s="35" t="str">
        <f t="shared" si="39"/>
        <v/>
      </c>
      <c r="G384" s="35" t="str">
        <f t="shared" si="39"/>
        <v/>
      </c>
      <c r="H384" s="167" t="str">
        <f t="shared" si="40"/>
        <v/>
      </c>
    </row>
    <row r="385" spans="1:8">
      <c r="A385" s="170">
        <f t="shared" si="35"/>
        <v>360</v>
      </c>
      <c r="B385" s="170">
        <f t="shared" si="36"/>
        <v>16416</v>
      </c>
      <c r="C385" s="184">
        <f t="shared" si="37"/>
        <v>16416</v>
      </c>
      <c r="D385" s="176">
        <f t="shared" si="38"/>
        <v>16416</v>
      </c>
      <c r="E385" s="35" t="str">
        <f t="shared" si="39"/>
        <v/>
      </c>
      <c r="F385" s="35" t="str">
        <f t="shared" si="39"/>
        <v/>
      </c>
      <c r="G385" s="35" t="str">
        <f t="shared" si="39"/>
        <v/>
      </c>
      <c r="H385" s="167" t="str">
        <f t="shared" si="40"/>
        <v/>
      </c>
    </row>
    <row r="386" spans="1:8">
      <c r="A386" s="170">
        <f t="shared" si="35"/>
        <v>361</v>
      </c>
      <c r="B386" s="170">
        <f t="shared" si="36"/>
        <v>16848</v>
      </c>
      <c r="C386" s="184">
        <f t="shared" si="37"/>
        <v>16848</v>
      </c>
      <c r="D386" s="176">
        <f t="shared" si="38"/>
        <v>16848</v>
      </c>
      <c r="E386" s="35" t="str">
        <f t="shared" si="39"/>
        <v/>
      </c>
      <c r="F386" s="35" t="str">
        <f t="shared" si="39"/>
        <v/>
      </c>
      <c r="G386" s="35" t="str">
        <f t="shared" si="39"/>
        <v/>
      </c>
      <c r="H386" s="167" t="str">
        <f t="shared" si="40"/>
        <v/>
      </c>
    </row>
    <row r="387" spans="1:8">
      <c r="A387" s="170">
        <f t="shared" si="35"/>
        <v>362</v>
      </c>
      <c r="B387" s="170">
        <f t="shared" si="36"/>
        <v>17280</v>
      </c>
      <c r="C387" s="184">
        <f t="shared" si="37"/>
        <v>17280</v>
      </c>
      <c r="D387" s="176">
        <f t="shared" si="38"/>
        <v>17280</v>
      </c>
      <c r="E387" s="35" t="str">
        <f t="shared" si="39"/>
        <v/>
      </c>
      <c r="F387" s="35" t="str">
        <f t="shared" si="39"/>
        <v/>
      </c>
      <c r="G387" s="35" t="str">
        <f t="shared" si="39"/>
        <v/>
      </c>
      <c r="H387" s="167" t="str">
        <f t="shared" si="40"/>
        <v/>
      </c>
    </row>
    <row r="388" spans="1:8">
      <c r="A388" s="170">
        <f t="shared" si="35"/>
        <v>363</v>
      </c>
      <c r="B388" s="170">
        <f t="shared" si="36"/>
        <v>17712</v>
      </c>
      <c r="C388" s="184">
        <f t="shared" si="37"/>
        <v>17712</v>
      </c>
      <c r="D388" s="176">
        <f t="shared" si="38"/>
        <v>17712</v>
      </c>
      <c r="E388" s="35" t="str">
        <f t="shared" si="39"/>
        <v/>
      </c>
      <c r="F388" s="35" t="str">
        <f t="shared" si="39"/>
        <v/>
      </c>
      <c r="G388" s="35" t="str">
        <f t="shared" si="39"/>
        <v/>
      </c>
      <c r="H388" s="167" t="str">
        <f t="shared" si="40"/>
        <v/>
      </c>
    </row>
    <row r="389" spans="1:8">
      <c r="A389" s="171">
        <f t="shared" si="35"/>
        <v>364</v>
      </c>
      <c r="B389" s="170">
        <f t="shared" si="36"/>
        <v>18144</v>
      </c>
      <c r="C389" s="184">
        <f t="shared" si="37"/>
        <v>18144</v>
      </c>
      <c r="D389" s="176">
        <f t="shared" si="38"/>
        <v>18144</v>
      </c>
      <c r="E389" s="35" t="str">
        <f t="shared" si="39"/>
        <v/>
      </c>
      <c r="F389" s="35" t="str">
        <f t="shared" si="39"/>
        <v/>
      </c>
      <c r="G389" s="35" t="str">
        <f t="shared" si="39"/>
        <v/>
      </c>
      <c r="H389" s="167" t="str">
        <f t="shared" si="40"/>
        <v/>
      </c>
    </row>
    <row r="390" spans="1:8">
      <c r="A390" s="93"/>
      <c r="B390" s="98"/>
      <c r="C390" s="98"/>
      <c r="D390" s="98"/>
      <c r="E390" s="98"/>
      <c r="F390" s="98"/>
      <c r="G390" s="98"/>
      <c r="H390" s="166"/>
    </row>
    <row r="391" spans="1:8">
      <c r="A391" s="93"/>
      <c r="H391"/>
    </row>
    <row r="392" spans="1:8">
      <c r="A392" s="93"/>
      <c r="H392"/>
    </row>
    <row r="393" spans="1:8">
      <c r="A393" s="93"/>
      <c r="H393"/>
    </row>
    <row r="394" spans="1:8">
      <c r="A394" s="93"/>
      <c r="H394"/>
    </row>
    <row r="395" spans="1:8">
      <c r="A395" s="93"/>
      <c r="H395"/>
    </row>
    <row r="396" spans="1:8">
      <c r="A396" s="93"/>
      <c r="H396"/>
    </row>
    <row r="397" spans="1:8">
      <c r="A397" s="93"/>
      <c r="H397"/>
    </row>
    <row r="398" spans="1:8">
      <c r="A398" s="93"/>
      <c r="H398"/>
    </row>
    <row r="399" spans="1:8">
      <c r="A399" s="93"/>
      <c r="H399"/>
    </row>
    <row r="400" spans="1:8">
      <c r="H400"/>
    </row>
    <row r="401" spans="8:8">
      <c r="H401"/>
    </row>
    <row r="402" spans="8:8">
      <c r="H402"/>
    </row>
    <row r="403" spans="8:8">
      <c r="H403"/>
    </row>
    <row r="404" spans="8:8">
      <c r="H404"/>
    </row>
    <row r="405" spans="8:8">
      <c r="H405"/>
    </row>
    <row r="406" spans="8:8">
      <c r="H406"/>
    </row>
    <row r="407" spans="8:8">
      <c r="H407"/>
    </row>
    <row r="408" spans="8:8">
      <c r="H408"/>
    </row>
    <row r="409" spans="8:8">
      <c r="H409"/>
    </row>
    <row r="410" spans="8:8">
      <c r="H410"/>
    </row>
    <row r="411" spans="8:8">
      <c r="H411"/>
    </row>
    <row r="412" spans="8:8">
      <c r="H412"/>
    </row>
    <row r="413" spans="8:8">
      <c r="H413"/>
    </row>
    <row r="414" spans="8:8">
      <c r="H414"/>
    </row>
    <row r="415" spans="8:8">
      <c r="H415"/>
    </row>
    <row r="416" spans="8:8">
      <c r="H416"/>
    </row>
    <row r="417" spans="8:8">
      <c r="H417"/>
    </row>
    <row r="418" spans="8:8">
      <c r="H418"/>
    </row>
    <row r="419" spans="8:8">
      <c r="H419"/>
    </row>
    <row r="420" spans="8:8">
      <c r="H420"/>
    </row>
    <row r="421" spans="8:8">
      <c r="H421"/>
    </row>
    <row r="422" spans="8:8">
      <c r="H422"/>
    </row>
    <row r="423" spans="8:8">
      <c r="H423"/>
    </row>
    <row r="424" spans="8:8">
      <c r="H424"/>
    </row>
    <row r="425" spans="8:8">
      <c r="H425"/>
    </row>
    <row r="426" spans="8:8">
      <c r="H426"/>
    </row>
    <row r="427" spans="8:8">
      <c r="H427"/>
    </row>
    <row r="428" spans="8:8">
      <c r="H428"/>
    </row>
    <row r="429" spans="8:8">
      <c r="H429"/>
    </row>
    <row r="430" spans="8:8">
      <c r="H430"/>
    </row>
    <row r="431" spans="8:8">
      <c r="H431"/>
    </row>
    <row r="432" spans="8:8">
      <c r="H432"/>
    </row>
    <row r="433" spans="8:8">
      <c r="H433"/>
    </row>
  </sheetData>
  <mergeCells count="3">
    <mergeCell ref="E12:G12"/>
    <mergeCell ref="B24:D24"/>
    <mergeCell ref="E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C23-C698-4AE7-AF36-D1250C03AD9C}">
  <dimension ref="A1:Z380"/>
  <sheetViews>
    <sheetView workbookViewId="0">
      <selection activeCell="G12" sqref="G12"/>
    </sheetView>
  </sheetViews>
  <sheetFormatPr defaultRowHeight="15" customHeight="1"/>
  <cols>
    <col min="1" max="2" width="18.28515625" customWidth="1"/>
    <col min="3" max="3" width="10.28515625" customWidth="1"/>
    <col min="4" max="4" width="10" customWidth="1"/>
    <col min="5" max="5" width="11" customWidth="1"/>
    <col min="6" max="6" width="9.42578125" bestFit="1" customWidth="1"/>
    <col min="7" max="7" width="9.42578125" customWidth="1"/>
    <col min="8" max="8" width="11.7109375" bestFit="1" customWidth="1"/>
    <col min="9" max="9" width="12.85546875" bestFit="1" customWidth="1"/>
    <col min="10" max="10" width="15.140625" customWidth="1"/>
    <col min="11" max="11" width="11.7109375" customWidth="1"/>
    <col min="12" max="12" width="14.140625" customWidth="1"/>
    <col min="15" max="15" width="16.140625" customWidth="1"/>
    <col min="17" max="17" width="18.7109375" bestFit="1" customWidth="1"/>
    <col min="20" max="20" width="23.5703125" customWidth="1"/>
    <col min="21" max="21" width="17.28515625" bestFit="1" customWidth="1"/>
    <col min="22" max="22" width="21.28515625" bestFit="1" customWidth="1"/>
    <col min="23" max="23" width="13.7109375" customWidth="1"/>
    <col min="30" max="30" width="11" bestFit="1" customWidth="1"/>
  </cols>
  <sheetData>
    <row r="1" spans="1:26" ht="14.45">
      <c r="C1" s="525" t="s">
        <v>246</v>
      </c>
      <c r="D1" s="526"/>
      <c r="E1" s="526"/>
      <c r="F1" s="527"/>
      <c r="G1" s="8"/>
      <c r="H1" s="1"/>
      <c r="I1" t="s">
        <v>247</v>
      </c>
      <c r="J1" s="141" t="str">
        <f>'Updated Pump Parameters'!F4</f>
        <v>Pump C</v>
      </c>
      <c r="K1" s="525" t="s">
        <v>50</v>
      </c>
      <c r="L1" s="526"/>
      <c r="M1" s="527"/>
      <c r="O1" s="525" t="s">
        <v>231</v>
      </c>
      <c r="P1" s="526"/>
      <c r="Q1" s="526"/>
      <c r="R1" s="527"/>
      <c r="T1" s="8" t="s">
        <v>248</v>
      </c>
      <c r="U1" s="8">
        <v>1000</v>
      </c>
      <c r="V1" s="8" t="s">
        <v>249</v>
      </c>
      <c r="Y1" s="73"/>
      <c r="Z1" s="1"/>
    </row>
    <row r="2" spans="1:26" ht="14.45">
      <c r="C2" s="528" t="s">
        <v>250</v>
      </c>
      <c r="D2" s="529"/>
      <c r="E2" s="309">
        <f>InputOutputData!C8</f>
        <v>432</v>
      </c>
      <c r="F2" s="68" t="s">
        <v>251</v>
      </c>
      <c r="K2" s="66" t="s">
        <v>252</v>
      </c>
      <c r="L2" s="309">
        <f>'Updated Pump Parameters'!D28</f>
        <v>336.57159174692282</v>
      </c>
      <c r="M2" s="68" t="s">
        <v>253</v>
      </c>
      <c r="O2" s="528" t="s">
        <v>254</v>
      </c>
      <c r="P2" s="529"/>
      <c r="Q2" s="67">
        <v>1</v>
      </c>
      <c r="R2" s="68"/>
      <c r="T2" s="8" t="s">
        <v>255</v>
      </c>
      <c r="U2" s="8">
        <v>9.81</v>
      </c>
      <c r="V2" s="8" t="s">
        <v>256</v>
      </c>
      <c r="Y2" s="73"/>
      <c r="Z2" s="1"/>
    </row>
    <row r="3" spans="1:26" ht="14.45">
      <c r="C3" s="528" t="s">
        <v>257</v>
      </c>
      <c r="D3" s="529"/>
      <c r="E3" s="309">
        <f>InputOutputData!S3</f>
        <v>100</v>
      </c>
      <c r="F3" s="68" t="s">
        <v>24</v>
      </c>
      <c r="K3" s="66" t="s">
        <v>258</v>
      </c>
      <c r="L3" s="309">
        <f>IF(J1="Pump A",83.7,IF(J1="Pump B",245.7,136.5))</f>
        <v>136.5</v>
      </c>
      <c r="M3" s="68" t="s">
        <v>115</v>
      </c>
      <c r="O3" s="528" t="s">
        <v>259</v>
      </c>
      <c r="P3" s="529"/>
      <c r="Q3" s="67">
        <v>2000</v>
      </c>
      <c r="R3" s="68" t="s">
        <v>137</v>
      </c>
      <c r="Y3" s="73"/>
      <c r="Z3" s="1"/>
    </row>
    <row r="4" spans="1:26" ht="14.45">
      <c r="C4" s="528" t="s">
        <v>260</v>
      </c>
      <c r="D4" s="529"/>
      <c r="E4" s="309">
        <f>InputOutputData!K6/1000</f>
        <v>1.5</v>
      </c>
      <c r="F4" s="68" t="s">
        <v>12</v>
      </c>
      <c r="K4" s="69" t="s">
        <v>138</v>
      </c>
      <c r="L4" s="87">
        <v>70</v>
      </c>
      <c r="M4" s="71" t="s">
        <v>98</v>
      </c>
      <c r="O4" s="523" t="s">
        <v>261</v>
      </c>
      <c r="P4" s="524"/>
      <c r="Q4" s="70">
        <v>96</v>
      </c>
      <c r="R4" s="71" t="s">
        <v>98</v>
      </c>
      <c r="T4" s="6" t="s">
        <v>262</v>
      </c>
      <c r="U4" s="85">
        <v>40</v>
      </c>
      <c r="V4" s="7" t="s">
        <v>263</v>
      </c>
    </row>
    <row r="5" spans="1:26" ht="14.45">
      <c r="C5" s="528" t="s">
        <v>264</v>
      </c>
      <c r="D5" s="529"/>
      <c r="E5" s="309">
        <f>InputOutputData!O2</f>
        <v>36</v>
      </c>
      <c r="F5" s="68" t="s">
        <v>12</v>
      </c>
      <c r="T5" s="6" t="s">
        <v>265</v>
      </c>
      <c r="U5" s="86">
        <v>0.35</v>
      </c>
      <c r="V5" s="7" t="s">
        <v>266</v>
      </c>
    </row>
    <row r="6" spans="1:26" ht="14.45">
      <c r="C6" s="528" t="s">
        <v>267</v>
      </c>
      <c r="D6" s="529"/>
      <c r="E6" s="490">
        <f>InputOutputData!O5</f>
        <v>63.93160407810835</v>
      </c>
      <c r="F6" s="68" t="s">
        <v>2</v>
      </c>
      <c r="K6" s="2" t="s">
        <v>78</v>
      </c>
      <c r="L6" s="84">
        <v>10</v>
      </c>
      <c r="M6" s="3" t="s">
        <v>79</v>
      </c>
      <c r="O6" s="4" t="s">
        <v>268</v>
      </c>
      <c r="P6" s="361">
        <f>InputOutputData!K19</f>
        <v>40</v>
      </c>
      <c r="Q6" s="5" t="s">
        <v>269</v>
      </c>
    </row>
    <row r="7" spans="1:26" ht="14.45">
      <c r="C7" s="528" t="s">
        <v>270</v>
      </c>
      <c r="D7" s="529"/>
      <c r="E7" s="309">
        <f>InputOutputData!C1+1.5</f>
        <v>21.5</v>
      </c>
      <c r="F7" s="68" t="s">
        <v>2</v>
      </c>
      <c r="K7" s="2" t="s">
        <v>86</v>
      </c>
      <c r="L7" s="84">
        <v>50</v>
      </c>
      <c r="M7" s="3" t="s">
        <v>87</v>
      </c>
      <c r="T7" s="305" t="s">
        <v>271</v>
      </c>
      <c r="U7" s="180"/>
    </row>
    <row r="8" spans="1:26" ht="14.45">
      <c r="C8" s="523" t="s">
        <v>272</v>
      </c>
      <c r="D8" s="524"/>
      <c r="E8" s="70">
        <v>31</v>
      </c>
      <c r="F8" s="71"/>
      <c r="K8" s="2" t="s">
        <v>95</v>
      </c>
      <c r="L8" s="84">
        <v>2</v>
      </c>
      <c r="M8" s="3" t="s">
        <v>96</v>
      </c>
      <c r="T8" s="310" t="s">
        <v>23</v>
      </c>
      <c r="U8" s="355">
        <f>InputOutputData!K15</f>
        <v>0.72</v>
      </c>
    </row>
    <row r="9" spans="1:26" ht="14.45">
      <c r="C9" s="35"/>
      <c r="D9" s="35"/>
      <c r="T9" s="306" t="s">
        <v>72</v>
      </c>
      <c r="U9" s="356">
        <f>InputOutputData!K16</f>
        <v>0.55000000000000004</v>
      </c>
    </row>
    <row r="10" spans="1:26" ht="14.45">
      <c r="C10" s="35"/>
      <c r="D10" s="35"/>
    </row>
    <row r="11" spans="1:26" ht="14.45">
      <c r="C11" s="35"/>
      <c r="D11" s="35"/>
    </row>
    <row r="13" spans="1:26" ht="14.45">
      <c r="A13" s="74" t="s">
        <v>273</v>
      </c>
      <c r="B13" s="74" t="s">
        <v>274</v>
      </c>
      <c r="C13" s="14" t="s">
        <v>274</v>
      </c>
      <c r="D13" s="75" t="s">
        <v>173</v>
      </c>
      <c r="E13" s="15" t="s">
        <v>275</v>
      </c>
      <c r="F13" s="77" t="s">
        <v>276</v>
      </c>
      <c r="G13" s="77" t="s">
        <v>277</v>
      </c>
      <c r="H13" s="77" t="s">
        <v>278</v>
      </c>
      <c r="I13" s="76" t="s">
        <v>279</v>
      </c>
      <c r="J13" s="457" t="s">
        <v>280</v>
      </c>
      <c r="K13" s="80" t="s">
        <v>281</v>
      </c>
      <c r="L13" s="81" t="s">
        <v>282</v>
      </c>
      <c r="M13" s="82" t="s">
        <v>283</v>
      </c>
      <c r="N13" s="83" t="s">
        <v>284</v>
      </c>
      <c r="O13" s="1" t="s">
        <v>285</v>
      </c>
      <c r="Q13" s="456" t="s">
        <v>286</v>
      </c>
      <c r="R13" s="428">
        <f>SUM(N16:N380)</f>
        <v>182.0977077751252</v>
      </c>
      <c r="S13" s="429" t="s">
        <v>8</v>
      </c>
      <c r="T13">
        <f>ROUNDUP(R13,0)</f>
        <v>183</v>
      </c>
      <c r="U13" s="8"/>
      <c r="V13" s="8"/>
      <c r="W13" s="8"/>
      <c r="Y13" s="8"/>
    </row>
    <row r="14" spans="1:26" ht="14.45">
      <c r="A14" s="74" t="s">
        <v>287</v>
      </c>
      <c r="B14" s="74" t="s">
        <v>288</v>
      </c>
      <c r="C14" s="14" t="s">
        <v>289</v>
      </c>
      <c r="D14" s="14"/>
      <c r="E14" s="14" t="s">
        <v>290</v>
      </c>
      <c r="F14" s="14" t="s">
        <v>188</v>
      </c>
      <c r="G14" s="14" t="s">
        <v>291</v>
      </c>
      <c r="H14" s="14" t="s">
        <v>188</v>
      </c>
      <c r="I14" s="14" t="s">
        <v>292</v>
      </c>
      <c r="J14" s="78" t="s">
        <v>188</v>
      </c>
      <c r="K14" s="53" t="s">
        <v>188</v>
      </c>
      <c r="L14" s="53" t="s">
        <v>188</v>
      </c>
      <c r="M14" s="8" t="s">
        <v>188</v>
      </c>
      <c r="N14" s="8" t="s">
        <v>293</v>
      </c>
      <c r="U14" s="8"/>
      <c r="V14" s="8"/>
    </row>
    <row r="15" spans="1:26" ht="14.45">
      <c r="A15" s="74">
        <v>0</v>
      </c>
      <c r="B15" s="7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78">
        <v>0</v>
      </c>
      <c r="K15" s="53">
        <v>0</v>
      </c>
      <c r="L15" s="53">
        <v>0</v>
      </c>
      <c r="M15" s="8">
        <v>0</v>
      </c>
      <c r="N15" s="8">
        <v>0</v>
      </c>
      <c r="U15" s="8"/>
      <c r="V15" s="8"/>
      <c r="Y15" s="522"/>
      <c r="Z15" s="522"/>
    </row>
    <row r="16" spans="1:26" ht="14.45">
      <c r="A16" s="24">
        <f>'More accurate Energy (Solar)'!A16</f>
        <v>7.8</v>
      </c>
      <c r="B16" s="24">
        <f>C16*100/144</f>
        <v>0.54166666666666652</v>
      </c>
      <c r="C16" s="13">
        <f>MIN((A16/1000)*$E$3,$E$4)</f>
        <v>0.77999999999999992</v>
      </c>
      <c r="D16" s="12">
        <v>1</v>
      </c>
      <c r="E16" s="12">
        <f>MAX(MIN(C16 - (IF(D16 &gt; $E$8, $E$2 / 1000,0)) + E15, $E$5),0)</f>
        <v>0.77999999999999992</v>
      </c>
      <c r="F16" s="12">
        <f t="shared" ref="F16:F79" si="0">C16*$L$2*1000</f>
        <v>262525.84156259982</v>
      </c>
      <c r="G16" s="391">
        <f t="shared" ref="G16:G79" si="1">1.2*$U$8*(EXP(B16/$L$3)-1-1.72*(B16/$L$3)^4)^($U$9)</f>
        <v>4.1325442125311064E-2</v>
      </c>
      <c r="H16" s="12">
        <f t="shared" ref="H16:H79" si="2">IF(C16 = 0,0,$L$2*C16/G16 * 1000)</f>
        <v>6352644.4742331654</v>
      </c>
      <c r="I16" s="12">
        <f t="shared" ref="I16:I79" si="3">($L$7 / $L$6) * C16</f>
        <v>3.8999999999999995</v>
      </c>
      <c r="J16" s="79">
        <f t="shared" ref="J16:J79" si="4">$L$8 * 10^6 * I16</f>
        <v>7799999.9999999991</v>
      </c>
      <c r="K16" s="64">
        <f t="shared" ref="K16:K79" si="5">$P$6 * 24 * 3600</f>
        <v>3456000</v>
      </c>
      <c r="L16" s="64">
        <f t="shared" ref="L16:L79" si="6">K16/ ($Q$4 / 100)^2</f>
        <v>3750000</v>
      </c>
      <c r="M16">
        <f>IF(COUNTIF(InputOutputData!K$20,"Chlorine"),L16+H16,L16+J16+H16)</f>
        <v>10102644.474233165</v>
      </c>
      <c r="N16">
        <f>(M16 / (10)^6) / 40 / 0.35</f>
        <v>0.72161746244522629</v>
      </c>
      <c r="O16" t="str">
        <f t="shared" ref="O16:O79" si="7">IF(E16=0,1,"")</f>
        <v/>
      </c>
      <c r="R16">
        <f>L3*1000/1440</f>
        <v>94.791666666666671</v>
      </c>
      <c r="Y16" s="522"/>
      <c r="Z16" s="522"/>
    </row>
    <row r="17" spans="1:20" ht="14.45">
      <c r="A17" s="24">
        <f>'More accurate Energy (Solar)'!A17</f>
        <v>1</v>
      </c>
      <c r="B17" s="24">
        <f t="shared" ref="B17:B80" si="8">C17*100/144</f>
        <v>6.9444444444444448E-2</v>
      </c>
      <c r="C17" s="13">
        <f t="shared" ref="C17:C80" si="9">MIN((A17/1000)*$E$3,$E$4)</f>
        <v>0.1</v>
      </c>
      <c r="D17" s="12">
        <f>D16+1</f>
        <v>2</v>
      </c>
      <c r="E17" s="12">
        <f t="shared" ref="E17:E80" si="10">MAX(MIN(C17 - (IF(D17 &gt; $E$8, $E$2 / 1000,0)) + E16, $E$5),0)</f>
        <v>0.87999999999999989</v>
      </c>
      <c r="F17" s="12">
        <f t="shared" si="0"/>
        <v>33657.159174692279</v>
      </c>
      <c r="G17" s="391">
        <f t="shared" si="1"/>
        <v>1.3339887795726455E-2</v>
      </c>
      <c r="H17" s="12">
        <f t="shared" si="2"/>
        <v>2523046.6470246203</v>
      </c>
      <c r="I17" s="12">
        <f t="shared" si="3"/>
        <v>0.5</v>
      </c>
      <c r="J17" s="79">
        <f t="shared" si="4"/>
        <v>1000000</v>
      </c>
      <c r="K17" s="64">
        <f t="shared" si="5"/>
        <v>3456000</v>
      </c>
      <c r="L17" s="64">
        <f t="shared" si="6"/>
        <v>3750000</v>
      </c>
      <c r="M17">
        <f>IF(COUNTIF(InputOutputData!K$20,"Chlorine"),L17+H17,L17+J17+H17)</f>
        <v>6273046.6470246203</v>
      </c>
      <c r="N17">
        <f t="shared" ref="N17:N80" si="11">(M17 / (10)^6) / 40 / 0.35</f>
        <v>0.44807476050175865</v>
      </c>
      <c r="O17" t="str">
        <f t="shared" si="7"/>
        <v/>
      </c>
    </row>
    <row r="18" spans="1:20" ht="14.45">
      <c r="A18" s="24">
        <f>'More accurate Energy (Solar)'!A18</f>
        <v>13.4</v>
      </c>
      <c r="B18" s="24">
        <f t="shared" si="8"/>
        <v>0.93055555555555558</v>
      </c>
      <c r="C18" s="13">
        <f t="shared" si="9"/>
        <v>1.34</v>
      </c>
      <c r="D18" s="12">
        <f t="shared" ref="D18:D81" si="12">D17+1</f>
        <v>3</v>
      </c>
      <c r="E18" s="12">
        <f t="shared" si="10"/>
        <v>2.2199999999999998</v>
      </c>
      <c r="F18" s="12">
        <f t="shared" si="0"/>
        <v>451005.93294087664</v>
      </c>
      <c r="G18" s="391">
        <f t="shared" si="1"/>
        <v>5.5694662580825151E-2</v>
      </c>
      <c r="H18" s="12">
        <f t="shared" si="2"/>
        <v>8097830.4211174315</v>
      </c>
      <c r="I18" s="12">
        <f t="shared" si="3"/>
        <v>6.7</v>
      </c>
      <c r="J18" s="79">
        <f t="shared" si="4"/>
        <v>13400000</v>
      </c>
      <c r="K18" s="64">
        <f t="shared" si="5"/>
        <v>3456000</v>
      </c>
      <c r="L18" s="64">
        <f t="shared" si="6"/>
        <v>3750000</v>
      </c>
      <c r="M18">
        <f>IF(COUNTIF(InputOutputData!K$20,"Chlorine"),L18+H18,L18+J18+H18)</f>
        <v>11847830.421117432</v>
      </c>
      <c r="N18">
        <f t="shared" si="11"/>
        <v>0.84627360150838815</v>
      </c>
      <c r="O18" t="str">
        <f t="shared" si="7"/>
        <v/>
      </c>
    </row>
    <row r="19" spans="1:20" ht="14.45">
      <c r="A19" s="24">
        <f>'More accurate Energy (Solar)'!A19</f>
        <v>64.2</v>
      </c>
      <c r="B19" s="24">
        <f t="shared" si="8"/>
        <v>1.0416666666666667</v>
      </c>
      <c r="C19" s="13">
        <f t="shared" si="9"/>
        <v>1.5</v>
      </c>
      <c r="D19" s="12">
        <f t="shared" si="12"/>
        <v>4</v>
      </c>
      <c r="E19" s="12">
        <f t="shared" si="10"/>
        <v>3.7199999999999998</v>
      </c>
      <c r="F19" s="12">
        <f t="shared" si="0"/>
        <v>504857.38762038422</v>
      </c>
      <c r="G19" s="391">
        <f t="shared" si="1"/>
        <v>5.9272522795741148E-2</v>
      </c>
      <c r="H19" s="12">
        <f t="shared" si="2"/>
        <v>8517561.9968154822</v>
      </c>
      <c r="I19" s="12">
        <f t="shared" si="3"/>
        <v>7.5</v>
      </c>
      <c r="J19" s="79">
        <f t="shared" si="4"/>
        <v>15000000</v>
      </c>
      <c r="K19" s="64">
        <f t="shared" si="5"/>
        <v>3456000</v>
      </c>
      <c r="L19" s="64">
        <f t="shared" si="6"/>
        <v>3750000</v>
      </c>
      <c r="M19">
        <f>IF(COUNTIF(InputOutputData!K$20,"Chlorine"),L19+H19,L19+J19+H19)</f>
        <v>12267561.996815482</v>
      </c>
      <c r="N19">
        <f t="shared" si="11"/>
        <v>0.87625442834396305</v>
      </c>
      <c r="O19" t="str">
        <f t="shared" si="7"/>
        <v/>
      </c>
      <c r="Q19" t="s">
        <v>294</v>
      </c>
      <c r="R19">
        <f>SUM(O16:O380)</f>
        <v>10</v>
      </c>
    </row>
    <row r="20" spans="1:20" ht="14.45">
      <c r="A20" s="24">
        <f>'More accurate Energy (Solar)'!A20</f>
        <v>32.200000000000003</v>
      </c>
      <c r="B20" s="24">
        <f t="shared" si="8"/>
        <v>1.0416666666666667</v>
      </c>
      <c r="C20" s="13">
        <f t="shared" si="9"/>
        <v>1.5</v>
      </c>
      <c r="D20" s="12">
        <f t="shared" si="12"/>
        <v>5</v>
      </c>
      <c r="E20" s="12">
        <f t="shared" si="10"/>
        <v>5.22</v>
      </c>
      <c r="F20" s="12">
        <f t="shared" si="0"/>
        <v>504857.38762038422</v>
      </c>
      <c r="G20" s="391">
        <f t="shared" si="1"/>
        <v>5.9272522795741148E-2</v>
      </c>
      <c r="H20" s="12">
        <f t="shared" si="2"/>
        <v>8517561.9968154822</v>
      </c>
      <c r="I20" s="12">
        <f t="shared" si="3"/>
        <v>7.5</v>
      </c>
      <c r="J20" s="79">
        <f t="shared" si="4"/>
        <v>15000000</v>
      </c>
      <c r="K20" s="64">
        <f t="shared" si="5"/>
        <v>3456000</v>
      </c>
      <c r="L20" s="64">
        <f t="shared" si="6"/>
        <v>3750000</v>
      </c>
      <c r="M20">
        <f>IF(COUNTIF(InputOutputData!K$20,"Chlorine"),L20+H20,L20+J20+H20)</f>
        <v>12267561.996815482</v>
      </c>
      <c r="N20">
        <f t="shared" si="11"/>
        <v>0.87625442834396305</v>
      </c>
      <c r="O20" t="str">
        <f t="shared" si="7"/>
        <v/>
      </c>
      <c r="Q20" t="s">
        <v>295</v>
      </c>
      <c r="R20">
        <f>365-R19</f>
        <v>355</v>
      </c>
    </row>
    <row r="21" spans="1:20" ht="14.45">
      <c r="A21" s="24">
        <f>'More accurate Energy (Solar)'!A21</f>
        <v>2.8</v>
      </c>
      <c r="B21" s="24">
        <f t="shared" si="8"/>
        <v>0.19444444444444442</v>
      </c>
      <c r="C21" s="13">
        <f t="shared" si="9"/>
        <v>0.27999999999999997</v>
      </c>
      <c r="D21" s="12">
        <f t="shared" si="12"/>
        <v>6</v>
      </c>
      <c r="E21" s="12">
        <f t="shared" si="10"/>
        <v>5.5</v>
      </c>
      <c r="F21" s="12">
        <f t="shared" si="0"/>
        <v>94240.04568913838</v>
      </c>
      <c r="G21" s="391">
        <f t="shared" si="1"/>
        <v>2.3507068854835791E-2</v>
      </c>
      <c r="H21" s="12">
        <f t="shared" si="2"/>
        <v>4009008.7909770021</v>
      </c>
      <c r="I21" s="12">
        <f t="shared" si="3"/>
        <v>1.4</v>
      </c>
      <c r="J21" s="79">
        <f t="shared" si="4"/>
        <v>2800000</v>
      </c>
      <c r="K21" s="64">
        <f t="shared" si="5"/>
        <v>3456000</v>
      </c>
      <c r="L21" s="64">
        <f t="shared" si="6"/>
        <v>3750000</v>
      </c>
      <c r="M21">
        <f>IF(COUNTIF(InputOutputData!K$20,"Chlorine"),L21+H21,L21+J21+H21)</f>
        <v>7759008.7909770021</v>
      </c>
      <c r="N21">
        <f t="shared" si="11"/>
        <v>0.55421491364121445</v>
      </c>
      <c r="O21" t="str">
        <f t="shared" si="7"/>
        <v/>
      </c>
      <c r="T21" s="9"/>
    </row>
    <row r="22" spans="1:20" ht="14.45">
      <c r="A22" s="24">
        <f>'More accurate Energy (Solar)'!A22</f>
        <v>0</v>
      </c>
      <c r="B22" s="24">
        <f t="shared" si="8"/>
        <v>0</v>
      </c>
      <c r="C22" s="13">
        <f t="shared" si="9"/>
        <v>0</v>
      </c>
      <c r="D22" s="12">
        <f t="shared" si="12"/>
        <v>7</v>
      </c>
      <c r="E22" s="12">
        <f t="shared" si="10"/>
        <v>5.5</v>
      </c>
      <c r="F22" s="12">
        <f t="shared" si="0"/>
        <v>0</v>
      </c>
      <c r="G22" s="391">
        <f t="shared" si="1"/>
        <v>0</v>
      </c>
      <c r="H22" s="12">
        <f t="shared" si="2"/>
        <v>0</v>
      </c>
      <c r="I22" s="12">
        <f t="shared" si="3"/>
        <v>0</v>
      </c>
      <c r="J22" s="79">
        <f t="shared" si="4"/>
        <v>0</v>
      </c>
      <c r="K22" s="64">
        <f t="shared" si="5"/>
        <v>3456000</v>
      </c>
      <c r="L22" s="64">
        <f t="shared" si="6"/>
        <v>3750000</v>
      </c>
      <c r="M22">
        <f>IF(COUNTIF(InputOutputData!K$20,"Chlorine"),L22+H22,L22+J22+H22)</f>
        <v>3750000</v>
      </c>
      <c r="N22">
        <f t="shared" si="11"/>
        <v>0.26785714285714285</v>
      </c>
      <c r="O22" t="str">
        <f t="shared" si="7"/>
        <v/>
      </c>
    </row>
    <row r="23" spans="1:20" ht="14.45">
      <c r="A23" s="24">
        <f>'More accurate Energy (Solar)'!A23</f>
        <v>0</v>
      </c>
      <c r="B23" s="24">
        <f t="shared" si="8"/>
        <v>0</v>
      </c>
      <c r="C23" s="13">
        <f t="shared" si="9"/>
        <v>0</v>
      </c>
      <c r="D23" s="12">
        <f t="shared" si="12"/>
        <v>8</v>
      </c>
      <c r="E23" s="12">
        <f t="shared" si="10"/>
        <v>5.5</v>
      </c>
      <c r="F23" s="12">
        <f t="shared" si="0"/>
        <v>0</v>
      </c>
      <c r="G23" s="391">
        <f t="shared" si="1"/>
        <v>0</v>
      </c>
      <c r="H23" s="12">
        <f t="shared" si="2"/>
        <v>0</v>
      </c>
      <c r="I23" s="12">
        <f t="shared" si="3"/>
        <v>0</v>
      </c>
      <c r="J23" s="79">
        <f t="shared" si="4"/>
        <v>0</v>
      </c>
      <c r="K23" s="64">
        <f t="shared" si="5"/>
        <v>3456000</v>
      </c>
      <c r="L23" s="64">
        <f t="shared" si="6"/>
        <v>3750000</v>
      </c>
      <c r="M23">
        <f>IF(COUNTIF(InputOutputData!K$20,"Chlorine"),L23+H23,L23+J23+H23)</f>
        <v>3750000</v>
      </c>
      <c r="N23">
        <f t="shared" si="11"/>
        <v>0.26785714285714285</v>
      </c>
      <c r="O23" t="str">
        <f t="shared" si="7"/>
        <v/>
      </c>
    </row>
    <row r="24" spans="1:20" ht="14.45">
      <c r="A24" s="24">
        <f>'More accurate Energy (Solar)'!A24</f>
        <v>0.8</v>
      </c>
      <c r="B24" s="24">
        <f t="shared" si="8"/>
        <v>5.5555555555555552E-2</v>
      </c>
      <c r="C24" s="13">
        <f t="shared" si="9"/>
        <v>0.08</v>
      </c>
      <c r="D24" s="12">
        <f t="shared" si="12"/>
        <v>9</v>
      </c>
      <c r="E24" s="12">
        <f t="shared" si="10"/>
        <v>5.58</v>
      </c>
      <c r="F24" s="12">
        <f t="shared" si="0"/>
        <v>26925.727339753827</v>
      </c>
      <c r="G24" s="391">
        <f t="shared" si="1"/>
        <v>1.1798845559697837E-2</v>
      </c>
      <c r="H24" s="12">
        <f t="shared" si="2"/>
        <v>2282064.5633099871</v>
      </c>
      <c r="I24" s="12">
        <f t="shared" si="3"/>
        <v>0.4</v>
      </c>
      <c r="J24" s="79">
        <f t="shared" si="4"/>
        <v>800000</v>
      </c>
      <c r="K24" s="64">
        <f t="shared" si="5"/>
        <v>3456000</v>
      </c>
      <c r="L24" s="64">
        <f t="shared" si="6"/>
        <v>3750000</v>
      </c>
      <c r="M24">
        <f>IF(COUNTIF(InputOutputData!K$20,"Chlorine"),L24+H24,L24+J24+H24)</f>
        <v>6032064.5633099871</v>
      </c>
      <c r="N24">
        <f t="shared" si="11"/>
        <v>0.43086175452214193</v>
      </c>
      <c r="O24" t="str">
        <f t="shared" si="7"/>
        <v/>
      </c>
    </row>
    <row r="25" spans="1:20" ht="14.45">
      <c r="A25" s="24">
        <f>'More accurate Energy (Solar)'!A25</f>
        <v>0</v>
      </c>
      <c r="B25" s="24">
        <f t="shared" si="8"/>
        <v>0</v>
      </c>
      <c r="C25" s="13">
        <f t="shared" si="9"/>
        <v>0</v>
      </c>
      <c r="D25" s="12">
        <f t="shared" si="12"/>
        <v>10</v>
      </c>
      <c r="E25" s="12">
        <f t="shared" si="10"/>
        <v>5.58</v>
      </c>
      <c r="F25" s="12">
        <f t="shared" si="0"/>
        <v>0</v>
      </c>
      <c r="G25" s="391">
        <f t="shared" si="1"/>
        <v>0</v>
      </c>
      <c r="H25" s="12">
        <f t="shared" si="2"/>
        <v>0</v>
      </c>
      <c r="I25" s="12">
        <f t="shared" si="3"/>
        <v>0</v>
      </c>
      <c r="J25" s="79">
        <f t="shared" si="4"/>
        <v>0</v>
      </c>
      <c r="K25" s="64">
        <f t="shared" si="5"/>
        <v>3456000</v>
      </c>
      <c r="L25" s="64">
        <f t="shared" si="6"/>
        <v>3750000</v>
      </c>
      <c r="M25">
        <f>IF(COUNTIF(InputOutputData!K$20,"Chlorine"),L25+H25,L25+J25+H25)</f>
        <v>3750000</v>
      </c>
      <c r="N25">
        <f t="shared" si="11"/>
        <v>0.26785714285714285</v>
      </c>
      <c r="O25" t="str">
        <f t="shared" si="7"/>
        <v/>
      </c>
    </row>
    <row r="26" spans="1:20" ht="14.45">
      <c r="A26" s="24">
        <f>'More accurate Energy (Solar)'!A26</f>
        <v>0</v>
      </c>
      <c r="B26" s="24">
        <f t="shared" si="8"/>
        <v>0</v>
      </c>
      <c r="C26" s="13">
        <f t="shared" si="9"/>
        <v>0</v>
      </c>
      <c r="D26" s="12">
        <f t="shared" si="12"/>
        <v>11</v>
      </c>
      <c r="E26" s="12">
        <f t="shared" si="10"/>
        <v>5.58</v>
      </c>
      <c r="F26" s="12">
        <f t="shared" si="0"/>
        <v>0</v>
      </c>
      <c r="G26" s="391">
        <f t="shared" si="1"/>
        <v>0</v>
      </c>
      <c r="H26" s="12">
        <f t="shared" si="2"/>
        <v>0</v>
      </c>
      <c r="I26" s="12">
        <f t="shared" si="3"/>
        <v>0</v>
      </c>
      <c r="J26" s="79">
        <f t="shared" si="4"/>
        <v>0</v>
      </c>
      <c r="K26" s="64">
        <f t="shared" si="5"/>
        <v>3456000</v>
      </c>
      <c r="L26" s="64">
        <f t="shared" si="6"/>
        <v>3750000</v>
      </c>
      <c r="M26">
        <f>IF(COUNTIF(InputOutputData!K$20,"Chlorine"),L26+H26,L26+J26+H26)</f>
        <v>3750000</v>
      </c>
      <c r="N26">
        <f t="shared" si="11"/>
        <v>0.26785714285714285</v>
      </c>
      <c r="O26" t="str">
        <f t="shared" si="7"/>
        <v/>
      </c>
    </row>
    <row r="27" spans="1:20" ht="14.45">
      <c r="A27" s="24">
        <f>'More accurate Energy (Solar)'!A27</f>
        <v>0</v>
      </c>
      <c r="B27" s="24">
        <f t="shared" si="8"/>
        <v>0</v>
      </c>
      <c r="C27" s="13">
        <f t="shared" si="9"/>
        <v>0</v>
      </c>
      <c r="D27" s="12">
        <f t="shared" si="12"/>
        <v>12</v>
      </c>
      <c r="E27" s="12">
        <f t="shared" si="10"/>
        <v>5.58</v>
      </c>
      <c r="F27" s="12">
        <f t="shared" si="0"/>
        <v>0</v>
      </c>
      <c r="G27" s="391">
        <f t="shared" si="1"/>
        <v>0</v>
      </c>
      <c r="H27" s="12">
        <f t="shared" si="2"/>
        <v>0</v>
      </c>
      <c r="I27" s="12">
        <f t="shared" si="3"/>
        <v>0</v>
      </c>
      <c r="J27" s="79">
        <f t="shared" si="4"/>
        <v>0</v>
      </c>
      <c r="K27" s="64">
        <f t="shared" si="5"/>
        <v>3456000</v>
      </c>
      <c r="L27" s="64">
        <f t="shared" si="6"/>
        <v>3750000</v>
      </c>
      <c r="M27">
        <f>IF(COUNTIF(InputOutputData!K$20,"Chlorine"),L27+H27,L27+J27+H27)</f>
        <v>3750000</v>
      </c>
      <c r="N27">
        <f t="shared" si="11"/>
        <v>0.26785714285714285</v>
      </c>
      <c r="O27" t="str">
        <f t="shared" si="7"/>
        <v/>
      </c>
    </row>
    <row r="28" spans="1:20" ht="14.45">
      <c r="A28" s="24">
        <f>'More accurate Energy (Solar)'!A28</f>
        <v>0</v>
      </c>
      <c r="B28" s="24">
        <f t="shared" si="8"/>
        <v>0</v>
      </c>
      <c r="C28" s="13">
        <f t="shared" si="9"/>
        <v>0</v>
      </c>
      <c r="D28" s="12">
        <f t="shared" si="12"/>
        <v>13</v>
      </c>
      <c r="E28" s="12">
        <f t="shared" si="10"/>
        <v>5.58</v>
      </c>
      <c r="F28" s="12">
        <f t="shared" si="0"/>
        <v>0</v>
      </c>
      <c r="G28" s="391">
        <f t="shared" si="1"/>
        <v>0</v>
      </c>
      <c r="H28" s="12">
        <f t="shared" si="2"/>
        <v>0</v>
      </c>
      <c r="I28" s="12">
        <f t="shared" si="3"/>
        <v>0</v>
      </c>
      <c r="J28" s="79">
        <f t="shared" si="4"/>
        <v>0</v>
      </c>
      <c r="K28" s="64">
        <f t="shared" si="5"/>
        <v>3456000</v>
      </c>
      <c r="L28" s="64">
        <f t="shared" si="6"/>
        <v>3750000</v>
      </c>
      <c r="M28">
        <f>IF(COUNTIF(InputOutputData!K$20,"Chlorine"),L28+H28,L28+J28+H28)</f>
        <v>3750000</v>
      </c>
      <c r="N28">
        <f t="shared" si="11"/>
        <v>0.26785714285714285</v>
      </c>
      <c r="O28" t="str">
        <f t="shared" si="7"/>
        <v/>
      </c>
    </row>
    <row r="29" spans="1:20" ht="14.45">
      <c r="A29" s="24">
        <f>'More accurate Energy (Solar)'!A29</f>
        <v>0.4</v>
      </c>
      <c r="B29" s="24">
        <f t="shared" si="8"/>
        <v>2.7777777777777776E-2</v>
      </c>
      <c r="C29" s="13">
        <f t="shared" si="9"/>
        <v>0.04</v>
      </c>
      <c r="D29" s="12">
        <f t="shared" si="12"/>
        <v>14</v>
      </c>
      <c r="E29" s="12">
        <f t="shared" si="10"/>
        <v>5.62</v>
      </c>
      <c r="F29" s="12">
        <f t="shared" si="0"/>
        <v>13462.863669876913</v>
      </c>
      <c r="G29" s="391">
        <f t="shared" si="1"/>
        <v>8.0583980052267804E-3</v>
      </c>
      <c r="H29" s="12">
        <f t="shared" si="2"/>
        <v>1670662.5387756634</v>
      </c>
      <c r="I29" s="12">
        <f t="shared" si="3"/>
        <v>0.2</v>
      </c>
      <c r="J29" s="79">
        <f t="shared" si="4"/>
        <v>400000</v>
      </c>
      <c r="K29" s="64">
        <f t="shared" si="5"/>
        <v>3456000</v>
      </c>
      <c r="L29" s="64">
        <f t="shared" si="6"/>
        <v>3750000</v>
      </c>
      <c r="M29">
        <f>IF(COUNTIF(InputOutputData!K$20,"Chlorine"),L29+H29,L29+J29+H29)</f>
        <v>5420662.5387756638</v>
      </c>
      <c r="N29">
        <f t="shared" si="11"/>
        <v>0.38719018134111893</v>
      </c>
      <c r="O29" t="str">
        <f t="shared" si="7"/>
        <v/>
      </c>
    </row>
    <row r="30" spans="1:20" ht="14.45">
      <c r="A30" s="24">
        <f>'More accurate Energy (Solar)'!A30</f>
        <v>35.4</v>
      </c>
      <c r="B30" s="24">
        <f t="shared" si="8"/>
        <v>1.0416666666666667</v>
      </c>
      <c r="C30" s="13">
        <f t="shared" si="9"/>
        <v>1.5</v>
      </c>
      <c r="D30" s="12">
        <f t="shared" si="12"/>
        <v>15</v>
      </c>
      <c r="E30" s="12">
        <f t="shared" si="10"/>
        <v>7.12</v>
      </c>
      <c r="F30" s="12">
        <f t="shared" si="0"/>
        <v>504857.38762038422</v>
      </c>
      <c r="G30" s="391">
        <f t="shared" si="1"/>
        <v>5.9272522795741148E-2</v>
      </c>
      <c r="H30" s="12">
        <f t="shared" si="2"/>
        <v>8517561.9968154822</v>
      </c>
      <c r="I30" s="12">
        <f t="shared" si="3"/>
        <v>7.5</v>
      </c>
      <c r="J30" s="79">
        <f t="shared" si="4"/>
        <v>15000000</v>
      </c>
      <c r="K30" s="64">
        <f t="shared" si="5"/>
        <v>3456000</v>
      </c>
      <c r="L30" s="64">
        <f t="shared" si="6"/>
        <v>3750000</v>
      </c>
      <c r="M30">
        <f>IF(COUNTIF(InputOutputData!K$20,"Chlorine"),L30+H30,L30+J30+H30)</f>
        <v>12267561.996815482</v>
      </c>
      <c r="N30">
        <f t="shared" si="11"/>
        <v>0.87625442834396305</v>
      </c>
      <c r="O30" t="str">
        <f t="shared" si="7"/>
        <v/>
      </c>
    </row>
    <row r="31" spans="1:20" ht="14.45">
      <c r="A31" s="24">
        <f>'More accurate Energy (Solar)'!A31</f>
        <v>6</v>
      </c>
      <c r="B31" s="24">
        <f t="shared" si="8"/>
        <v>0.41666666666666669</v>
      </c>
      <c r="C31" s="13">
        <f t="shared" si="9"/>
        <v>0.6</v>
      </c>
      <c r="D31" s="12">
        <f t="shared" si="12"/>
        <v>16</v>
      </c>
      <c r="E31" s="12">
        <f t="shared" si="10"/>
        <v>7.72</v>
      </c>
      <c r="F31" s="12">
        <f t="shared" si="0"/>
        <v>201942.9550481537</v>
      </c>
      <c r="G31" s="391">
        <f t="shared" si="1"/>
        <v>3.576343669814467E-2</v>
      </c>
      <c r="H31" s="12">
        <f t="shared" si="2"/>
        <v>5646631.6912610941</v>
      </c>
      <c r="I31" s="12">
        <f t="shared" si="3"/>
        <v>3</v>
      </c>
      <c r="J31" s="79">
        <f t="shared" si="4"/>
        <v>6000000</v>
      </c>
      <c r="K31" s="64">
        <f t="shared" si="5"/>
        <v>3456000</v>
      </c>
      <c r="L31" s="64">
        <f t="shared" si="6"/>
        <v>3750000</v>
      </c>
      <c r="M31">
        <f>IF(COUNTIF(InputOutputData!K$20,"Chlorine"),L31+H31,L31+J31+H31)</f>
        <v>9396631.6912610941</v>
      </c>
      <c r="N31">
        <f t="shared" si="11"/>
        <v>0.67118797794722107</v>
      </c>
      <c r="O31" t="str">
        <f t="shared" si="7"/>
        <v/>
      </c>
    </row>
    <row r="32" spans="1:20" ht="14.45">
      <c r="A32" s="24">
        <f>'More accurate Energy (Solar)'!A32</f>
        <v>20.399999999999999</v>
      </c>
      <c r="B32" s="24">
        <f t="shared" si="8"/>
        <v>1.0416666666666667</v>
      </c>
      <c r="C32" s="13">
        <f t="shared" si="9"/>
        <v>1.5</v>
      </c>
      <c r="D32" s="12">
        <f t="shared" si="12"/>
        <v>17</v>
      </c>
      <c r="E32" s="12">
        <f t="shared" si="10"/>
        <v>9.2199999999999989</v>
      </c>
      <c r="F32" s="12">
        <f t="shared" si="0"/>
        <v>504857.38762038422</v>
      </c>
      <c r="G32" s="391">
        <f t="shared" si="1"/>
        <v>5.9272522795741148E-2</v>
      </c>
      <c r="H32" s="12">
        <f t="shared" si="2"/>
        <v>8517561.9968154822</v>
      </c>
      <c r="I32" s="12">
        <f t="shared" si="3"/>
        <v>7.5</v>
      </c>
      <c r="J32" s="79">
        <f t="shared" si="4"/>
        <v>15000000</v>
      </c>
      <c r="K32" s="64">
        <f t="shared" si="5"/>
        <v>3456000</v>
      </c>
      <c r="L32" s="64">
        <f t="shared" si="6"/>
        <v>3750000</v>
      </c>
      <c r="M32">
        <f>IF(COUNTIF(InputOutputData!K$20,"Chlorine"),L32+H32,L32+J32+H32)</f>
        <v>12267561.996815482</v>
      </c>
      <c r="N32">
        <f t="shared" si="11"/>
        <v>0.87625442834396305</v>
      </c>
      <c r="O32" t="str">
        <f t="shared" si="7"/>
        <v/>
      </c>
    </row>
    <row r="33" spans="1:15" ht="14.45">
      <c r="A33" s="24">
        <f>'More accurate Energy (Solar)'!A33</f>
        <v>16.600000000000001</v>
      </c>
      <c r="B33" s="24">
        <f t="shared" si="8"/>
        <v>1.0416666666666667</v>
      </c>
      <c r="C33" s="13">
        <f t="shared" si="9"/>
        <v>1.5</v>
      </c>
      <c r="D33" s="12">
        <f t="shared" si="12"/>
        <v>18</v>
      </c>
      <c r="E33" s="12">
        <f t="shared" si="10"/>
        <v>10.719999999999999</v>
      </c>
      <c r="F33" s="12">
        <f t="shared" si="0"/>
        <v>504857.38762038422</v>
      </c>
      <c r="G33" s="391">
        <f t="shared" si="1"/>
        <v>5.9272522795741148E-2</v>
      </c>
      <c r="H33" s="12">
        <f t="shared" si="2"/>
        <v>8517561.9968154822</v>
      </c>
      <c r="I33" s="12">
        <f t="shared" si="3"/>
        <v>7.5</v>
      </c>
      <c r="J33" s="79">
        <f t="shared" si="4"/>
        <v>15000000</v>
      </c>
      <c r="K33" s="64">
        <f t="shared" si="5"/>
        <v>3456000</v>
      </c>
      <c r="L33" s="64">
        <f t="shared" si="6"/>
        <v>3750000</v>
      </c>
      <c r="M33">
        <f>IF(COUNTIF(InputOutputData!K$20,"Chlorine"),L33+H33,L33+J33+H33)</f>
        <v>12267561.996815482</v>
      </c>
      <c r="N33">
        <f t="shared" si="11"/>
        <v>0.87625442834396305</v>
      </c>
      <c r="O33" t="str">
        <f t="shared" si="7"/>
        <v/>
      </c>
    </row>
    <row r="34" spans="1:15" ht="14.45">
      <c r="A34" s="24">
        <f>'More accurate Energy (Solar)'!A34</f>
        <v>2.6</v>
      </c>
      <c r="B34" s="24">
        <f t="shared" si="8"/>
        <v>0.18055555555555555</v>
      </c>
      <c r="C34" s="13">
        <f t="shared" si="9"/>
        <v>0.26</v>
      </c>
      <c r="D34" s="12">
        <f t="shared" si="12"/>
        <v>19</v>
      </c>
      <c r="E34" s="12">
        <f t="shared" si="10"/>
        <v>10.979999999999999</v>
      </c>
      <c r="F34" s="12">
        <f t="shared" si="0"/>
        <v>87508.613854199939</v>
      </c>
      <c r="G34" s="391">
        <f t="shared" si="1"/>
        <v>2.2567567437152845E-2</v>
      </c>
      <c r="H34" s="12">
        <f t="shared" si="2"/>
        <v>3877627.2231332762</v>
      </c>
      <c r="I34" s="12">
        <f t="shared" si="3"/>
        <v>1.3</v>
      </c>
      <c r="J34" s="79">
        <f t="shared" si="4"/>
        <v>2600000</v>
      </c>
      <c r="K34" s="64">
        <f t="shared" si="5"/>
        <v>3456000</v>
      </c>
      <c r="L34" s="64">
        <f t="shared" si="6"/>
        <v>3750000</v>
      </c>
      <c r="M34">
        <f>IF(COUNTIF(InputOutputData!K$20,"Chlorine"),L34+H34,L34+J34+H34)</f>
        <v>7627627.2231332762</v>
      </c>
      <c r="N34">
        <f t="shared" si="11"/>
        <v>0.54483051593809118</v>
      </c>
      <c r="O34" t="str">
        <f t="shared" si="7"/>
        <v/>
      </c>
    </row>
    <row r="35" spans="1:15" ht="14.45">
      <c r="A35" s="24">
        <f>'More accurate Energy (Solar)'!A35</f>
        <v>0.4</v>
      </c>
      <c r="B35" s="24">
        <f t="shared" si="8"/>
        <v>2.7777777777777776E-2</v>
      </c>
      <c r="C35" s="13">
        <f t="shared" si="9"/>
        <v>0.04</v>
      </c>
      <c r="D35" s="12">
        <f t="shared" si="12"/>
        <v>20</v>
      </c>
      <c r="E35" s="12">
        <f t="shared" si="10"/>
        <v>11.019999999999998</v>
      </c>
      <c r="F35" s="12">
        <f t="shared" si="0"/>
        <v>13462.863669876913</v>
      </c>
      <c r="G35" s="391">
        <f t="shared" si="1"/>
        <v>8.0583980052267804E-3</v>
      </c>
      <c r="H35" s="12">
        <f t="shared" si="2"/>
        <v>1670662.5387756634</v>
      </c>
      <c r="I35" s="12">
        <f t="shared" si="3"/>
        <v>0.2</v>
      </c>
      <c r="J35" s="79">
        <f t="shared" si="4"/>
        <v>400000</v>
      </c>
      <c r="K35" s="64">
        <f t="shared" si="5"/>
        <v>3456000</v>
      </c>
      <c r="L35" s="64">
        <f t="shared" si="6"/>
        <v>3750000</v>
      </c>
      <c r="M35">
        <f>IF(COUNTIF(InputOutputData!K$20,"Chlorine"),L35+H35,L35+J35+H35)</f>
        <v>5420662.5387756638</v>
      </c>
      <c r="N35">
        <f t="shared" si="11"/>
        <v>0.38719018134111893</v>
      </c>
      <c r="O35" t="str">
        <f t="shared" si="7"/>
        <v/>
      </c>
    </row>
    <row r="36" spans="1:15" ht="14.45">
      <c r="A36" s="24">
        <f>'More accurate Energy (Solar)'!A36</f>
        <v>18.399999999999999</v>
      </c>
      <c r="B36" s="24">
        <f t="shared" si="8"/>
        <v>1.0416666666666667</v>
      </c>
      <c r="C36" s="13">
        <f t="shared" si="9"/>
        <v>1.5</v>
      </c>
      <c r="D36" s="12">
        <f t="shared" si="12"/>
        <v>21</v>
      </c>
      <c r="E36" s="12">
        <f t="shared" si="10"/>
        <v>12.519999999999998</v>
      </c>
      <c r="F36" s="12">
        <f t="shared" si="0"/>
        <v>504857.38762038422</v>
      </c>
      <c r="G36" s="391">
        <f t="shared" si="1"/>
        <v>5.9272522795741148E-2</v>
      </c>
      <c r="H36" s="12">
        <f t="shared" si="2"/>
        <v>8517561.9968154822</v>
      </c>
      <c r="I36" s="12">
        <f t="shared" si="3"/>
        <v>7.5</v>
      </c>
      <c r="J36" s="79">
        <f t="shared" si="4"/>
        <v>15000000</v>
      </c>
      <c r="K36" s="64">
        <f t="shared" si="5"/>
        <v>3456000</v>
      </c>
      <c r="L36" s="64">
        <f t="shared" si="6"/>
        <v>3750000</v>
      </c>
      <c r="M36">
        <f>IF(COUNTIF(InputOutputData!K$20,"Chlorine"),L36+H36,L36+J36+H36)</f>
        <v>12267561.996815482</v>
      </c>
      <c r="N36">
        <f t="shared" si="11"/>
        <v>0.87625442834396305</v>
      </c>
      <c r="O36" t="str">
        <f t="shared" si="7"/>
        <v/>
      </c>
    </row>
    <row r="37" spans="1:15" ht="14.45">
      <c r="A37" s="24">
        <f>'More accurate Energy (Solar)'!A37</f>
        <v>14</v>
      </c>
      <c r="B37" s="24">
        <f t="shared" si="8"/>
        <v>0.97222222222222221</v>
      </c>
      <c r="C37" s="13">
        <f t="shared" si="9"/>
        <v>1.4000000000000001</v>
      </c>
      <c r="D37" s="12">
        <f t="shared" si="12"/>
        <v>22</v>
      </c>
      <c r="E37" s="12">
        <f t="shared" si="10"/>
        <v>13.919999999999998</v>
      </c>
      <c r="F37" s="12">
        <f t="shared" si="0"/>
        <v>471200.22844569199</v>
      </c>
      <c r="G37" s="391">
        <f t="shared" si="1"/>
        <v>5.70575130409295E-2</v>
      </c>
      <c r="H37" s="12">
        <f t="shared" si="2"/>
        <v>8258338.0055082729</v>
      </c>
      <c r="I37" s="12">
        <f t="shared" si="3"/>
        <v>7.0000000000000009</v>
      </c>
      <c r="J37" s="79">
        <f t="shared" si="4"/>
        <v>14000000.000000002</v>
      </c>
      <c r="K37" s="64">
        <f t="shared" si="5"/>
        <v>3456000</v>
      </c>
      <c r="L37" s="64">
        <f t="shared" si="6"/>
        <v>3750000</v>
      </c>
      <c r="M37">
        <f>IF(COUNTIF(InputOutputData!K$20,"Chlorine"),L37+H37,L37+J37+H37)</f>
        <v>12008338.005508274</v>
      </c>
      <c r="N37">
        <f t="shared" si="11"/>
        <v>0.85773842896487662</v>
      </c>
      <c r="O37" t="str">
        <f t="shared" si="7"/>
        <v/>
      </c>
    </row>
    <row r="38" spans="1:15" ht="14.45">
      <c r="A38" s="24">
        <f>'More accurate Energy (Solar)'!A38</f>
        <v>90.8</v>
      </c>
      <c r="B38" s="24">
        <f t="shared" si="8"/>
        <v>1.0416666666666667</v>
      </c>
      <c r="C38" s="13">
        <f t="shared" si="9"/>
        <v>1.5</v>
      </c>
      <c r="D38" s="12">
        <f t="shared" si="12"/>
        <v>23</v>
      </c>
      <c r="E38" s="12">
        <f t="shared" si="10"/>
        <v>15.419999999999998</v>
      </c>
      <c r="F38" s="12">
        <f t="shared" si="0"/>
        <v>504857.38762038422</v>
      </c>
      <c r="G38" s="391">
        <f t="shared" si="1"/>
        <v>5.9272522795741148E-2</v>
      </c>
      <c r="H38" s="12">
        <f t="shared" si="2"/>
        <v>8517561.9968154822</v>
      </c>
      <c r="I38" s="12">
        <f t="shared" si="3"/>
        <v>7.5</v>
      </c>
      <c r="J38" s="79">
        <f t="shared" si="4"/>
        <v>15000000</v>
      </c>
      <c r="K38" s="64">
        <f t="shared" si="5"/>
        <v>3456000</v>
      </c>
      <c r="L38" s="64">
        <f t="shared" si="6"/>
        <v>3750000</v>
      </c>
      <c r="M38">
        <f>IF(COUNTIF(InputOutputData!K$20,"Chlorine"),L38+H38,L38+J38+H38)</f>
        <v>12267561.996815482</v>
      </c>
      <c r="N38">
        <f t="shared" si="11"/>
        <v>0.87625442834396305</v>
      </c>
      <c r="O38" t="str">
        <f t="shared" si="7"/>
        <v/>
      </c>
    </row>
    <row r="39" spans="1:15" ht="14.45">
      <c r="A39" s="24">
        <f>'More accurate Energy (Solar)'!A39</f>
        <v>40</v>
      </c>
      <c r="B39" s="24">
        <f t="shared" si="8"/>
        <v>1.0416666666666667</v>
      </c>
      <c r="C39" s="13">
        <f t="shared" si="9"/>
        <v>1.5</v>
      </c>
      <c r="D39" s="12">
        <f t="shared" si="12"/>
        <v>24</v>
      </c>
      <c r="E39" s="12">
        <f t="shared" si="10"/>
        <v>16.919999999999998</v>
      </c>
      <c r="F39" s="12">
        <f t="shared" si="0"/>
        <v>504857.38762038422</v>
      </c>
      <c r="G39" s="391">
        <f t="shared" si="1"/>
        <v>5.9272522795741148E-2</v>
      </c>
      <c r="H39" s="12">
        <f t="shared" si="2"/>
        <v>8517561.9968154822</v>
      </c>
      <c r="I39" s="12">
        <f t="shared" si="3"/>
        <v>7.5</v>
      </c>
      <c r="J39" s="79">
        <f t="shared" si="4"/>
        <v>15000000</v>
      </c>
      <c r="K39" s="64">
        <f t="shared" si="5"/>
        <v>3456000</v>
      </c>
      <c r="L39" s="64">
        <f t="shared" si="6"/>
        <v>3750000</v>
      </c>
      <c r="M39">
        <f>IF(COUNTIF(InputOutputData!K$20,"Chlorine"),L39+H39,L39+J39+H39)</f>
        <v>12267561.996815482</v>
      </c>
      <c r="N39">
        <f t="shared" si="11"/>
        <v>0.87625442834396305</v>
      </c>
      <c r="O39" t="str">
        <f t="shared" si="7"/>
        <v/>
      </c>
    </row>
    <row r="40" spans="1:15" ht="14.45">
      <c r="A40" s="24">
        <f>'More accurate Energy (Solar)'!A40</f>
        <v>1.8</v>
      </c>
      <c r="B40" s="24">
        <f t="shared" si="8"/>
        <v>0.125</v>
      </c>
      <c r="C40" s="13">
        <f t="shared" si="9"/>
        <v>0.18</v>
      </c>
      <c r="D40" s="12">
        <f t="shared" si="12"/>
        <v>25</v>
      </c>
      <c r="E40" s="12">
        <f t="shared" si="10"/>
        <v>17.099999999999998</v>
      </c>
      <c r="F40" s="12">
        <f t="shared" si="0"/>
        <v>60582.886514446102</v>
      </c>
      <c r="G40" s="391">
        <f t="shared" si="1"/>
        <v>1.843319716624707E-2</v>
      </c>
      <c r="H40" s="12">
        <f t="shared" si="2"/>
        <v>3286618.4833838325</v>
      </c>
      <c r="I40" s="12">
        <f t="shared" si="3"/>
        <v>0.89999999999999991</v>
      </c>
      <c r="J40" s="79">
        <f t="shared" si="4"/>
        <v>1799999.9999999998</v>
      </c>
      <c r="K40" s="64">
        <f t="shared" si="5"/>
        <v>3456000</v>
      </c>
      <c r="L40" s="64">
        <f t="shared" si="6"/>
        <v>3750000</v>
      </c>
      <c r="M40">
        <f>IF(COUNTIF(InputOutputData!K$20,"Chlorine"),L40+H40,L40+J40+H40)</f>
        <v>7036618.4833838325</v>
      </c>
      <c r="N40">
        <f t="shared" si="11"/>
        <v>0.50261560595598798</v>
      </c>
      <c r="O40" t="str">
        <f t="shared" si="7"/>
        <v/>
      </c>
    </row>
    <row r="41" spans="1:15" ht="14.45">
      <c r="A41" s="24">
        <f>'More accurate Energy (Solar)'!A41</f>
        <v>2.8</v>
      </c>
      <c r="B41" s="24">
        <f t="shared" si="8"/>
        <v>0.19444444444444442</v>
      </c>
      <c r="C41" s="13">
        <f t="shared" si="9"/>
        <v>0.27999999999999997</v>
      </c>
      <c r="D41" s="12">
        <f t="shared" si="12"/>
        <v>26</v>
      </c>
      <c r="E41" s="12">
        <f t="shared" si="10"/>
        <v>17.38</v>
      </c>
      <c r="F41" s="12">
        <f t="shared" si="0"/>
        <v>94240.04568913838</v>
      </c>
      <c r="G41" s="391">
        <f t="shared" si="1"/>
        <v>2.3507068854835791E-2</v>
      </c>
      <c r="H41" s="12">
        <f t="shared" si="2"/>
        <v>4009008.7909770021</v>
      </c>
      <c r="I41" s="12">
        <f t="shared" si="3"/>
        <v>1.4</v>
      </c>
      <c r="J41" s="79">
        <f t="shared" si="4"/>
        <v>2800000</v>
      </c>
      <c r="K41" s="64">
        <f t="shared" si="5"/>
        <v>3456000</v>
      </c>
      <c r="L41" s="64">
        <f t="shared" si="6"/>
        <v>3750000</v>
      </c>
      <c r="M41">
        <f>IF(COUNTIF(InputOutputData!K$20,"Chlorine"),L41+H41,L41+J41+H41)</f>
        <v>7759008.7909770021</v>
      </c>
      <c r="N41">
        <f t="shared" si="11"/>
        <v>0.55421491364121445</v>
      </c>
      <c r="O41" t="str">
        <f t="shared" si="7"/>
        <v/>
      </c>
    </row>
    <row r="42" spans="1:15" ht="14.45">
      <c r="A42" s="24">
        <f>'More accurate Energy (Solar)'!A42</f>
        <v>2.8</v>
      </c>
      <c r="B42" s="24">
        <f t="shared" si="8"/>
        <v>0.19444444444444442</v>
      </c>
      <c r="C42" s="13">
        <f t="shared" si="9"/>
        <v>0.27999999999999997</v>
      </c>
      <c r="D42" s="12">
        <f t="shared" si="12"/>
        <v>27</v>
      </c>
      <c r="E42" s="12">
        <f t="shared" si="10"/>
        <v>17.66</v>
      </c>
      <c r="F42" s="12">
        <f t="shared" si="0"/>
        <v>94240.04568913838</v>
      </c>
      <c r="G42" s="391">
        <f t="shared" si="1"/>
        <v>2.3507068854835791E-2</v>
      </c>
      <c r="H42" s="12">
        <f t="shared" si="2"/>
        <v>4009008.7909770021</v>
      </c>
      <c r="I42" s="12">
        <f t="shared" si="3"/>
        <v>1.4</v>
      </c>
      <c r="J42" s="79">
        <f t="shared" si="4"/>
        <v>2800000</v>
      </c>
      <c r="K42" s="64">
        <f t="shared" si="5"/>
        <v>3456000</v>
      </c>
      <c r="L42" s="64">
        <f t="shared" si="6"/>
        <v>3750000</v>
      </c>
      <c r="M42">
        <f>IF(COUNTIF(InputOutputData!K$20,"Chlorine"),L42+H42,L42+J42+H42)</f>
        <v>7759008.7909770021</v>
      </c>
      <c r="N42">
        <f t="shared" si="11"/>
        <v>0.55421491364121445</v>
      </c>
      <c r="O42" t="str">
        <f t="shared" si="7"/>
        <v/>
      </c>
    </row>
    <row r="43" spans="1:15" ht="14.45">
      <c r="A43" s="24">
        <f>'More accurate Energy (Solar)'!A43</f>
        <v>0</v>
      </c>
      <c r="B43" s="24">
        <f t="shared" si="8"/>
        <v>0</v>
      </c>
      <c r="C43" s="13">
        <f t="shared" si="9"/>
        <v>0</v>
      </c>
      <c r="D43" s="12">
        <f t="shared" si="12"/>
        <v>28</v>
      </c>
      <c r="E43" s="12">
        <f t="shared" si="10"/>
        <v>17.66</v>
      </c>
      <c r="F43" s="12">
        <f t="shared" si="0"/>
        <v>0</v>
      </c>
      <c r="G43" s="391">
        <f t="shared" si="1"/>
        <v>0</v>
      </c>
      <c r="H43" s="12">
        <f t="shared" si="2"/>
        <v>0</v>
      </c>
      <c r="I43" s="12">
        <f t="shared" si="3"/>
        <v>0</v>
      </c>
      <c r="J43" s="79">
        <f t="shared" si="4"/>
        <v>0</v>
      </c>
      <c r="K43" s="64">
        <f t="shared" si="5"/>
        <v>3456000</v>
      </c>
      <c r="L43" s="64">
        <f t="shared" si="6"/>
        <v>3750000</v>
      </c>
      <c r="M43">
        <f>IF(COUNTIF(InputOutputData!K$20,"Chlorine"),L43+H43,L43+J43+H43)</f>
        <v>3750000</v>
      </c>
      <c r="N43">
        <f t="shared" si="11"/>
        <v>0.26785714285714285</v>
      </c>
      <c r="O43" t="str">
        <f t="shared" si="7"/>
        <v/>
      </c>
    </row>
    <row r="44" spans="1:15" ht="14.45">
      <c r="A44" s="24">
        <f>'More accurate Energy (Solar)'!A44</f>
        <v>0</v>
      </c>
      <c r="B44" s="24">
        <f t="shared" si="8"/>
        <v>0</v>
      </c>
      <c r="C44" s="13">
        <f t="shared" si="9"/>
        <v>0</v>
      </c>
      <c r="D44" s="12">
        <f t="shared" si="12"/>
        <v>29</v>
      </c>
      <c r="E44" s="12">
        <f t="shared" si="10"/>
        <v>17.66</v>
      </c>
      <c r="F44" s="12">
        <f t="shared" si="0"/>
        <v>0</v>
      </c>
      <c r="G44" s="391">
        <f t="shared" si="1"/>
        <v>0</v>
      </c>
      <c r="H44" s="12">
        <f t="shared" si="2"/>
        <v>0</v>
      </c>
      <c r="I44" s="12">
        <f t="shared" si="3"/>
        <v>0</v>
      </c>
      <c r="J44" s="79">
        <f t="shared" si="4"/>
        <v>0</v>
      </c>
      <c r="K44" s="64">
        <f t="shared" si="5"/>
        <v>3456000</v>
      </c>
      <c r="L44" s="64">
        <f t="shared" si="6"/>
        <v>3750000</v>
      </c>
      <c r="M44">
        <f>IF(COUNTIF(InputOutputData!K$20,"Chlorine"),L44+H44,L44+J44+H44)</f>
        <v>3750000</v>
      </c>
      <c r="N44">
        <f t="shared" si="11"/>
        <v>0.26785714285714285</v>
      </c>
      <c r="O44" t="str">
        <f t="shared" si="7"/>
        <v/>
      </c>
    </row>
    <row r="45" spans="1:15" ht="14.45">
      <c r="A45" s="24">
        <f>'More accurate Energy (Solar)'!A45</f>
        <v>0.6</v>
      </c>
      <c r="B45" s="24">
        <f t="shared" si="8"/>
        <v>4.1666666666666664E-2</v>
      </c>
      <c r="C45" s="13">
        <f t="shared" si="9"/>
        <v>0.06</v>
      </c>
      <c r="D45" s="12">
        <f t="shared" si="12"/>
        <v>30</v>
      </c>
      <c r="E45" s="12">
        <f t="shared" si="10"/>
        <v>17.72</v>
      </c>
      <c r="F45" s="12">
        <f t="shared" si="0"/>
        <v>20194.295504815367</v>
      </c>
      <c r="G45" s="391">
        <f t="shared" si="1"/>
        <v>1.0071891960946849E-2</v>
      </c>
      <c r="H45" s="12">
        <f t="shared" si="2"/>
        <v>2005015.1037280308</v>
      </c>
      <c r="I45" s="12">
        <f t="shared" si="3"/>
        <v>0.3</v>
      </c>
      <c r="J45" s="79">
        <f t="shared" si="4"/>
        <v>600000</v>
      </c>
      <c r="K45" s="64">
        <f t="shared" si="5"/>
        <v>3456000</v>
      </c>
      <c r="L45" s="64">
        <f t="shared" si="6"/>
        <v>3750000</v>
      </c>
      <c r="M45">
        <f>IF(COUNTIF(InputOutputData!K$20,"Chlorine"),L45+H45,L45+J45+H45)</f>
        <v>5755015.1037280308</v>
      </c>
      <c r="N45">
        <f t="shared" si="11"/>
        <v>0.41107250740914508</v>
      </c>
      <c r="O45" t="str">
        <f t="shared" si="7"/>
        <v/>
      </c>
    </row>
    <row r="46" spans="1:15" ht="14.45">
      <c r="A46" s="24">
        <f>'More accurate Energy (Solar)'!A46</f>
        <v>5.8</v>
      </c>
      <c r="B46" s="24">
        <f t="shared" si="8"/>
        <v>0.40277777777777773</v>
      </c>
      <c r="C46" s="13">
        <f t="shared" si="9"/>
        <v>0.57999999999999996</v>
      </c>
      <c r="D46" s="12">
        <f t="shared" si="12"/>
        <v>31</v>
      </c>
      <c r="E46" s="12">
        <f t="shared" si="10"/>
        <v>18.299999999999997</v>
      </c>
      <c r="F46" s="12">
        <f t="shared" si="0"/>
        <v>195211.52321321523</v>
      </c>
      <c r="G46" s="391">
        <f t="shared" si="1"/>
        <v>3.5101792730858464E-2</v>
      </c>
      <c r="H46" s="12">
        <f t="shared" si="2"/>
        <v>5561297.814900551</v>
      </c>
      <c r="I46" s="12">
        <f t="shared" si="3"/>
        <v>2.9</v>
      </c>
      <c r="J46" s="79">
        <f t="shared" si="4"/>
        <v>5800000</v>
      </c>
      <c r="K46" s="64">
        <f t="shared" si="5"/>
        <v>3456000</v>
      </c>
      <c r="L46" s="64">
        <f t="shared" si="6"/>
        <v>3750000</v>
      </c>
      <c r="M46">
        <f>IF(COUNTIF(InputOutputData!K$20,"Chlorine"),L46+H46,L46+J46+H46)</f>
        <v>9311297.814900551</v>
      </c>
      <c r="N46">
        <f t="shared" si="11"/>
        <v>0.66509270106432505</v>
      </c>
      <c r="O46" t="str">
        <f t="shared" si="7"/>
        <v/>
      </c>
    </row>
    <row r="47" spans="1:15" ht="14.45">
      <c r="A47" s="24">
        <f>'More accurate Energy (Solar)'!A47</f>
        <v>8</v>
      </c>
      <c r="B47" s="24">
        <f t="shared" si="8"/>
        <v>0.55555555555555558</v>
      </c>
      <c r="C47" s="13">
        <f t="shared" si="9"/>
        <v>0.8</v>
      </c>
      <c r="D47" s="12">
        <f t="shared" si="12"/>
        <v>32</v>
      </c>
      <c r="E47" s="12">
        <f t="shared" si="10"/>
        <v>18.667999999999996</v>
      </c>
      <c r="F47" s="12">
        <f t="shared" si="0"/>
        <v>269257.27339753823</v>
      </c>
      <c r="G47" s="391">
        <f t="shared" si="1"/>
        <v>4.1906088731039438E-2</v>
      </c>
      <c r="H47" s="12">
        <f t="shared" si="2"/>
        <v>6425254.2184425332</v>
      </c>
      <c r="I47" s="12">
        <f t="shared" si="3"/>
        <v>4</v>
      </c>
      <c r="J47" s="79">
        <f t="shared" si="4"/>
        <v>8000000</v>
      </c>
      <c r="K47" s="64">
        <f t="shared" si="5"/>
        <v>3456000</v>
      </c>
      <c r="L47" s="64">
        <f t="shared" si="6"/>
        <v>3750000</v>
      </c>
      <c r="M47">
        <f>IF(COUNTIF(InputOutputData!K$20,"Chlorine"),L47+H47,L47+J47+H47)</f>
        <v>10175254.218442533</v>
      </c>
      <c r="N47">
        <f t="shared" si="11"/>
        <v>0.72680387274589531</v>
      </c>
      <c r="O47" t="str">
        <f t="shared" si="7"/>
        <v/>
      </c>
    </row>
    <row r="48" spans="1:15" ht="14.45">
      <c r="A48" s="24">
        <f>'More accurate Energy (Solar)'!A48</f>
        <v>27</v>
      </c>
      <c r="B48" s="24">
        <f t="shared" si="8"/>
        <v>1.0416666666666667</v>
      </c>
      <c r="C48" s="13">
        <f t="shared" si="9"/>
        <v>1.5</v>
      </c>
      <c r="D48" s="12">
        <f t="shared" si="12"/>
        <v>33</v>
      </c>
      <c r="E48" s="12">
        <f t="shared" si="10"/>
        <v>19.735999999999997</v>
      </c>
      <c r="F48" s="12">
        <f t="shared" si="0"/>
        <v>504857.38762038422</v>
      </c>
      <c r="G48" s="391">
        <f t="shared" si="1"/>
        <v>5.9272522795741148E-2</v>
      </c>
      <c r="H48" s="12">
        <f t="shared" si="2"/>
        <v>8517561.9968154822</v>
      </c>
      <c r="I48" s="12">
        <f t="shared" si="3"/>
        <v>7.5</v>
      </c>
      <c r="J48" s="79">
        <f t="shared" si="4"/>
        <v>15000000</v>
      </c>
      <c r="K48" s="64">
        <f t="shared" si="5"/>
        <v>3456000</v>
      </c>
      <c r="L48" s="64">
        <f t="shared" si="6"/>
        <v>3750000</v>
      </c>
      <c r="M48">
        <f>IF(COUNTIF(InputOutputData!K$20,"Chlorine"),L48+H48,L48+J48+H48)</f>
        <v>12267561.996815482</v>
      </c>
      <c r="N48">
        <f t="shared" si="11"/>
        <v>0.87625442834396305</v>
      </c>
      <c r="O48" t="str">
        <f t="shared" si="7"/>
        <v/>
      </c>
    </row>
    <row r="49" spans="1:15" ht="14.45">
      <c r="A49" s="24">
        <f>'More accurate Energy (Solar)'!A49</f>
        <v>0.6</v>
      </c>
      <c r="B49" s="24">
        <f t="shared" si="8"/>
        <v>4.1666666666666664E-2</v>
      </c>
      <c r="C49" s="13">
        <f t="shared" si="9"/>
        <v>0.06</v>
      </c>
      <c r="D49" s="12">
        <f t="shared" si="12"/>
        <v>34</v>
      </c>
      <c r="E49" s="12">
        <f t="shared" si="10"/>
        <v>19.363999999999997</v>
      </c>
      <c r="F49" s="12">
        <f t="shared" si="0"/>
        <v>20194.295504815367</v>
      </c>
      <c r="G49" s="391">
        <f t="shared" si="1"/>
        <v>1.0071891960946849E-2</v>
      </c>
      <c r="H49" s="12">
        <f t="shared" si="2"/>
        <v>2005015.1037280308</v>
      </c>
      <c r="I49" s="12">
        <f t="shared" si="3"/>
        <v>0.3</v>
      </c>
      <c r="J49" s="79">
        <f t="shared" si="4"/>
        <v>600000</v>
      </c>
      <c r="K49" s="64">
        <f t="shared" si="5"/>
        <v>3456000</v>
      </c>
      <c r="L49" s="64">
        <f t="shared" si="6"/>
        <v>3750000</v>
      </c>
      <c r="M49">
        <f>IF(COUNTIF(InputOutputData!K$20,"Chlorine"),L49+H49,L49+J49+H49)</f>
        <v>5755015.1037280308</v>
      </c>
      <c r="N49">
        <f t="shared" si="11"/>
        <v>0.41107250740914508</v>
      </c>
      <c r="O49" t="str">
        <f t="shared" si="7"/>
        <v/>
      </c>
    </row>
    <row r="50" spans="1:15" ht="14.45">
      <c r="A50" s="24">
        <f>'More accurate Energy (Solar)'!A50</f>
        <v>36</v>
      </c>
      <c r="B50" s="24">
        <f t="shared" si="8"/>
        <v>1.0416666666666667</v>
      </c>
      <c r="C50" s="13">
        <f t="shared" si="9"/>
        <v>1.5</v>
      </c>
      <c r="D50" s="12">
        <f t="shared" si="12"/>
        <v>35</v>
      </c>
      <c r="E50" s="12">
        <f t="shared" si="10"/>
        <v>20.431999999999999</v>
      </c>
      <c r="F50" s="12">
        <f t="shared" si="0"/>
        <v>504857.38762038422</v>
      </c>
      <c r="G50" s="391">
        <f t="shared" si="1"/>
        <v>5.9272522795741148E-2</v>
      </c>
      <c r="H50" s="12">
        <f t="shared" si="2"/>
        <v>8517561.9968154822</v>
      </c>
      <c r="I50" s="12">
        <f t="shared" si="3"/>
        <v>7.5</v>
      </c>
      <c r="J50" s="79">
        <f t="shared" si="4"/>
        <v>15000000</v>
      </c>
      <c r="K50" s="64">
        <f t="shared" si="5"/>
        <v>3456000</v>
      </c>
      <c r="L50" s="64">
        <f t="shared" si="6"/>
        <v>3750000</v>
      </c>
      <c r="M50">
        <f>IF(COUNTIF(InputOutputData!K$20,"Chlorine"),L50+H50,L50+J50+H50)</f>
        <v>12267561.996815482</v>
      </c>
      <c r="N50">
        <f t="shared" si="11"/>
        <v>0.87625442834396305</v>
      </c>
      <c r="O50" t="str">
        <f t="shared" si="7"/>
        <v/>
      </c>
    </row>
    <row r="51" spans="1:15" ht="14.45">
      <c r="A51" s="24">
        <f>'More accurate Energy (Solar)'!A51</f>
        <v>27.2</v>
      </c>
      <c r="B51" s="24">
        <f t="shared" si="8"/>
        <v>1.0416666666666667</v>
      </c>
      <c r="C51" s="13">
        <f t="shared" si="9"/>
        <v>1.5</v>
      </c>
      <c r="D51" s="12">
        <f t="shared" si="12"/>
        <v>36</v>
      </c>
      <c r="E51" s="12">
        <f t="shared" si="10"/>
        <v>21.5</v>
      </c>
      <c r="F51" s="12">
        <f t="shared" si="0"/>
        <v>504857.38762038422</v>
      </c>
      <c r="G51" s="391">
        <f t="shared" si="1"/>
        <v>5.9272522795741148E-2</v>
      </c>
      <c r="H51" s="12">
        <f t="shared" si="2"/>
        <v>8517561.9968154822</v>
      </c>
      <c r="I51" s="12">
        <f t="shared" si="3"/>
        <v>7.5</v>
      </c>
      <c r="J51" s="79">
        <f t="shared" si="4"/>
        <v>15000000</v>
      </c>
      <c r="K51" s="64">
        <f t="shared" si="5"/>
        <v>3456000</v>
      </c>
      <c r="L51" s="64">
        <f t="shared" si="6"/>
        <v>3750000</v>
      </c>
      <c r="M51">
        <f>IF(COUNTIF(InputOutputData!K$20,"Chlorine"),L51+H51,L51+J51+H51)</f>
        <v>12267561.996815482</v>
      </c>
      <c r="N51">
        <f t="shared" si="11"/>
        <v>0.87625442834396305</v>
      </c>
      <c r="O51" t="str">
        <f t="shared" si="7"/>
        <v/>
      </c>
    </row>
    <row r="52" spans="1:15" ht="14.45">
      <c r="A52" s="24">
        <f>'More accurate Energy (Solar)'!A52</f>
        <v>28.2</v>
      </c>
      <c r="B52" s="24">
        <f t="shared" si="8"/>
        <v>1.0416666666666667</v>
      </c>
      <c r="C52" s="13">
        <f t="shared" si="9"/>
        <v>1.5</v>
      </c>
      <c r="D52" s="12">
        <f t="shared" si="12"/>
        <v>37</v>
      </c>
      <c r="E52" s="12">
        <f t="shared" si="10"/>
        <v>22.568000000000001</v>
      </c>
      <c r="F52" s="12">
        <f t="shared" si="0"/>
        <v>504857.38762038422</v>
      </c>
      <c r="G52" s="391">
        <f t="shared" si="1"/>
        <v>5.9272522795741148E-2</v>
      </c>
      <c r="H52" s="12">
        <f t="shared" si="2"/>
        <v>8517561.9968154822</v>
      </c>
      <c r="I52" s="12">
        <f t="shared" si="3"/>
        <v>7.5</v>
      </c>
      <c r="J52" s="79">
        <f t="shared" si="4"/>
        <v>15000000</v>
      </c>
      <c r="K52" s="64">
        <f t="shared" si="5"/>
        <v>3456000</v>
      </c>
      <c r="L52" s="64">
        <f t="shared" si="6"/>
        <v>3750000</v>
      </c>
      <c r="M52">
        <f>IF(COUNTIF(InputOutputData!K$20,"Chlorine"),L52+H52,L52+J52+H52)</f>
        <v>12267561.996815482</v>
      </c>
      <c r="N52">
        <f t="shared" si="11"/>
        <v>0.87625442834396305</v>
      </c>
      <c r="O52" t="str">
        <f t="shared" si="7"/>
        <v/>
      </c>
    </row>
    <row r="53" spans="1:15" ht="14.45">
      <c r="A53" s="24">
        <f>'More accurate Energy (Solar)'!A53</f>
        <v>39.200000000000003</v>
      </c>
      <c r="B53" s="24">
        <f t="shared" si="8"/>
        <v>1.0416666666666667</v>
      </c>
      <c r="C53" s="13">
        <f t="shared" si="9"/>
        <v>1.5</v>
      </c>
      <c r="D53" s="12">
        <f t="shared" si="12"/>
        <v>38</v>
      </c>
      <c r="E53" s="12">
        <f t="shared" si="10"/>
        <v>23.636000000000003</v>
      </c>
      <c r="F53" s="12">
        <f t="shared" si="0"/>
        <v>504857.38762038422</v>
      </c>
      <c r="G53" s="391">
        <f t="shared" si="1"/>
        <v>5.9272522795741148E-2</v>
      </c>
      <c r="H53" s="12">
        <f t="shared" si="2"/>
        <v>8517561.9968154822</v>
      </c>
      <c r="I53" s="12">
        <f t="shared" si="3"/>
        <v>7.5</v>
      </c>
      <c r="J53" s="79">
        <f t="shared" si="4"/>
        <v>15000000</v>
      </c>
      <c r="K53" s="64">
        <f t="shared" si="5"/>
        <v>3456000</v>
      </c>
      <c r="L53" s="64">
        <f t="shared" si="6"/>
        <v>3750000</v>
      </c>
      <c r="M53">
        <f>IF(COUNTIF(InputOutputData!K$20,"Chlorine"),L53+H53,L53+J53+H53)</f>
        <v>12267561.996815482</v>
      </c>
      <c r="N53">
        <f t="shared" si="11"/>
        <v>0.87625442834396305</v>
      </c>
      <c r="O53" t="str">
        <f t="shared" si="7"/>
        <v/>
      </c>
    </row>
    <row r="54" spans="1:15" ht="14.45">
      <c r="A54" s="24">
        <f>'More accurate Energy (Solar)'!A54</f>
        <v>6.6</v>
      </c>
      <c r="B54" s="24">
        <f t="shared" si="8"/>
        <v>0.45833333333333331</v>
      </c>
      <c r="C54" s="13">
        <f t="shared" si="9"/>
        <v>0.66</v>
      </c>
      <c r="D54" s="12">
        <f t="shared" si="12"/>
        <v>39</v>
      </c>
      <c r="E54" s="12">
        <f t="shared" si="10"/>
        <v>23.864000000000004</v>
      </c>
      <c r="F54" s="12">
        <f t="shared" si="0"/>
        <v>222137.25055296908</v>
      </c>
      <c r="G54" s="391">
        <f t="shared" si="1"/>
        <v>3.7691350141184445E-2</v>
      </c>
      <c r="H54" s="12">
        <f t="shared" si="2"/>
        <v>5893586.9827131769</v>
      </c>
      <c r="I54" s="12">
        <f t="shared" si="3"/>
        <v>3.3000000000000003</v>
      </c>
      <c r="J54" s="79">
        <f t="shared" si="4"/>
        <v>6600000.0000000009</v>
      </c>
      <c r="K54" s="64">
        <f t="shared" si="5"/>
        <v>3456000</v>
      </c>
      <c r="L54" s="64">
        <f t="shared" si="6"/>
        <v>3750000</v>
      </c>
      <c r="M54">
        <f>IF(COUNTIF(InputOutputData!K$20,"Chlorine"),L54+H54,L54+J54+H54)</f>
        <v>9643586.9827131778</v>
      </c>
      <c r="N54">
        <f t="shared" si="11"/>
        <v>0.68882764162236987</v>
      </c>
      <c r="O54" t="str">
        <f t="shared" si="7"/>
        <v/>
      </c>
    </row>
    <row r="55" spans="1:15" ht="14.45">
      <c r="A55" s="24">
        <f>'More accurate Energy (Solar)'!A55</f>
        <v>3.2</v>
      </c>
      <c r="B55" s="24">
        <f t="shared" si="8"/>
        <v>0.22222222222222221</v>
      </c>
      <c r="C55" s="13">
        <f t="shared" si="9"/>
        <v>0.32</v>
      </c>
      <c r="D55" s="12">
        <f t="shared" si="12"/>
        <v>40</v>
      </c>
      <c r="E55" s="12">
        <f t="shared" si="10"/>
        <v>23.752000000000006</v>
      </c>
      <c r="F55" s="12">
        <f t="shared" si="0"/>
        <v>107702.90935901531</v>
      </c>
      <c r="G55" s="391">
        <f t="shared" si="1"/>
        <v>2.5299874105163656E-2</v>
      </c>
      <c r="H55" s="12">
        <f t="shared" si="2"/>
        <v>4257053.1739141475</v>
      </c>
      <c r="I55" s="12">
        <f t="shared" si="3"/>
        <v>1.6</v>
      </c>
      <c r="J55" s="79">
        <f t="shared" si="4"/>
        <v>3200000</v>
      </c>
      <c r="K55" s="64">
        <f t="shared" si="5"/>
        <v>3456000</v>
      </c>
      <c r="L55" s="64">
        <f t="shared" si="6"/>
        <v>3750000</v>
      </c>
      <c r="M55">
        <f>IF(COUNTIF(InputOutputData!K$20,"Chlorine"),L55+H55,L55+J55+H55)</f>
        <v>8007053.1739141475</v>
      </c>
      <c r="N55">
        <f t="shared" si="11"/>
        <v>0.57193236956529636</v>
      </c>
      <c r="O55" t="str">
        <f t="shared" si="7"/>
        <v/>
      </c>
    </row>
    <row r="56" spans="1:15" ht="14.45">
      <c r="A56" s="24">
        <f>'More accurate Energy (Solar)'!A56</f>
        <v>0.2</v>
      </c>
      <c r="B56" s="24">
        <f t="shared" si="8"/>
        <v>1.3888888888888888E-2</v>
      </c>
      <c r="C56" s="13">
        <f t="shared" si="9"/>
        <v>0.02</v>
      </c>
      <c r="D56" s="12">
        <f t="shared" si="12"/>
        <v>41</v>
      </c>
      <c r="E56" s="12">
        <f t="shared" si="10"/>
        <v>23.340000000000007</v>
      </c>
      <c r="F56" s="12">
        <f t="shared" si="0"/>
        <v>6731.4318349384566</v>
      </c>
      <c r="G56" s="391">
        <f t="shared" si="1"/>
        <v>5.5038940280191058E-3</v>
      </c>
      <c r="H56" s="12">
        <f t="shared" si="2"/>
        <v>1223030.785235004</v>
      </c>
      <c r="I56" s="12">
        <f t="shared" si="3"/>
        <v>0.1</v>
      </c>
      <c r="J56" s="79">
        <f t="shared" si="4"/>
        <v>200000</v>
      </c>
      <c r="K56" s="64">
        <f t="shared" si="5"/>
        <v>3456000</v>
      </c>
      <c r="L56" s="64">
        <f t="shared" si="6"/>
        <v>3750000</v>
      </c>
      <c r="M56">
        <f>IF(COUNTIF(InputOutputData!K$20,"Chlorine"),L56+H56,L56+J56+H56)</f>
        <v>4973030.7852350045</v>
      </c>
      <c r="N56">
        <f t="shared" si="11"/>
        <v>0.35521648465964323</v>
      </c>
      <c r="O56" t="str">
        <f t="shared" si="7"/>
        <v/>
      </c>
    </row>
    <row r="57" spans="1:15" ht="14.45">
      <c r="A57" s="24">
        <f>'More accurate Energy (Solar)'!A57</f>
        <v>19.600000000000001</v>
      </c>
      <c r="B57" s="24">
        <f t="shared" si="8"/>
        <v>1.0416666666666667</v>
      </c>
      <c r="C57" s="13">
        <f t="shared" si="9"/>
        <v>1.5</v>
      </c>
      <c r="D57" s="12">
        <f t="shared" si="12"/>
        <v>42</v>
      </c>
      <c r="E57" s="12">
        <f t="shared" si="10"/>
        <v>24.408000000000008</v>
      </c>
      <c r="F57" s="12">
        <f t="shared" si="0"/>
        <v>504857.38762038422</v>
      </c>
      <c r="G57" s="391">
        <f t="shared" si="1"/>
        <v>5.9272522795741148E-2</v>
      </c>
      <c r="H57" s="12">
        <f t="shared" si="2"/>
        <v>8517561.9968154822</v>
      </c>
      <c r="I57" s="12">
        <f t="shared" si="3"/>
        <v>7.5</v>
      </c>
      <c r="J57" s="79">
        <f t="shared" si="4"/>
        <v>15000000</v>
      </c>
      <c r="K57" s="64">
        <f t="shared" si="5"/>
        <v>3456000</v>
      </c>
      <c r="L57" s="64">
        <f t="shared" si="6"/>
        <v>3750000</v>
      </c>
      <c r="M57">
        <f>IF(COUNTIF(InputOutputData!K$20,"Chlorine"),L57+H57,L57+J57+H57)</f>
        <v>12267561.996815482</v>
      </c>
      <c r="N57">
        <f t="shared" si="11"/>
        <v>0.87625442834396305</v>
      </c>
      <c r="O57" t="str">
        <f t="shared" si="7"/>
        <v/>
      </c>
    </row>
    <row r="58" spans="1:15" ht="14.45">
      <c r="A58" s="24">
        <f>'More accurate Energy (Solar)'!A58</f>
        <v>30.4</v>
      </c>
      <c r="B58" s="24">
        <f t="shared" si="8"/>
        <v>1.0416666666666667</v>
      </c>
      <c r="C58" s="13">
        <f t="shared" si="9"/>
        <v>1.5</v>
      </c>
      <c r="D58" s="12">
        <f t="shared" si="12"/>
        <v>43</v>
      </c>
      <c r="E58" s="12">
        <f t="shared" si="10"/>
        <v>25.47600000000001</v>
      </c>
      <c r="F58" s="12">
        <f t="shared" si="0"/>
        <v>504857.38762038422</v>
      </c>
      <c r="G58" s="391">
        <f t="shared" si="1"/>
        <v>5.9272522795741148E-2</v>
      </c>
      <c r="H58" s="12">
        <f t="shared" si="2"/>
        <v>8517561.9968154822</v>
      </c>
      <c r="I58" s="12">
        <f t="shared" si="3"/>
        <v>7.5</v>
      </c>
      <c r="J58" s="79">
        <f t="shared" si="4"/>
        <v>15000000</v>
      </c>
      <c r="K58" s="64">
        <f t="shared" si="5"/>
        <v>3456000</v>
      </c>
      <c r="L58" s="64">
        <f t="shared" si="6"/>
        <v>3750000</v>
      </c>
      <c r="M58">
        <f>IF(COUNTIF(InputOutputData!K$20,"Chlorine"),L58+H58,L58+J58+H58)</f>
        <v>12267561.996815482</v>
      </c>
      <c r="N58">
        <f t="shared" si="11"/>
        <v>0.87625442834396305</v>
      </c>
      <c r="O58" t="str">
        <f t="shared" si="7"/>
        <v/>
      </c>
    </row>
    <row r="59" spans="1:15" ht="14.45">
      <c r="A59" s="24">
        <f>'More accurate Energy (Solar)'!A59</f>
        <v>19</v>
      </c>
      <c r="B59" s="24">
        <f t="shared" si="8"/>
        <v>1.0416666666666667</v>
      </c>
      <c r="C59" s="13">
        <f t="shared" si="9"/>
        <v>1.5</v>
      </c>
      <c r="D59" s="12">
        <f t="shared" si="12"/>
        <v>44</v>
      </c>
      <c r="E59" s="12">
        <f t="shared" si="10"/>
        <v>26.544000000000011</v>
      </c>
      <c r="F59" s="12">
        <f t="shared" si="0"/>
        <v>504857.38762038422</v>
      </c>
      <c r="G59" s="391">
        <f t="shared" si="1"/>
        <v>5.9272522795741148E-2</v>
      </c>
      <c r="H59" s="12">
        <f t="shared" si="2"/>
        <v>8517561.9968154822</v>
      </c>
      <c r="I59" s="12">
        <f t="shared" si="3"/>
        <v>7.5</v>
      </c>
      <c r="J59" s="79">
        <f t="shared" si="4"/>
        <v>15000000</v>
      </c>
      <c r="K59" s="64">
        <f t="shared" si="5"/>
        <v>3456000</v>
      </c>
      <c r="L59" s="64">
        <f t="shared" si="6"/>
        <v>3750000</v>
      </c>
      <c r="M59">
        <f>IF(COUNTIF(InputOutputData!K$20,"Chlorine"),L59+H59,L59+J59+H59)</f>
        <v>12267561.996815482</v>
      </c>
      <c r="N59">
        <f t="shared" si="11"/>
        <v>0.87625442834396305</v>
      </c>
      <c r="O59" t="str">
        <f t="shared" si="7"/>
        <v/>
      </c>
    </row>
    <row r="60" spans="1:15" ht="14.45">
      <c r="A60" s="24">
        <f>'More accurate Energy (Solar)'!A60</f>
        <v>0.2</v>
      </c>
      <c r="B60" s="24">
        <f t="shared" si="8"/>
        <v>1.3888888888888888E-2</v>
      </c>
      <c r="C60" s="13">
        <f t="shared" si="9"/>
        <v>0.02</v>
      </c>
      <c r="D60" s="12">
        <f t="shared" si="12"/>
        <v>45</v>
      </c>
      <c r="E60" s="12">
        <f t="shared" si="10"/>
        <v>26.132000000000012</v>
      </c>
      <c r="F60" s="12">
        <f t="shared" si="0"/>
        <v>6731.4318349384566</v>
      </c>
      <c r="G60" s="391">
        <f t="shared" si="1"/>
        <v>5.5038940280191058E-3</v>
      </c>
      <c r="H60" s="12">
        <f t="shared" si="2"/>
        <v>1223030.785235004</v>
      </c>
      <c r="I60" s="12">
        <f t="shared" si="3"/>
        <v>0.1</v>
      </c>
      <c r="J60" s="79">
        <f t="shared" si="4"/>
        <v>200000</v>
      </c>
      <c r="K60" s="64">
        <f t="shared" si="5"/>
        <v>3456000</v>
      </c>
      <c r="L60" s="64">
        <f t="shared" si="6"/>
        <v>3750000</v>
      </c>
      <c r="M60">
        <f>IF(COUNTIF(InputOutputData!K$20,"Chlorine"),L60+H60,L60+J60+H60)</f>
        <v>4973030.7852350045</v>
      </c>
      <c r="N60">
        <f t="shared" si="11"/>
        <v>0.35521648465964323</v>
      </c>
      <c r="O60" t="str">
        <f t="shared" si="7"/>
        <v/>
      </c>
    </row>
    <row r="61" spans="1:15" ht="14.45">
      <c r="A61" s="24">
        <f>'More accurate Energy (Solar)'!A61</f>
        <v>0</v>
      </c>
      <c r="B61" s="24">
        <f t="shared" si="8"/>
        <v>0</v>
      </c>
      <c r="C61" s="13">
        <f t="shared" si="9"/>
        <v>0</v>
      </c>
      <c r="D61" s="12">
        <f t="shared" si="12"/>
        <v>46</v>
      </c>
      <c r="E61" s="12">
        <f t="shared" si="10"/>
        <v>25.700000000000014</v>
      </c>
      <c r="F61" s="12">
        <f t="shared" si="0"/>
        <v>0</v>
      </c>
      <c r="G61" s="391">
        <f t="shared" si="1"/>
        <v>0</v>
      </c>
      <c r="H61" s="12">
        <f t="shared" si="2"/>
        <v>0</v>
      </c>
      <c r="I61" s="12">
        <f t="shared" si="3"/>
        <v>0</v>
      </c>
      <c r="J61" s="79">
        <f t="shared" si="4"/>
        <v>0</v>
      </c>
      <c r="K61" s="64">
        <f t="shared" si="5"/>
        <v>3456000</v>
      </c>
      <c r="L61" s="64">
        <f t="shared" si="6"/>
        <v>3750000</v>
      </c>
      <c r="M61">
        <f>IF(COUNTIF(InputOutputData!K$20,"Chlorine"),L61+H61,L61+J61+H61)</f>
        <v>3750000</v>
      </c>
      <c r="N61">
        <f t="shared" si="11"/>
        <v>0.26785714285714285</v>
      </c>
      <c r="O61" t="str">
        <f t="shared" si="7"/>
        <v/>
      </c>
    </row>
    <row r="62" spans="1:15" ht="14.45">
      <c r="A62" s="24">
        <f>'More accurate Energy (Solar)'!A62</f>
        <v>0</v>
      </c>
      <c r="B62" s="24">
        <f t="shared" si="8"/>
        <v>0</v>
      </c>
      <c r="C62" s="13">
        <f t="shared" si="9"/>
        <v>0</v>
      </c>
      <c r="D62" s="12">
        <f t="shared" si="12"/>
        <v>47</v>
      </c>
      <c r="E62" s="12">
        <f t="shared" si="10"/>
        <v>25.268000000000015</v>
      </c>
      <c r="F62" s="12">
        <f t="shared" si="0"/>
        <v>0</v>
      </c>
      <c r="G62" s="391">
        <f t="shared" si="1"/>
        <v>0</v>
      </c>
      <c r="H62" s="12">
        <f t="shared" si="2"/>
        <v>0</v>
      </c>
      <c r="I62" s="12">
        <f t="shared" si="3"/>
        <v>0</v>
      </c>
      <c r="J62" s="79">
        <f t="shared" si="4"/>
        <v>0</v>
      </c>
      <c r="K62" s="64">
        <f t="shared" si="5"/>
        <v>3456000</v>
      </c>
      <c r="L62" s="64">
        <f t="shared" si="6"/>
        <v>3750000</v>
      </c>
      <c r="M62">
        <f>IF(COUNTIF(InputOutputData!K$20,"Chlorine"),L62+H62,L62+J62+H62)</f>
        <v>3750000</v>
      </c>
      <c r="N62">
        <f t="shared" si="11"/>
        <v>0.26785714285714285</v>
      </c>
      <c r="O62" t="str">
        <f t="shared" si="7"/>
        <v/>
      </c>
    </row>
    <row r="63" spans="1:15" ht="14.45">
      <c r="A63" s="24">
        <f>'More accurate Energy (Solar)'!A63</f>
        <v>0</v>
      </c>
      <c r="B63" s="24">
        <f t="shared" si="8"/>
        <v>0</v>
      </c>
      <c r="C63" s="13">
        <f t="shared" si="9"/>
        <v>0</v>
      </c>
      <c r="D63" s="12">
        <f t="shared" si="12"/>
        <v>48</v>
      </c>
      <c r="E63" s="12">
        <f t="shared" si="10"/>
        <v>24.836000000000016</v>
      </c>
      <c r="F63" s="12">
        <f t="shared" si="0"/>
        <v>0</v>
      </c>
      <c r="G63" s="391">
        <f t="shared" si="1"/>
        <v>0</v>
      </c>
      <c r="H63" s="12">
        <f t="shared" si="2"/>
        <v>0</v>
      </c>
      <c r="I63" s="12">
        <f t="shared" si="3"/>
        <v>0</v>
      </c>
      <c r="J63" s="79">
        <f t="shared" si="4"/>
        <v>0</v>
      </c>
      <c r="K63" s="64">
        <f t="shared" si="5"/>
        <v>3456000</v>
      </c>
      <c r="L63" s="64">
        <f t="shared" si="6"/>
        <v>3750000</v>
      </c>
      <c r="M63">
        <f>IF(COUNTIF(InputOutputData!K$20,"Chlorine"),L63+H63,L63+J63+H63)</f>
        <v>3750000</v>
      </c>
      <c r="N63">
        <f t="shared" si="11"/>
        <v>0.26785714285714285</v>
      </c>
      <c r="O63" t="str">
        <f t="shared" si="7"/>
        <v/>
      </c>
    </row>
    <row r="64" spans="1:15" ht="14.45">
      <c r="A64" s="24">
        <f>'More accurate Energy (Solar)'!A64</f>
        <v>4</v>
      </c>
      <c r="B64" s="24">
        <f t="shared" si="8"/>
        <v>0.27777777777777779</v>
      </c>
      <c r="C64" s="13">
        <f t="shared" si="9"/>
        <v>0.4</v>
      </c>
      <c r="D64" s="12">
        <f t="shared" si="12"/>
        <v>49</v>
      </c>
      <c r="E64" s="12">
        <f t="shared" si="10"/>
        <v>24.804000000000016</v>
      </c>
      <c r="F64" s="12">
        <f t="shared" si="0"/>
        <v>134628.63669876911</v>
      </c>
      <c r="G64" s="391">
        <f t="shared" si="1"/>
        <v>2.8606682038735863E-2</v>
      </c>
      <c r="H64" s="12">
        <f t="shared" si="2"/>
        <v>4706195.4447031152</v>
      </c>
      <c r="I64" s="12">
        <f t="shared" si="3"/>
        <v>2</v>
      </c>
      <c r="J64" s="79">
        <f t="shared" si="4"/>
        <v>4000000</v>
      </c>
      <c r="K64" s="64">
        <f t="shared" si="5"/>
        <v>3456000</v>
      </c>
      <c r="L64" s="64">
        <f t="shared" si="6"/>
        <v>3750000</v>
      </c>
      <c r="M64">
        <f>IF(COUNTIF(InputOutputData!K$20,"Chlorine"),L64+H64,L64+J64+H64)</f>
        <v>8456195.4447031152</v>
      </c>
      <c r="N64">
        <f t="shared" si="11"/>
        <v>0.60401396033593679</v>
      </c>
      <c r="O64" t="str">
        <f t="shared" si="7"/>
        <v/>
      </c>
    </row>
    <row r="65" spans="1:15" ht="14.45">
      <c r="A65" s="24">
        <f>'More accurate Energy (Solar)'!A65</f>
        <v>11</v>
      </c>
      <c r="B65" s="24">
        <f t="shared" si="8"/>
        <v>0.76388888888888884</v>
      </c>
      <c r="C65" s="13">
        <f t="shared" si="9"/>
        <v>1.0999999999999999</v>
      </c>
      <c r="D65" s="12">
        <f t="shared" si="12"/>
        <v>50</v>
      </c>
      <c r="E65" s="12">
        <f t="shared" si="10"/>
        <v>25.472000000000016</v>
      </c>
      <c r="F65" s="12">
        <f t="shared" si="0"/>
        <v>370228.75092161505</v>
      </c>
      <c r="G65" s="391">
        <f t="shared" si="1"/>
        <v>4.9948907842364623E-2</v>
      </c>
      <c r="H65" s="12">
        <f t="shared" si="2"/>
        <v>7412149.0722085852</v>
      </c>
      <c r="I65" s="12">
        <f t="shared" si="3"/>
        <v>5.4999999999999991</v>
      </c>
      <c r="J65" s="79">
        <f t="shared" si="4"/>
        <v>10999999.999999998</v>
      </c>
      <c r="K65" s="64">
        <f t="shared" si="5"/>
        <v>3456000</v>
      </c>
      <c r="L65" s="64">
        <f t="shared" si="6"/>
        <v>3750000</v>
      </c>
      <c r="M65">
        <f>IF(COUNTIF(InputOutputData!K$20,"Chlorine"),L65+H65,L65+J65+H65)</f>
        <v>11162149.072208585</v>
      </c>
      <c r="N65">
        <f t="shared" si="11"/>
        <v>0.79729636230061329</v>
      </c>
      <c r="O65" t="str">
        <f t="shared" si="7"/>
        <v/>
      </c>
    </row>
    <row r="66" spans="1:15" ht="14.45">
      <c r="A66" s="24">
        <f>'More accurate Energy (Solar)'!A66</f>
        <v>0.4</v>
      </c>
      <c r="B66" s="24">
        <f t="shared" si="8"/>
        <v>2.7777777777777776E-2</v>
      </c>
      <c r="C66" s="13">
        <f t="shared" si="9"/>
        <v>0.04</v>
      </c>
      <c r="D66" s="12">
        <f t="shared" si="12"/>
        <v>51</v>
      </c>
      <c r="E66" s="12">
        <f t="shared" si="10"/>
        <v>25.080000000000016</v>
      </c>
      <c r="F66" s="12">
        <f t="shared" si="0"/>
        <v>13462.863669876913</v>
      </c>
      <c r="G66" s="391">
        <f t="shared" si="1"/>
        <v>8.0583980052267804E-3</v>
      </c>
      <c r="H66" s="12">
        <f t="shared" si="2"/>
        <v>1670662.5387756634</v>
      </c>
      <c r="I66" s="12">
        <f t="shared" si="3"/>
        <v>0.2</v>
      </c>
      <c r="J66" s="79">
        <f t="shared" si="4"/>
        <v>400000</v>
      </c>
      <c r="K66" s="64">
        <f t="shared" si="5"/>
        <v>3456000</v>
      </c>
      <c r="L66" s="64">
        <f t="shared" si="6"/>
        <v>3750000</v>
      </c>
      <c r="M66">
        <f>IF(COUNTIF(InputOutputData!K$20,"Chlorine"),L66+H66,L66+J66+H66)</f>
        <v>5420662.5387756638</v>
      </c>
      <c r="N66">
        <f t="shared" si="11"/>
        <v>0.38719018134111893</v>
      </c>
      <c r="O66" t="str">
        <f t="shared" si="7"/>
        <v/>
      </c>
    </row>
    <row r="67" spans="1:15" ht="14.45">
      <c r="A67" s="24">
        <f>'More accurate Energy (Solar)'!A67</f>
        <v>0</v>
      </c>
      <c r="B67" s="24">
        <f t="shared" si="8"/>
        <v>0</v>
      </c>
      <c r="C67" s="13">
        <f t="shared" si="9"/>
        <v>0</v>
      </c>
      <c r="D67" s="12">
        <f t="shared" si="12"/>
        <v>52</v>
      </c>
      <c r="E67" s="12">
        <f t="shared" si="10"/>
        <v>24.648000000000017</v>
      </c>
      <c r="F67" s="12">
        <f t="shared" si="0"/>
        <v>0</v>
      </c>
      <c r="G67" s="391">
        <f t="shared" si="1"/>
        <v>0</v>
      </c>
      <c r="H67" s="12">
        <f t="shared" si="2"/>
        <v>0</v>
      </c>
      <c r="I67" s="12">
        <f t="shared" si="3"/>
        <v>0</v>
      </c>
      <c r="J67" s="79">
        <f t="shared" si="4"/>
        <v>0</v>
      </c>
      <c r="K67" s="64">
        <f t="shared" si="5"/>
        <v>3456000</v>
      </c>
      <c r="L67" s="64">
        <f t="shared" si="6"/>
        <v>3750000</v>
      </c>
      <c r="M67">
        <f>IF(COUNTIF(InputOutputData!K$20,"Chlorine"),L67+H67,L67+J67+H67)</f>
        <v>3750000</v>
      </c>
      <c r="N67">
        <f t="shared" si="11"/>
        <v>0.26785714285714285</v>
      </c>
      <c r="O67" t="str">
        <f t="shared" si="7"/>
        <v/>
      </c>
    </row>
    <row r="68" spans="1:15" ht="14.45">
      <c r="A68" s="24">
        <f>'More accurate Energy (Solar)'!A68</f>
        <v>0</v>
      </c>
      <c r="B68" s="24">
        <f t="shared" si="8"/>
        <v>0</v>
      </c>
      <c r="C68" s="13">
        <f t="shared" si="9"/>
        <v>0</v>
      </c>
      <c r="D68" s="12">
        <f t="shared" si="12"/>
        <v>53</v>
      </c>
      <c r="E68" s="12">
        <f t="shared" si="10"/>
        <v>24.216000000000019</v>
      </c>
      <c r="F68" s="12">
        <f t="shared" si="0"/>
        <v>0</v>
      </c>
      <c r="G68" s="391">
        <f t="shared" si="1"/>
        <v>0</v>
      </c>
      <c r="H68" s="12">
        <f t="shared" si="2"/>
        <v>0</v>
      </c>
      <c r="I68" s="12">
        <f t="shared" si="3"/>
        <v>0</v>
      </c>
      <c r="J68" s="79">
        <f t="shared" si="4"/>
        <v>0</v>
      </c>
      <c r="K68" s="64">
        <f t="shared" si="5"/>
        <v>3456000</v>
      </c>
      <c r="L68" s="64">
        <f t="shared" si="6"/>
        <v>3750000</v>
      </c>
      <c r="M68">
        <f>IF(COUNTIF(InputOutputData!K$20,"Chlorine"),L68+H68,L68+J68+H68)</f>
        <v>3750000</v>
      </c>
      <c r="N68">
        <f t="shared" si="11"/>
        <v>0.26785714285714285</v>
      </c>
      <c r="O68" t="str">
        <f t="shared" si="7"/>
        <v/>
      </c>
    </row>
    <row r="69" spans="1:15" ht="14.45">
      <c r="A69" s="24">
        <f>'More accurate Energy (Solar)'!A69</f>
        <v>0</v>
      </c>
      <c r="B69" s="24">
        <f t="shared" si="8"/>
        <v>0</v>
      </c>
      <c r="C69" s="13">
        <f t="shared" si="9"/>
        <v>0</v>
      </c>
      <c r="D69" s="12">
        <f t="shared" si="12"/>
        <v>54</v>
      </c>
      <c r="E69" s="12">
        <f t="shared" si="10"/>
        <v>23.78400000000002</v>
      </c>
      <c r="F69" s="12">
        <f t="shared" si="0"/>
        <v>0</v>
      </c>
      <c r="G69" s="391">
        <f t="shared" si="1"/>
        <v>0</v>
      </c>
      <c r="H69" s="12">
        <f t="shared" si="2"/>
        <v>0</v>
      </c>
      <c r="I69" s="12">
        <f t="shared" si="3"/>
        <v>0</v>
      </c>
      <c r="J69" s="79">
        <f t="shared" si="4"/>
        <v>0</v>
      </c>
      <c r="K69" s="64">
        <f t="shared" si="5"/>
        <v>3456000</v>
      </c>
      <c r="L69" s="64">
        <f t="shared" si="6"/>
        <v>3750000</v>
      </c>
      <c r="M69">
        <f>IF(COUNTIF(InputOutputData!K$20,"Chlorine"),L69+H69,L69+J69+H69)</f>
        <v>3750000</v>
      </c>
      <c r="N69">
        <f t="shared" si="11"/>
        <v>0.26785714285714285</v>
      </c>
      <c r="O69" t="str">
        <f t="shared" si="7"/>
        <v/>
      </c>
    </row>
    <row r="70" spans="1:15" ht="14.45">
      <c r="A70" s="24">
        <f>'More accurate Energy (Solar)'!A70</f>
        <v>0.2</v>
      </c>
      <c r="B70" s="24">
        <f t="shared" si="8"/>
        <v>1.3888888888888888E-2</v>
      </c>
      <c r="C70" s="13">
        <f t="shared" si="9"/>
        <v>0.02</v>
      </c>
      <c r="D70" s="12">
        <f t="shared" si="12"/>
        <v>55</v>
      </c>
      <c r="E70" s="12">
        <f t="shared" si="10"/>
        <v>23.372000000000021</v>
      </c>
      <c r="F70" s="12">
        <f t="shared" si="0"/>
        <v>6731.4318349384566</v>
      </c>
      <c r="G70" s="391">
        <f t="shared" si="1"/>
        <v>5.5038940280191058E-3</v>
      </c>
      <c r="H70" s="12">
        <f t="shared" si="2"/>
        <v>1223030.785235004</v>
      </c>
      <c r="I70" s="12">
        <f t="shared" si="3"/>
        <v>0.1</v>
      </c>
      <c r="J70" s="79">
        <f t="shared" si="4"/>
        <v>200000</v>
      </c>
      <c r="K70" s="64">
        <f t="shared" si="5"/>
        <v>3456000</v>
      </c>
      <c r="L70" s="64">
        <f t="shared" si="6"/>
        <v>3750000</v>
      </c>
      <c r="M70">
        <f>IF(COUNTIF(InputOutputData!K$20,"Chlorine"),L70+H70,L70+J70+H70)</f>
        <v>4973030.7852350045</v>
      </c>
      <c r="N70">
        <f t="shared" si="11"/>
        <v>0.35521648465964323</v>
      </c>
      <c r="O70" t="str">
        <f t="shared" si="7"/>
        <v/>
      </c>
    </row>
    <row r="71" spans="1:15" ht="14.45">
      <c r="A71" s="24">
        <f>'More accurate Energy (Solar)'!A71</f>
        <v>4.5999999999999996</v>
      </c>
      <c r="B71" s="24">
        <f t="shared" si="8"/>
        <v>0.31944444444444442</v>
      </c>
      <c r="C71" s="13">
        <f t="shared" si="9"/>
        <v>0.45999999999999996</v>
      </c>
      <c r="D71" s="12">
        <f t="shared" si="12"/>
        <v>56</v>
      </c>
      <c r="E71" s="12">
        <f t="shared" si="10"/>
        <v>23.40000000000002</v>
      </c>
      <c r="F71" s="12">
        <f t="shared" si="0"/>
        <v>154822.9322035845</v>
      </c>
      <c r="G71" s="391">
        <f t="shared" si="1"/>
        <v>3.0894969362739746E-2</v>
      </c>
      <c r="H71" s="12">
        <f t="shared" si="2"/>
        <v>5011266.733616042</v>
      </c>
      <c r="I71" s="12">
        <f t="shared" si="3"/>
        <v>2.2999999999999998</v>
      </c>
      <c r="J71" s="79">
        <f t="shared" si="4"/>
        <v>4600000</v>
      </c>
      <c r="K71" s="64">
        <f t="shared" si="5"/>
        <v>3456000</v>
      </c>
      <c r="L71" s="64">
        <f t="shared" si="6"/>
        <v>3750000</v>
      </c>
      <c r="M71">
        <f>IF(COUNTIF(InputOutputData!K$20,"Chlorine"),L71+H71,L71+J71+H71)</f>
        <v>8761266.7336160429</v>
      </c>
      <c r="N71">
        <f t="shared" si="11"/>
        <v>0.62580476668686025</v>
      </c>
      <c r="O71" t="str">
        <f t="shared" si="7"/>
        <v/>
      </c>
    </row>
    <row r="72" spans="1:15" ht="14.45">
      <c r="A72" s="24">
        <f>'More accurate Energy (Solar)'!A72</f>
        <v>8.8000000000000007</v>
      </c>
      <c r="B72" s="24">
        <f t="shared" si="8"/>
        <v>0.61111111111111116</v>
      </c>
      <c r="C72" s="13">
        <f t="shared" si="9"/>
        <v>0.88</v>
      </c>
      <c r="D72" s="12">
        <f t="shared" si="12"/>
        <v>57</v>
      </c>
      <c r="E72" s="12">
        <f t="shared" si="10"/>
        <v>23.84800000000002</v>
      </c>
      <c r="F72" s="12">
        <f t="shared" si="0"/>
        <v>296183.00073729211</v>
      </c>
      <c r="G72" s="391">
        <f t="shared" si="1"/>
        <v>4.4166373315363966E-2</v>
      </c>
      <c r="H72" s="12">
        <f t="shared" si="2"/>
        <v>6706074.7465597363</v>
      </c>
      <c r="I72" s="12">
        <f t="shared" si="3"/>
        <v>4.4000000000000004</v>
      </c>
      <c r="J72" s="79">
        <f t="shared" si="4"/>
        <v>8800000</v>
      </c>
      <c r="K72" s="64">
        <f t="shared" si="5"/>
        <v>3456000</v>
      </c>
      <c r="L72" s="64">
        <f t="shared" si="6"/>
        <v>3750000</v>
      </c>
      <c r="M72">
        <f>IF(COUNTIF(InputOutputData!K$20,"Chlorine"),L72+H72,L72+J72+H72)</f>
        <v>10456074.746559735</v>
      </c>
      <c r="N72">
        <f t="shared" si="11"/>
        <v>0.74686248189712401</v>
      </c>
      <c r="O72" t="str">
        <f t="shared" si="7"/>
        <v/>
      </c>
    </row>
    <row r="73" spans="1:15" ht="14.45">
      <c r="A73" s="24">
        <f>'More accurate Energy (Solar)'!A73</f>
        <v>0.4</v>
      </c>
      <c r="B73" s="24">
        <f t="shared" si="8"/>
        <v>2.7777777777777776E-2</v>
      </c>
      <c r="C73" s="13">
        <f t="shared" si="9"/>
        <v>0.04</v>
      </c>
      <c r="D73" s="12">
        <f t="shared" si="12"/>
        <v>58</v>
      </c>
      <c r="E73" s="12">
        <f t="shared" si="10"/>
        <v>23.456000000000021</v>
      </c>
      <c r="F73" s="12">
        <f t="shared" si="0"/>
        <v>13462.863669876913</v>
      </c>
      <c r="G73" s="391">
        <f t="shared" si="1"/>
        <v>8.0583980052267804E-3</v>
      </c>
      <c r="H73" s="12">
        <f t="shared" si="2"/>
        <v>1670662.5387756634</v>
      </c>
      <c r="I73" s="12">
        <f t="shared" si="3"/>
        <v>0.2</v>
      </c>
      <c r="J73" s="79">
        <f t="shared" si="4"/>
        <v>400000</v>
      </c>
      <c r="K73" s="64">
        <f t="shared" si="5"/>
        <v>3456000</v>
      </c>
      <c r="L73" s="64">
        <f t="shared" si="6"/>
        <v>3750000</v>
      </c>
      <c r="M73">
        <f>IF(COUNTIF(InputOutputData!K$20,"Chlorine"),L73+H73,L73+J73+H73)</f>
        <v>5420662.5387756638</v>
      </c>
      <c r="N73">
        <f t="shared" si="11"/>
        <v>0.38719018134111893</v>
      </c>
      <c r="O73" t="str">
        <f t="shared" si="7"/>
        <v/>
      </c>
    </row>
    <row r="74" spans="1:15" ht="14.45">
      <c r="A74" s="24">
        <f>'More accurate Energy (Solar)'!A74</f>
        <v>0</v>
      </c>
      <c r="B74" s="24">
        <f t="shared" si="8"/>
        <v>0</v>
      </c>
      <c r="C74" s="13">
        <f t="shared" si="9"/>
        <v>0</v>
      </c>
      <c r="D74" s="12">
        <f t="shared" si="12"/>
        <v>59</v>
      </c>
      <c r="E74" s="12">
        <f t="shared" si="10"/>
        <v>23.024000000000022</v>
      </c>
      <c r="F74" s="12">
        <f t="shared" si="0"/>
        <v>0</v>
      </c>
      <c r="G74" s="391">
        <f t="shared" si="1"/>
        <v>0</v>
      </c>
      <c r="H74" s="12">
        <f t="shared" si="2"/>
        <v>0</v>
      </c>
      <c r="I74" s="12">
        <f t="shared" si="3"/>
        <v>0</v>
      </c>
      <c r="J74" s="79">
        <f t="shared" si="4"/>
        <v>0</v>
      </c>
      <c r="K74" s="64">
        <f t="shared" si="5"/>
        <v>3456000</v>
      </c>
      <c r="L74" s="64">
        <f t="shared" si="6"/>
        <v>3750000</v>
      </c>
      <c r="M74">
        <f>IF(COUNTIF(InputOutputData!K$20,"Chlorine"),L74+H74,L74+J74+H74)</f>
        <v>3750000</v>
      </c>
      <c r="N74">
        <f t="shared" si="11"/>
        <v>0.26785714285714285</v>
      </c>
      <c r="O74" t="str">
        <f t="shared" si="7"/>
        <v/>
      </c>
    </row>
    <row r="75" spans="1:15" ht="14.45">
      <c r="A75" s="24">
        <f>'More accurate Energy (Solar)'!A75</f>
        <v>1.2</v>
      </c>
      <c r="B75" s="24">
        <f t="shared" si="8"/>
        <v>8.3333333333333329E-2</v>
      </c>
      <c r="C75" s="13">
        <f t="shared" si="9"/>
        <v>0.12</v>
      </c>
      <c r="D75" s="12">
        <f t="shared" si="12"/>
        <v>60</v>
      </c>
      <c r="E75" s="12">
        <f t="shared" si="10"/>
        <v>22.712000000000021</v>
      </c>
      <c r="F75" s="12">
        <f t="shared" si="0"/>
        <v>40388.591009630734</v>
      </c>
      <c r="G75" s="391">
        <f t="shared" si="1"/>
        <v>1.4747350940040569E-2</v>
      </c>
      <c r="H75" s="12">
        <f t="shared" si="2"/>
        <v>2738701.4233160731</v>
      </c>
      <c r="I75" s="12">
        <f t="shared" si="3"/>
        <v>0.6</v>
      </c>
      <c r="J75" s="79">
        <f t="shared" si="4"/>
        <v>1200000</v>
      </c>
      <c r="K75" s="64">
        <f t="shared" si="5"/>
        <v>3456000</v>
      </c>
      <c r="L75" s="64">
        <f t="shared" si="6"/>
        <v>3750000</v>
      </c>
      <c r="M75">
        <f>IF(COUNTIF(InputOutputData!K$20,"Chlorine"),L75+H75,L75+J75+H75)</f>
        <v>6488701.4233160727</v>
      </c>
      <c r="N75">
        <f t="shared" si="11"/>
        <v>0.4634786730940052</v>
      </c>
      <c r="O75" t="str">
        <f t="shared" si="7"/>
        <v/>
      </c>
    </row>
    <row r="76" spans="1:15" ht="14.45">
      <c r="A76" s="24">
        <f>'More accurate Energy (Solar)'!A76</f>
        <v>0</v>
      </c>
      <c r="B76" s="24">
        <f t="shared" si="8"/>
        <v>0</v>
      </c>
      <c r="C76" s="13">
        <f t="shared" si="9"/>
        <v>0</v>
      </c>
      <c r="D76" s="12">
        <f t="shared" si="12"/>
        <v>61</v>
      </c>
      <c r="E76" s="12">
        <f t="shared" si="10"/>
        <v>22.280000000000022</v>
      </c>
      <c r="F76" s="12">
        <f t="shared" si="0"/>
        <v>0</v>
      </c>
      <c r="G76" s="391">
        <f t="shared" si="1"/>
        <v>0</v>
      </c>
      <c r="H76" s="12">
        <f t="shared" si="2"/>
        <v>0</v>
      </c>
      <c r="I76" s="12">
        <f t="shared" si="3"/>
        <v>0</v>
      </c>
      <c r="J76" s="79">
        <f t="shared" si="4"/>
        <v>0</v>
      </c>
      <c r="K76" s="64">
        <f t="shared" si="5"/>
        <v>3456000</v>
      </c>
      <c r="L76" s="64">
        <f t="shared" si="6"/>
        <v>3750000</v>
      </c>
      <c r="M76">
        <f>IF(COUNTIF(InputOutputData!K$20,"Chlorine"),L76+H76,L76+J76+H76)</f>
        <v>3750000</v>
      </c>
      <c r="N76">
        <f t="shared" si="11"/>
        <v>0.26785714285714285</v>
      </c>
      <c r="O76" t="str">
        <f t="shared" si="7"/>
        <v/>
      </c>
    </row>
    <row r="77" spans="1:15" ht="14.45">
      <c r="A77" s="24">
        <f>'More accurate Energy (Solar)'!A77</f>
        <v>0</v>
      </c>
      <c r="B77" s="24">
        <f t="shared" si="8"/>
        <v>0</v>
      </c>
      <c r="C77" s="13">
        <f t="shared" si="9"/>
        <v>0</v>
      </c>
      <c r="D77" s="12">
        <f t="shared" si="12"/>
        <v>62</v>
      </c>
      <c r="E77" s="12">
        <f t="shared" si="10"/>
        <v>21.848000000000024</v>
      </c>
      <c r="F77" s="12">
        <f t="shared" si="0"/>
        <v>0</v>
      </c>
      <c r="G77" s="391">
        <f t="shared" si="1"/>
        <v>0</v>
      </c>
      <c r="H77" s="12">
        <f t="shared" si="2"/>
        <v>0</v>
      </c>
      <c r="I77" s="12">
        <f t="shared" si="3"/>
        <v>0</v>
      </c>
      <c r="J77" s="79">
        <f t="shared" si="4"/>
        <v>0</v>
      </c>
      <c r="K77" s="64">
        <f t="shared" si="5"/>
        <v>3456000</v>
      </c>
      <c r="L77" s="64">
        <f t="shared" si="6"/>
        <v>3750000</v>
      </c>
      <c r="M77">
        <f>IF(COUNTIF(InputOutputData!K$20,"Chlorine"),L77+H77,L77+J77+H77)</f>
        <v>3750000</v>
      </c>
      <c r="N77">
        <f t="shared" si="11"/>
        <v>0.26785714285714285</v>
      </c>
      <c r="O77" t="str">
        <f t="shared" si="7"/>
        <v/>
      </c>
    </row>
    <row r="78" spans="1:15" ht="14.45">
      <c r="A78" s="24">
        <f>'More accurate Energy (Solar)'!A78</f>
        <v>0.4</v>
      </c>
      <c r="B78" s="24">
        <f t="shared" si="8"/>
        <v>2.7777777777777776E-2</v>
      </c>
      <c r="C78" s="13">
        <f t="shared" si="9"/>
        <v>0.04</v>
      </c>
      <c r="D78" s="12">
        <f t="shared" si="12"/>
        <v>63</v>
      </c>
      <c r="E78" s="12">
        <f t="shared" si="10"/>
        <v>21.456000000000024</v>
      </c>
      <c r="F78" s="12">
        <f t="shared" si="0"/>
        <v>13462.863669876913</v>
      </c>
      <c r="G78" s="391">
        <f t="shared" si="1"/>
        <v>8.0583980052267804E-3</v>
      </c>
      <c r="H78" s="12">
        <f t="shared" si="2"/>
        <v>1670662.5387756634</v>
      </c>
      <c r="I78" s="12">
        <f t="shared" si="3"/>
        <v>0.2</v>
      </c>
      <c r="J78" s="79">
        <f t="shared" si="4"/>
        <v>400000</v>
      </c>
      <c r="K78" s="64">
        <f t="shared" si="5"/>
        <v>3456000</v>
      </c>
      <c r="L78" s="64">
        <f t="shared" si="6"/>
        <v>3750000</v>
      </c>
      <c r="M78">
        <f>IF(COUNTIF(InputOutputData!K$20,"Chlorine"),L78+H78,L78+J78+H78)</f>
        <v>5420662.5387756638</v>
      </c>
      <c r="N78">
        <f t="shared" si="11"/>
        <v>0.38719018134111893</v>
      </c>
      <c r="O78" t="str">
        <f t="shared" si="7"/>
        <v/>
      </c>
    </row>
    <row r="79" spans="1:15" ht="14.45">
      <c r="A79" s="24">
        <f>'More accurate Energy (Solar)'!A79</f>
        <v>1.8</v>
      </c>
      <c r="B79" s="24">
        <f t="shared" si="8"/>
        <v>0.125</v>
      </c>
      <c r="C79" s="13">
        <f t="shared" si="9"/>
        <v>0.18</v>
      </c>
      <c r="D79" s="12">
        <f t="shared" si="12"/>
        <v>64</v>
      </c>
      <c r="E79" s="12">
        <f t="shared" si="10"/>
        <v>21.204000000000025</v>
      </c>
      <c r="F79" s="12">
        <f t="shared" si="0"/>
        <v>60582.886514446102</v>
      </c>
      <c r="G79" s="391">
        <f t="shared" si="1"/>
        <v>1.843319716624707E-2</v>
      </c>
      <c r="H79" s="12">
        <f t="shared" si="2"/>
        <v>3286618.4833838325</v>
      </c>
      <c r="I79" s="12">
        <f t="shared" si="3"/>
        <v>0.89999999999999991</v>
      </c>
      <c r="J79" s="79">
        <f t="shared" si="4"/>
        <v>1799999.9999999998</v>
      </c>
      <c r="K79" s="64">
        <f t="shared" si="5"/>
        <v>3456000</v>
      </c>
      <c r="L79" s="64">
        <f t="shared" si="6"/>
        <v>3750000</v>
      </c>
      <c r="M79">
        <f>IF(COUNTIF(InputOutputData!K$20,"Chlorine"),L79+H79,L79+J79+H79)</f>
        <v>7036618.4833838325</v>
      </c>
      <c r="N79">
        <f t="shared" si="11"/>
        <v>0.50261560595598798</v>
      </c>
      <c r="O79" t="str">
        <f t="shared" si="7"/>
        <v/>
      </c>
    </row>
    <row r="80" spans="1:15" ht="14.45">
      <c r="A80" s="24">
        <f>'More accurate Energy (Solar)'!A80</f>
        <v>0.8</v>
      </c>
      <c r="B80" s="24">
        <f t="shared" si="8"/>
        <v>5.5555555555555552E-2</v>
      </c>
      <c r="C80" s="13">
        <f t="shared" si="9"/>
        <v>0.08</v>
      </c>
      <c r="D80" s="12">
        <f t="shared" si="12"/>
        <v>65</v>
      </c>
      <c r="E80" s="12">
        <f t="shared" si="10"/>
        <v>20.852000000000025</v>
      </c>
      <c r="F80" s="12">
        <f t="shared" ref="F80:F143" si="13">C80*$L$2*1000</f>
        <v>26925.727339753827</v>
      </c>
      <c r="G80" s="391">
        <f t="shared" ref="G80:G143" si="14">1.2*$U$8*(EXP(B80/$L$3)-1-1.72*(B80/$L$3)^4)^($U$9)</f>
        <v>1.1798845559697837E-2</v>
      </c>
      <c r="H80" s="12">
        <f t="shared" ref="H80:H143" si="15">IF(C80 = 0,0,$L$2*C80/G80 * 1000)</f>
        <v>2282064.5633099871</v>
      </c>
      <c r="I80" s="12">
        <f t="shared" ref="I80:I143" si="16">($L$7 / $L$6) * C80</f>
        <v>0.4</v>
      </c>
      <c r="J80" s="79">
        <f t="shared" ref="J80:J143" si="17">$L$8 * 10^6 * I80</f>
        <v>800000</v>
      </c>
      <c r="K80" s="64">
        <f t="shared" ref="K80:K143" si="18">$P$6 * 24 * 3600</f>
        <v>3456000</v>
      </c>
      <c r="L80" s="64">
        <f t="shared" ref="L80:L143" si="19">K80/ ($Q$4 / 100)^2</f>
        <v>3750000</v>
      </c>
      <c r="M80">
        <f>IF(COUNTIF(InputOutputData!K$20,"Chlorine"),L80+H80,L80+J80+H80)</f>
        <v>6032064.5633099871</v>
      </c>
      <c r="N80">
        <f t="shared" si="11"/>
        <v>0.43086175452214193</v>
      </c>
      <c r="O80" t="str">
        <f t="shared" ref="O80:O143" si="20">IF(E80=0,1,"")</f>
        <v/>
      </c>
    </row>
    <row r="81" spans="1:15" ht="14.45">
      <c r="A81" s="24">
        <f>'More accurate Energy (Solar)'!A81</f>
        <v>0</v>
      </c>
      <c r="B81" s="24">
        <f t="shared" ref="B81:B144" si="21">C81*100/144</f>
        <v>0</v>
      </c>
      <c r="C81" s="13">
        <f t="shared" ref="C81:C144" si="22">MIN((A81/1000)*$E$3,$E$4)</f>
        <v>0</v>
      </c>
      <c r="D81" s="12">
        <f t="shared" si="12"/>
        <v>66</v>
      </c>
      <c r="E81" s="12">
        <f t="shared" ref="E81:E144" si="23">MAX(MIN(C81 - (IF(D81 &gt; $E$8, $E$2 / 1000,0)) + E80, $E$5),0)</f>
        <v>20.420000000000027</v>
      </c>
      <c r="F81" s="12">
        <f t="shared" si="13"/>
        <v>0</v>
      </c>
      <c r="G81" s="391">
        <f t="shared" si="14"/>
        <v>0</v>
      </c>
      <c r="H81" s="12">
        <f t="shared" si="15"/>
        <v>0</v>
      </c>
      <c r="I81" s="12">
        <f t="shared" si="16"/>
        <v>0</v>
      </c>
      <c r="J81" s="79">
        <f t="shared" si="17"/>
        <v>0</v>
      </c>
      <c r="K81" s="64">
        <f t="shared" si="18"/>
        <v>3456000</v>
      </c>
      <c r="L81" s="64">
        <f t="shared" si="19"/>
        <v>3750000</v>
      </c>
      <c r="M81">
        <f>IF(COUNTIF(InputOutputData!K$20,"Chlorine"),L81+H81,L81+J81+H81)</f>
        <v>3750000</v>
      </c>
      <c r="N81">
        <f t="shared" ref="N81:N144" si="24">(M81 / (10)^6) / 40 / 0.35</f>
        <v>0.26785714285714285</v>
      </c>
      <c r="O81" t="str">
        <f t="shared" si="20"/>
        <v/>
      </c>
    </row>
    <row r="82" spans="1:15" ht="14.45">
      <c r="A82" s="24">
        <f>'More accurate Energy (Solar)'!A82</f>
        <v>0.4</v>
      </c>
      <c r="B82" s="24">
        <f t="shared" si="21"/>
        <v>2.7777777777777776E-2</v>
      </c>
      <c r="C82" s="13">
        <f t="shared" si="22"/>
        <v>0.04</v>
      </c>
      <c r="D82" s="12">
        <f t="shared" ref="D82:D145" si="25">D81+1</f>
        <v>67</v>
      </c>
      <c r="E82" s="12">
        <f t="shared" si="23"/>
        <v>20.028000000000027</v>
      </c>
      <c r="F82" s="12">
        <f t="shared" si="13"/>
        <v>13462.863669876913</v>
      </c>
      <c r="G82" s="391">
        <f t="shared" si="14"/>
        <v>8.0583980052267804E-3</v>
      </c>
      <c r="H82" s="12">
        <f t="shared" si="15"/>
        <v>1670662.5387756634</v>
      </c>
      <c r="I82" s="12">
        <f t="shared" si="16"/>
        <v>0.2</v>
      </c>
      <c r="J82" s="79">
        <f t="shared" si="17"/>
        <v>400000</v>
      </c>
      <c r="K82" s="64">
        <f t="shared" si="18"/>
        <v>3456000</v>
      </c>
      <c r="L82" s="64">
        <f t="shared" si="19"/>
        <v>3750000</v>
      </c>
      <c r="M82">
        <f>IF(COUNTIF(InputOutputData!K$20,"Chlorine"),L82+H82,L82+J82+H82)</f>
        <v>5420662.5387756638</v>
      </c>
      <c r="N82">
        <f t="shared" si="24"/>
        <v>0.38719018134111893</v>
      </c>
      <c r="O82" t="str">
        <f t="shared" si="20"/>
        <v/>
      </c>
    </row>
    <row r="83" spans="1:15" ht="14.45">
      <c r="A83" s="24">
        <f>'More accurate Energy (Solar)'!A83</f>
        <v>0.4</v>
      </c>
      <c r="B83" s="24">
        <f t="shared" si="21"/>
        <v>2.7777777777777776E-2</v>
      </c>
      <c r="C83" s="13">
        <f t="shared" si="22"/>
        <v>0.04</v>
      </c>
      <c r="D83" s="12">
        <f t="shared" si="25"/>
        <v>68</v>
      </c>
      <c r="E83" s="12">
        <f t="shared" si="23"/>
        <v>19.636000000000028</v>
      </c>
      <c r="F83" s="12">
        <f t="shared" si="13"/>
        <v>13462.863669876913</v>
      </c>
      <c r="G83" s="391">
        <f t="shared" si="14"/>
        <v>8.0583980052267804E-3</v>
      </c>
      <c r="H83" s="12">
        <f t="shared" si="15"/>
        <v>1670662.5387756634</v>
      </c>
      <c r="I83" s="12">
        <f t="shared" si="16"/>
        <v>0.2</v>
      </c>
      <c r="J83" s="79">
        <f t="shared" si="17"/>
        <v>400000</v>
      </c>
      <c r="K83" s="64">
        <f t="shared" si="18"/>
        <v>3456000</v>
      </c>
      <c r="L83" s="64">
        <f t="shared" si="19"/>
        <v>3750000</v>
      </c>
      <c r="M83">
        <f>IF(COUNTIF(InputOutputData!K$20,"Chlorine"),L83+H83,L83+J83+H83)</f>
        <v>5420662.5387756638</v>
      </c>
      <c r="N83">
        <f t="shared" si="24"/>
        <v>0.38719018134111893</v>
      </c>
      <c r="O83" t="str">
        <f t="shared" si="20"/>
        <v/>
      </c>
    </row>
    <row r="84" spans="1:15" ht="14.45">
      <c r="A84" s="24">
        <f>'More accurate Energy (Solar)'!A84</f>
        <v>2.8</v>
      </c>
      <c r="B84" s="24">
        <f t="shared" si="21"/>
        <v>0.19444444444444442</v>
      </c>
      <c r="C84" s="13">
        <f t="shared" si="22"/>
        <v>0.27999999999999997</v>
      </c>
      <c r="D84" s="12">
        <f t="shared" si="25"/>
        <v>69</v>
      </c>
      <c r="E84" s="12">
        <f t="shared" si="23"/>
        <v>19.484000000000027</v>
      </c>
      <c r="F84" s="12">
        <f t="shared" si="13"/>
        <v>94240.04568913838</v>
      </c>
      <c r="G84" s="391">
        <f t="shared" si="14"/>
        <v>2.3507068854835791E-2</v>
      </c>
      <c r="H84" s="12">
        <f t="shared" si="15"/>
        <v>4009008.7909770021</v>
      </c>
      <c r="I84" s="12">
        <f t="shared" si="16"/>
        <v>1.4</v>
      </c>
      <c r="J84" s="79">
        <f t="shared" si="17"/>
        <v>2800000</v>
      </c>
      <c r="K84" s="64">
        <f t="shared" si="18"/>
        <v>3456000</v>
      </c>
      <c r="L84" s="64">
        <f t="shared" si="19"/>
        <v>3750000</v>
      </c>
      <c r="M84">
        <f>IF(COUNTIF(InputOutputData!K$20,"Chlorine"),L84+H84,L84+J84+H84)</f>
        <v>7759008.7909770021</v>
      </c>
      <c r="N84">
        <f t="shared" si="24"/>
        <v>0.55421491364121445</v>
      </c>
      <c r="O84" t="str">
        <f t="shared" si="20"/>
        <v/>
      </c>
    </row>
    <row r="85" spans="1:15" ht="14.45">
      <c r="A85" s="24">
        <f>'More accurate Energy (Solar)'!A85</f>
        <v>13.6</v>
      </c>
      <c r="B85" s="24">
        <f t="shared" si="21"/>
        <v>0.94444444444444442</v>
      </c>
      <c r="C85" s="13">
        <f t="shared" si="22"/>
        <v>1.3599999999999999</v>
      </c>
      <c r="D85" s="12">
        <f t="shared" si="25"/>
        <v>70</v>
      </c>
      <c r="E85" s="12">
        <f t="shared" si="23"/>
        <v>20.412000000000027</v>
      </c>
      <c r="F85" s="12">
        <f t="shared" si="13"/>
        <v>457737.36477581499</v>
      </c>
      <c r="G85" s="391">
        <f t="shared" si="14"/>
        <v>5.615190540878634E-2</v>
      </c>
      <c r="H85" s="12">
        <f t="shared" si="15"/>
        <v>8151769.0529552493</v>
      </c>
      <c r="I85" s="12">
        <f t="shared" si="16"/>
        <v>6.7999999999999989</v>
      </c>
      <c r="J85" s="79">
        <f t="shared" si="17"/>
        <v>13599999.999999998</v>
      </c>
      <c r="K85" s="64">
        <f t="shared" si="18"/>
        <v>3456000</v>
      </c>
      <c r="L85" s="64">
        <f t="shared" si="19"/>
        <v>3750000</v>
      </c>
      <c r="M85">
        <f>IF(COUNTIF(InputOutputData!K$20,"Chlorine"),L85+H85,L85+J85+H85)</f>
        <v>11901769.052955249</v>
      </c>
      <c r="N85">
        <f t="shared" si="24"/>
        <v>0.85012636092537497</v>
      </c>
      <c r="O85" t="str">
        <f t="shared" si="20"/>
        <v/>
      </c>
    </row>
    <row r="86" spans="1:15" ht="14.45">
      <c r="A86" s="24">
        <f>'More accurate Energy (Solar)'!A86</f>
        <v>8.6</v>
      </c>
      <c r="B86" s="24">
        <f t="shared" si="21"/>
        <v>0.59722222222222221</v>
      </c>
      <c r="C86" s="13">
        <f t="shared" si="22"/>
        <v>0.86</v>
      </c>
      <c r="D86" s="12">
        <f t="shared" si="25"/>
        <v>71</v>
      </c>
      <c r="E86" s="12">
        <f t="shared" si="23"/>
        <v>20.840000000000028</v>
      </c>
      <c r="F86" s="12">
        <f t="shared" si="13"/>
        <v>289451.56890235364</v>
      </c>
      <c r="G86" s="391">
        <f t="shared" si="14"/>
        <v>4.3610218123061879E-2</v>
      </c>
      <c r="H86" s="12">
        <f t="shared" si="15"/>
        <v>6637241.9437472699</v>
      </c>
      <c r="I86" s="12">
        <f t="shared" si="16"/>
        <v>4.3</v>
      </c>
      <c r="J86" s="79">
        <f t="shared" si="17"/>
        <v>8600000</v>
      </c>
      <c r="K86" s="64">
        <f t="shared" si="18"/>
        <v>3456000</v>
      </c>
      <c r="L86" s="64">
        <f t="shared" si="19"/>
        <v>3750000</v>
      </c>
      <c r="M86">
        <f>IF(COUNTIF(InputOutputData!K$20,"Chlorine"),L86+H86,L86+J86+H86)</f>
        <v>10387241.943747271</v>
      </c>
      <c r="N86">
        <f t="shared" si="24"/>
        <v>0.74194585312480499</v>
      </c>
      <c r="O86" t="str">
        <f t="shared" si="20"/>
        <v/>
      </c>
    </row>
    <row r="87" spans="1:15" ht="14.45">
      <c r="A87" s="24">
        <f>'More accurate Energy (Solar)'!A87</f>
        <v>17.399999999999999</v>
      </c>
      <c r="B87" s="24">
        <f t="shared" si="21"/>
        <v>1.0416666666666667</v>
      </c>
      <c r="C87" s="13">
        <f t="shared" si="22"/>
        <v>1.5</v>
      </c>
      <c r="D87" s="12">
        <f t="shared" si="25"/>
        <v>72</v>
      </c>
      <c r="E87" s="12">
        <f t="shared" si="23"/>
        <v>21.90800000000003</v>
      </c>
      <c r="F87" s="12">
        <f t="shared" si="13"/>
        <v>504857.38762038422</v>
      </c>
      <c r="G87" s="391">
        <f t="shared" si="14"/>
        <v>5.9272522795741148E-2</v>
      </c>
      <c r="H87" s="12">
        <f t="shared" si="15"/>
        <v>8517561.9968154822</v>
      </c>
      <c r="I87" s="12">
        <f t="shared" si="16"/>
        <v>7.5</v>
      </c>
      <c r="J87" s="79">
        <f t="shared" si="17"/>
        <v>15000000</v>
      </c>
      <c r="K87" s="64">
        <f t="shared" si="18"/>
        <v>3456000</v>
      </c>
      <c r="L87" s="64">
        <f t="shared" si="19"/>
        <v>3750000</v>
      </c>
      <c r="M87">
        <f>IF(COUNTIF(InputOutputData!K$20,"Chlorine"),L87+H87,L87+J87+H87)</f>
        <v>12267561.996815482</v>
      </c>
      <c r="N87">
        <f t="shared" si="24"/>
        <v>0.87625442834396305</v>
      </c>
      <c r="O87" t="str">
        <f t="shared" si="20"/>
        <v/>
      </c>
    </row>
    <row r="88" spans="1:15" ht="14.45">
      <c r="A88" s="24">
        <f>'More accurate Energy (Solar)'!A88</f>
        <v>0.6</v>
      </c>
      <c r="B88" s="24">
        <f t="shared" si="21"/>
        <v>4.1666666666666664E-2</v>
      </c>
      <c r="C88" s="13">
        <f t="shared" si="22"/>
        <v>0.06</v>
      </c>
      <c r="D88" s="12">
        <f t="shared" si="25"/>
        <v>73</v>
      </c>
      <c r="E88" s="12">
        <f t="shared" si="23"/>
        <v>21.53600000000003</v>
      </c>
      <c r="F88" s="12">
        <f t="shared" si="13"/>
        <v>20194.295504815367</v>
      </c>
      <c r="G88" s="391">
        <f t="shared" si="14"/>
        <v>1.0071891960946849E-2</v>
      </c>
      <c r="H88" s="12">
        <f t="shared" si="15"/>
        <v>2005015.1037280308</v>
      </c>
      <c r="I88" s="12">
        <f t="shared" si="16"/>
        <v>0.3</v>
      </c>
      <c r="J88" s="79">
        <f t="shared" si="17"/>
        <v>600000</v>
      </c>
      <c r="K88" s="64">
        <f t="shared" si="18"/>
        <v>3456000</v>
      </c>
      <c r="L88" s="64">
        <f t="shared" si="19"/>
        <v>3750000</v>
      </c>
      <c r="M88">
        <f>IF(COUNTIF(InputOutputData!K$20,"Chlorine"),L88+H88,L88+J88+H88)</f>
        <v>5755015.1037280308</v>
      </c>
      <c r="N88">
        <f t="shared" si="24"/>
        <v>0.41107250740914508</v>
      </c>
      <c r="O88" t="str">
        <f t="shared" si="20"/>
        <v/>
      </c>
    </row>
    <row r="89" spans="1:15" ht="14.45">
      <c r="A89" s="24">
        <f>'More accurate Energy (Solar)'!A89</f>
        <v>0</v>
      </c>
      <c r="B89" s="24">
        <f t="shared" si="21"/>
        <v>0</v>
      </c>
      <c r="C89" s="13">
        <f t="shared" si="22"/>
        <v>0</v>
      </c>
      <c r="D89" s="12">
        <f t="shared" si="25"/>
        <v>74</v>
      </c>
      <c r="E89" s="12">
        <f t="shared" si="23"/>
        <v>21.104000000000031</v>
      </c>
      <c r="F89" s="12">
        <f t="shared" si="13"/>
        <v>0</v>
      </c>
      <c r="G89" s="391">
        <f t="shared" si="14"/>
        <v>0</v>
      </c>
      <c r="H89" s="12">
        <f t="shared" si="15"/>
        <v>0</v>
      </c>
      <c r="I89" s="12">
        <f t="shared" si="16"/>
        <v>0</v>
      </c>
      <c r="J89" s="79">
        <f t="shared" si="17"/>
        <v>0</v>
      </c>
      <c r="K89" s="64">
        <f t="shared" si="18"/>
        <v>3456000</v>
      </c>
      <c r="L89" s="64">
        <f t="shared" si="19"/>
        <v>3750000</v>
      </c>
      <c r="M89">
        <f>IF(COUNTIF(InputOutputData!K$20,"Chlorine"),L89+H89,L89+J89+H89)</f>
        <v>3750000</v>
      </c>
      <c r="N89">
        <f t="shared" si="24"/>
        <v>0.26785714285714285</v>
      </c>
      <c r="O89" t="str">
        <f t="shared" si="20"/>
        <v/>
      </c>
    </row>
    <row r="90" spans="1:15" ht="14.45">
      <c r="A90" s="24">
        <f>'More accurate Energy (Solar)'!A90</f>
        <v>0</v>
      </c>
      <c r="B90" s="24">
        <f t="shared" si="21"/>
        <v>0</v>
      </c>
      <c r="C90" s="13">
        <f t="shared" si="22"/>
        <v>0</v>
      </c>
      <c r="D90" s="12">
        <f t="shared" si="25"/>
        <v>75</v>
      </c>
      <c r="E90" s="12">
        <f t="shared" si="23"/>
        <v>20.672000000000033</v>
      </c>
      <c r="F90" s="12">
        <f t="shared" si="13"/>
        <v>0</v>
      </c>
      <c r="G90" s="391">
        <f t="shared" si="14"/>
        <v>0</v>
      </c>
      <c r="H90" s="12">
        <f t="shared" si="15"/>
        <v>0</v>
      </c>
      <c r="I90" s="12">
        <f t="shared" si="16"/>
        <v>0</v>
      </c>
      <c r="J90" s="79">
        <f t="shared" si="17"/>
        <v>0</v>
      </c>
      <c r="K90" s="64">
        <f t="shared" si="18"/>
        <v>3456000</v>
      </c>
      <c r="L90" s="64">
        <f t="shared" si="19"/>
        <v>3750000</v>
      </c>
      <c r="M90">
        <f>IF(COUNTIF(InputOutputData!K$20,"Chlorine"),L90+H90,L90+J90+H90)</f>
        <v>3750000</v>
      </c>
      <c r="N90">
        <f t="shared" si="24"/>
        <v>0.26785714285714285</v>
      </c>
      <c r="O90" t="str">
        <f t="shared" si="20"/>
        <v/>
      </c>
    </row>
    <row r="91" spans="1:15" ht="14.45">
      <c r="A91" s="24">
        <f>'More accurate Energy (Solar)'!A91</f>
        <v>0</v>
      </c>
      <c r="B91" s="24">
        <f t="shared" si="21"/>
        <v>0</v>
      </c>
      <c r="C91" s="13">
        <f t="shared" si="22"/>
        <v>0</v>
      </c>
      <c r="D91" s="12">
        <f t="shared" si="25"/>
        <v>76</v>
      </c>
      <c r="E91" s="12">
        <f t="shared" si="23"/>
        <v>20.240000000000034</v>
      </c>
      <c r="F91" s="12">
        <f t="shared" si="13"/>
        <v>0</v>
      </c>
      <c r="G91" s="391">
        <f t="shared" si="14"/>
        <v>0</v>
      </c>
      <c r="H91" s="12">
        <f t="shared" si="15"/>
        <v>0</v>
      </c>
      <c r="I91" s="12">
        <f t="shared" si="16"/>
        <v>0</v>
      </c>
      <c r="J91" s="79">
        <f t="shared" si="17"/>
        <v>0</v>
      </c>
      <c r="K91" s="64">
        <f t="shared" si="18"/>
        <v>3456000</v>
      </c>
      <c r="L91" s="64">
        <f t="shared" si="19"/>
        <v>3750000</v>
      </c>
      <c r="M91">
        <f>IF(COUNTIF(InputOutputData!K$20,"Chlorine"),L91+H91,L91+J91+H91)</f>
        <v>3750000</v>
      </c>
      <c r="N91">
        <f t="shared" si="24"/>
        <v>0.26785714285714285</v>
      </c>
      <c r="O91" t="str">
        <f t="shared" si="20"/>
        <v/>
      </c>
    </row>
    <row r="92" spans="1:15" ht="14.45">
      <c r="A92" s="24">
        <f>'More accurate Energy (Solar)'!A92</f>
        <v>31</v>
      </c>
      <c r="B92" s="24">
        <f t="shared" si="21"/>
        <v>1.0416666666666667</v>
      </c>
      <c r="C92" s="13">
        <f t="shared" si="22"/>
        <v>1.5</v>
      </c>
      <c r="D92" s="12">
        <f t="shared" si="25"/>
        <v>77</v>
      </c>
      <c r="E92" s="12">
        <f t="shared" si="23"/>
        <v>21.308000000000035</v>
      </c>
      <c r="F92" s="12">
        <f t="shared" si="13"/>
        <v>504857.38762038422</v>
      </c>
      <c r="G92" s="391">
        <f t="shared" si="14"/>
        <v>5.9272522795741148E-2</v>
      </c>
      <c r="H92" s="12">
        <f t="shared" si="15"/>
        <v>8517561.9968154822</v>
      </c>
      <c r="I92" s="12">
        <f t="shared" si="16"/>
        <v>7.5</v>
      </c>
      <c r="J92" s="79">
        <f t="shared" si="17"/>
        <v>15000000</v>
      </c>
      <c r="K92" s="64">
        <f t="shared" si="18"/>
        <v>3456000</v>
      </c>
      <c r="L92" s="64">
        <f t="shared" si="19"/>
        <v>3750000</v>
      </c>
      <c r="M92">
        <f>IF(COUNTIF(InputOutputData!K$20,"Chlorine"),L92+H92,L92+J92+H92)</f>
        <v>12267561.996815482</v>
      </c>
      <c r="N92">
        <f t="shared" si="24"/>
        <v>0.87625442834396305</v>
      </c>
      <c r="O92" t="str">
        <f t="shared" si="20"/>
        <v/>
      </c>
    </row>
    <row r="93" spans="1:15" ht="14.45">
      <c r="A93" s="24">
        <f>'More accurate Energy (Solar)'!A93</f>
        <v>35.4</v>
      </c>
      <c r="B93" s="24">
        <f t="shared" si="21"/>
        <v>1.0416666666666667</v>
      </c>
      <c r="C93" s="13">
        <f t="shared" si="22"/>
        <v>1.5</v>
      </c>
      <c r="D93" s="12">
        <f t="shared" si="25"/>
        <v>78</v>
      </c>
      <c r="E93" s="12">
        <f t="shared" si="23"/>
        <v>22.376000000000037</v>
      </c>
      <c r="F93" s="12">
        <f t="shared" si="13"/>
        <v>504857.38762038422</v>
      </c>
      <c r="G93" s="391">
        <f t="shared" si="14"/>
        <v>5.9272522795741148E-2</v>
      </c>
      <c r="H93" s="12">
        <f t="shared" si="15"/>
        <v>8517561.9968154822</v>
      </c>
      <c r="I93" s="12">
        <f t="shared" si="16"/>
        <v>7.5</v>
      </c>
      <c r="J93" s="79">
        <f t="shared" si="17"/>
        <v>15000000</v>
      </c>
      <c r="K93" s="64">
        <f t="shared" si="18"/>
        <v>3456000</v>
      </c>
      <c r="L93" s="64">
        <f t="shared" si="19"/>
        <v>3750000</v>
      </c>
      <c r="M93">
        <f>IF(COUNTIF(InputOutputData!K$20,"Chlorine"),L93+H93,L93+J93+H93)</f>
        <v>12267561.996815482</v>
      </c>
      <c r="N93">
        <f t="shared" si="24"/>
        <v>0.87625442834396305</v>
      </c>
      <c r="O93" t="str">
        <f t="shared" si="20"/>
        <v/>
      </c>
    </row>
    <row r="94" spans="1:15" ht="14.45">
      <c r="A94" s="24">
        <f>'More accurate Energy (Solar)'!A94</f>
        <v>28.6</v>
      </c>
      <c r="B94" s="24">
        <f t="shared" si="21"/>
        <v>1.0416666666666667</v>
      </c>
      <c r="C94" s="13">
        <f t="shared" si="22"/>
        <v>1.5</v>
      </c>
      <c r="D94" s="12">
        <f t="shared" si="25"/>
        <v>79</v>
      </c>
      <c r="E94" s="12">
        <f t="shared" si="23"/>
        <v>23.444000000000038</v>
      </c>
      <c r="F94" s="12">
        <f t="shared" si="13"/>
        <v>504857.38762038422</v>
      </c>
      <c r="G94" s="391">
        <f t="shared" si="14"/>
        <v>5.9272522795741148E-2</v>
      </c>
      <c r="H94" s="12">
        <f t="shared" si="15"/>
        <v>8517561.9968154822</v>
      </c>
      <c r="I94" s="12">
        <f t="shared" si="16"/>
        <v>7.5</v>
      </c>
      <c r="J94" s="79">
        <f t="shared" si="17"/>
        <v>15000000</v>
      </c>
      <c r="K94" s="64">
        <f t="shared" si="18"/>
        <v>3456000</v>
      </c>
      <c r="L94" s="64">
        <f t="shared" si="19"/>
        <v>3750000</v>
      </c>
      <c r="M94">
        <f>IF(COUNTIF(InputOutputData!K$20,"Chlorine"),L94+H94,L94+J94+H94)</f>
        <v>12267561.996815482</v>
      </c>
      <c r="N94">
        <f t="shared" si="24"/>
        <v>0.87625442834396305</v>
      </c>
      <c r="O94" t="str">
        <f t="shared" si="20"/>
        <v/>
      </c>
    </row>
    <row r="95" spans="1:15" ht="14.45">
      <c r="A95" s="24">
        <f>'More accurate Energy (Solar)'!A95</f>
        <v>0</v>
      </c>
      <c r="B95" s="24">
        <f t="shared" si="21"/>
        <v>0</v>
      </c>
      <c r="C95" s="13">
        <f t="shared" si="22"/>
        <v>0</v>
      </c>
      <c r="D95" s="12">
        <f t="shared" si="25"/>
        <v>80</v>
      </c>
      <c r="E95" s="12">
        <f t="shared" si="23"/>
        <v>23.01200000000004</v>
      </c>
      <c r="F95" s="12">
        <f t="shared" si="13"/>
        <v>0</v>
      </c>
      <c r="G95" s="391">
        <f t="shared" si="14"/>
        <v>0</v>
      </c>
      <c r="H95" s="12">
        <f t="shared" si="15"/>
        <v>0</v>
      </c>
      <c r="I95" s="12">
        <f t="shared" si="16"/>
        <v>0</v>
      </c>
      <c r="J95" s="79">
        <f t="shared" si="17"/>
        <v>0</v>
      </c>
      <c r="K95" s="64">
        <f t="shared" si="18"/>
        <v>3456000</v>
      </c>
      <c r="L95" s="64">
        <f t="shared" si="19"/>
        <v>3750000</v>
      </c>
      <c r="M95">
        <f>IF(COUNTIF(InputOutputData!K$20,"Chlorine"),L95+H95,L95+J95+H95)</f>
        <v>3750000</v>
      </c>
      <c r="N95">
        <f t="shared" si="24"/>
        <v>0.26785714285714285</v>
      </c>
      <c r="O95" t="str">
        <f t="shared" si="20"/>
        <v/>
      </c>
    </row>
    <row r="96" spans="1:15" ht="14.45">
      <c r="A96" s="24">
        <f>'More accurate Energy (Solar)'!A96</f>
        <v>7</v>
      </c>
      <c r="B96" s="24">
        <f t="shared" si="21"/>
        <v>0.4861111111111111</v>
      </c>
      <c r="C96" s="13">
        <f t="shared" si="22"/>
        <v>0.70000000000000007</v>
      </c>
      <c r="D96" s="12">
        <f t="shared" si="25"/>
        <v>81</v>
      </c>
      <c r="E96" s="12">
        <f t="shared" si="23"/>
        <v>23.28000000000004</v>
      </c>
      <c r="F96" s="12">
        <f t="shared" si="13"/>
        <v>235600.11422284599</v>
      </c>
      <c r="G96" s="391">
        <f t="shared" si="14"/>
        <v>3.8933259753858931E-2</v>
      </c>
      <c r="H96" s="12">
        <f t="shared" si="15"/>
        <v>6051384.2332324646</v>
      </c>
      <c r="I96" s="12">
        <f t="shared" si="16"/>
        <v>3.5000000000000004</v>
      </c>
      <c r="J96" s="79">
        <f t="shared" si="17"/>
        <v>7000000.0000000009</v>
      </c>
      <c r="K96" s="64">
        <f t="shared" si="18"/>
        <v>3456000</v>
      </c>
      <c r="L96" s="64">
        <f t="shared" si="19"/>
        <v>3750000</v>
      </c>
      <c r="M96">
        <f>IF(COUNTIF(InputOutputData!K$20,"Chlorine"),L96+H96,L96+J96+H96)</f>
        <v>9801384.2332324646</v>
      </c>
      <c r="N96">
        <f t="shared" si="24"/>
        <v>0.70009887380231894</v>
      </c>
      <c r="O96" t="str">
        <f t="shared" si="20"/>
        <v/>
      </c>
    </row>
    <row r="97" spans="1:15" ht="14.45">
      <c r="A97" s="24">
        <f>'More accurate Energy (Solar)'!A97</f>
        <v>9.6</v>
      </c>
      <c r="B97" s="24">
        <f t="shared" si="21"/>
        <v>0.66666666666666663</v>
      </c>
      <c r="C97" s="13">
        <f t="shared" si="22"/>
        <v>0.96</v>
      </c>
      <c r="D97" s="12">
        <f t="shared" si="25"/>
        <v>82</v>
      </c>
      <c r="E97" s="12">
        <f t="shared" si="23"/>
        <v>23.808000000000039</v>
      </c>
      <c r="F97" s="12">
        <f t="shared" si="13"/>
        <v>323108.72807704587</v>
      </c>
      <c r="G97" s="391">
        <f t="shared" si="14"/>
        <v>4.6336591370803239E-2</v>
      </c>
      <c r="H97" s="12">
        <f t="shared" si="15"/>
        <v>6973079.3422288122</v>
      </c>
      <c r="I97" s="12">
        <f t="shared" si="16"/>
        <v>4.8</v>
      </c>
      <c r="J97" s="79">
        <f t="shared" si="17"/>
        <v>9600000</v>
      </c>
      <c r="K97" s="64">
        <f t="shared" si="18"/>
        <v>3456000</v>
      </c>
      <c r="L97" s="64">
        <f t="shared" si="19"/>
        <v>3750000</v>
      </c>
      <c r="M97">
        <f>IF(COUNTIF(InputOutputData!K$20,"Chlorine"),L97+H97,L97+J97+H97)</f>
        <v>10723079.342228811</v>
      </c>
      <c r="N97">
        <f t="shared" si="24"/>
        <v>0.76593423873062949</v>
      </c>
      <c r="O97" t="str">
        <f t="shared" si="20"/>
        <v/>
      </c>
    </row>
    <row r="98" spans="1:15" ht="14.45">
      <c r="A98" s="24">
        <f>'More accurate Energy (Solar)'!A98</f>
        <v>18.2</v>
      </c>
      <c r="B98" s="24">
        <f t="shared" si="21"/>
        <v>1.0416666666666667</v>
      </c>
      <c r="C98" s="13">
        <f t="shared" si="22"/>
        <v>1.5</v>
      </c>
      <c r="D98" s="12">
        <f t="shared" si="25"/>
        <v>83</v>
      </c>
      <c r="E98" s="12">
        <f t="shared" si="23"/>
        <v>24.87600000000004</v>
      </c>
      <c r="F98" s="12">
        <f t="shared" si="13"/>
        <v>504857.38762038422</v>
      </c>
      <c r="G98" s="391">
        <f t="shared" si="14"/>
        <v>5.9272522795741148E-2</v>
      </c>
      <c r="H98" s="12">
        <f t="shared" si="15"/>
        <v>8517561.9968154822</v>
      </c>
      <c r="I98" s="12">
        <f t="shared" si="16"/>
        <v>7.5</v>
      </c>
      <c r="J98" s="79">
        <f t="shared" si="17"/>
        <v>15000000</v>
      </c>
      <c r="K98" s="64">
        <f t="shared" si="18"/>
        <v>3456000</v>
      </c>
      <c r="L98" s="64">
        <f t="shared" si="19"/>
        <v>3750000</v>
      </c>
      <c r="M98">
        <f>IF(COUNTIF(InputOutputData!K$20,"Chlorine"),L98+H98,L98+J98+H98)</f>
        <v>12267561.996815482</v>
      </c>
      <c r="N98">
        <f t="shared" si="24"/>
        <v>0.87625442834396305</v>
      </c>
      <c r="O98" t="str">
        <f t="shared" si="20"/>
        <v/>
      </c>
    </row>
    <row r="99" spans="1:15" ht="14.45">
      <c r="A99" s="24">
        <f>'More accurate Energy (Solar)'!A99</f>
        <v>104.4</v>
      </c>
      <c r="B99" s="24">
        <f t="shared" si="21"/>
        <v>1.0416666666666667</v>
      </c>
      <c r="C99" s="13">
        <f t="shared" si="22"/>
        <v>1.5</v>
      </c>
      <c r="D99" s="12">
        <f t="shared" si="25"/>
        <v>84</v>
      </c>
      <c r="E99" s="12">
        <f t="shared" si="23"/>
        <v>25.944000000000042</v>
      </c>
      <c r="F99" s="12">
        <f t="shared" si="13"/>
        <v>504857.38762038422</v>
      </c>
      <c r="G99" s="391">
        <f t="shared" si="14"/>
        <v>5.9272522795741148E-2</v>
      </c>
      <c r="H99" s="12">
        <f t="shared" si="15"/>
        <v>8517561.9968154822</v>
      </c>
      <c r="I99" s="12">
        <f t="shared" si="16"/>
        <v>7.5</v>
      </c>
      <c r="J99" s="79">
        <f t="shared" si="17"/>
        <v>15000000</v>
      </c>
      <c r="K99" s="64">
        <f t="shared" si="18"/>
        <v>3456000</v>
      </c>
      <c r="L99" s="64">
        <f t="shared" si="19"/>
        <v>3750000</v>
      </c>
      <c r="M99">
        <f>IF(COUNTIF(InputOutputData!K$20,"Chlorine"),L99+H99,L99+J99+H99)</f>
        <v>12267561.996815482</v>
      </c>
      <c r="N99">
        <f t="shared" si="24"/>
        <v>0.87625442834396305</v>
      </c>
      <c r="O99" t="str">
        <f t="shared" si="20"/>
        <v/>
      </c>
    </row>
    <row r="100" spans="1:15" ht="14.45">
      <c r="A100" s="24">
        <f>'More accurate Energy (Solar)'!A100</f>
        <v>33.200000000000003</v>
      </c>
      <c r="B100" s="24">
        <f t="shared" si="21"/>
        <v>1.0416666666666667</v>
      </c>
      <c r="C100" s="13">
        <f t="shared" si="22"/>
        <v>1.5</v>
      </c>
      <c r="D100" s="12">
        <f t="shared" si="25"/>
        <v>85</v>
      </c>
      <c r="E100" s="12">
        <f t="shared" si="23"/>
        <v>27.012000000000043</v>
      </c>
      <c r="F100" s="12">
        <f t="shared" si="13"/>
        <v>504857.38762038422</v>
      </c>
      <c r="G100" s="391">
        <f t="shared" si="14"/>
        <v>5.9272522795741148E-2</v>
      </c>
      <c r="H100" s="12">
        <f t="shared" si="15"/>
        <v>8517561.9968154822</v>
      </c>
      <c r="I100" s="12">
        <f t="shared" si="16"/>
        <v>7.5</v>
      </c>
      <c r="J100" s="79">
        <f t="shared" si="17"/>
        <v>15000000</v>
      </c>
      <c r="K100" s="64">
        <f t="shared" si="18"/>
        <v>3456000</v>
      </c>
      <c r="L100" s="64">
        <f t="shared" si="19"/>
        <v>3750000</v>
      </c>
      <c r="M100">
        <f>IF(COUNTIF(InputOutputData!K$20,"Chlorine"),L100+H100,L100+J100+H100)</f>
        <v>12267561.996815482</v>
      </c>
      <c r="N100">
        <f t="shared" si="24"/>
        <v>0.87625442834396305</v>
      </c>
      <c r="O100" t="str">
        <f t="shared" si="20"/>
        <v/>
      </c>
    </row>
    <row r="101" spans="1:15" ht="14.45">
      <c r="A101" s="24">
        <f>'More accurate Energy (Solar)'!A101</f>
        <v>26.2</v>
      </c>
      <c r="B101" s="24">
        <f t="shared" si="21"/>
        <v>1.0416666666666667</v>
      </c>
      <c r="C101" s="13">
        <f t="shared" si="22"/>
        <v>1.5</v>
      </c>
      <c r="D101" s="12">
        <f t="shared" si="25"/>
        <v>86</v>
      </c>
      <c r="E101" s="12">
        <f t="shared" si="23"/>
        <v>28.080000000000044</v>
      </c>
      <c r="F101" s="12">
        <f t="shared" si="13"/>
        <v>504857.38762038422</v>
      </c>
      <c r="G101" s="391">
        <f t="shared" si="14"/>
        <v>5.9272522795741148E-2</v>
      </c>
      <c r="H101" s="12">
        <f t="shared" si="15"/>
        <v>8517561.9968154822</v>
      </c>
      <c r="I101" s="12">
        <f t="shared" si="16"/>
        <v>7.5</v>
      </c>
      <c r="J101" s="79">
        <f t="shared" si="17"/>
        <v>15000000</v>
      </c>
      <c r="K101" s="64">
        <f t="shared" si="18"/>
        <v>3456000</v>
      </c>
      <c r="L101" s="64">
        <f t="shared" si="19"/>
        <v>3750000</v>
      </c>
      <c r="M101">
        <f>IF(COUNTIF(InputOutputData!K$20,"Chlorine"),L101+H101,L101+J101+H101)</f>
        <v>12267561.996815482</v>
      </c>
      <c r="N101">
        <f t="shared" si="24"/>
        <v>0.87625442834396305</v>
      </c>
      <c r="O101" t="str">
        <f t="shared" si="20"/>
        <v/>
      </c>
    </row>
    <row r="102" spans="1:15" ht="14.45">
      <c r="A102" s="24">
        <f>'More accurate Energy (Solar)'!A102</f>
        <v>68.8</v>
      </c>
      <c r="B102" s="24">
        <f t="shared" si="21"/>
        <v>1.0416666666666667</v>
      </c>
      <c r="C102" s="13">
        <f t="shared" si="22"/>
        <v>1.5</v>
      </c>
      <c r="D102" s="12">
        <f t="shared" si="25"/>
        <v>87</v>
      </c>
      <c r="E102" s="12">
        <f t="shared" si="23"/>
        <v>29.148000000000046</v>
      </c>
      <c r="F102" s="12">
        <f t="shared" si="13"/>
        <v>504857.38762038422</v>
      </c>
      <c r="G102" s="391">
        <f t="shared" si="14"/>
        <v>5.9272522795741148E-2</v>
      </c>
      <c r="H102" s="12">
        <f t="shared" si="15"/>
        <v>8517561.9968154822</v>
      </c>
      <c r="I102" s="12">
        <f t="shared" si="16"/>
        <v>7.5</v>
      </c>
      <c r="J102" s="79">
        <f t="shared" si="17"/>
        <v>15000000</v>
      </c>
      <c r="K102" s="64">
        <f t="shared" si="18"/>
        <v>3456000</v>
      </c>
      <c r="L102" s="64">
        <f t="shared" si="19"/>
        <v>3750000</v>
      </c>
      <c r="M102">
        <f>IF(COUNTIF(InputOutputData!K$20,"Chlorine"),L102+H102,L102+J102+H102)</f>
        <v>12267561.996815482</v>
      </c>
      <c r="N102">
        <f t="shared" si="24"/>
        <v>0.87625442834396305</v>
      </c>
      <c r="O102" t="str">
        <f t="shared" si="20"/>
        <v/>
      </c>
    </row>
    <row r="103" spans="1:15" ht="14.45">
      <c r="A103" s="24">
        <f>'More accurate Energy (Solar)'!A103</f>
        <v>10</v>
      </c>
      <c r="B103" s="24">
        <f t="shared" si="21"/>
        <v>0.69444444444444442</v>
      </c>
      <c r="C103" s="13">
        <f t="shared" si="22"/>
        <v>1</v>
      </c>
      <c r="D103" s="12">
        <f t="shared" si="25"/>
        <v>88</v>
      </c>
      <c r="E103" s="12">
        <f t="shared" si="23"/>
        <v>29.716000000000047</v>
      </c>
      <c r="F103" s="12">
        <f t="shared" si="13"/>
        <v>336571.59174692282</v>
      </c>
      <c r="G103" s="391">
        <f t="shared" si="14"/>
        <v>4.7391365567291351E-2</v>
      </c>
      <c r="H103" s="12">
        <f t="shared" si="15"/>
        <v>7101960.1929178918</v>
      </c>
      <c r="I103" s="12">
        <f t="shared" si="16"/>
        <v>5</v>
      </c>
      <c r="J103" s="79">
        <f t="shared" si="17"/>
        <v>10000000</v>
      </c>
      <c r="K103" s="64">
        <f t="shared" si="18"/>
        <v>3456000</v>
      </c>
      <c r="L103" s="64">
        <f t="shared" si="19"/>
        <v>3750000</v>
      </c>
      <c r="M103">
        <f>IF(COUNTIF(InputOutputData!K$20,"Chlorine"),L103+H103,L103+J103+H103)</f>
        <v>10851960.192917891</v>
      </c>
      <c r="N103">
        <f t="shared" si="24"/>
        <v>0.77514001377984942</v>
      </c>
      <c r="O103" t="str">
        <f t="shared" si="20"/>
        <v/>
      </c>
    </row>
    <row r="104" spans="1:15" ht="14.45">
      <c r="A104" s="24">
        <f>'More accurate Energy (Solar)'!A104</f>
        <v>37.700000000000003</v>
      </c>
      <c r="B104" s="24">
        <f t="shared" si="21"/>
        <v>1.0416666666666667</v>
      </c>
      <c r="C104" s="13">
        <f t="shared" si="22"/>
        <v>1.5</v>
      </c>
      <c r="D104" s="12">
        <f t="shared" si="25"/>
        <v>89</v>
      </c>
      <c r="E104" s="12">
        <f t="shared" si="23"/>
        <v>30.784000000000049</v>
      </c>
      <c r="F104" s="12">
        <f t="shared" si="13"/>
        <v>504857.38762038422</v>
      </c>
      <c r="G104" s="391">
        <f t="shared" si="14"/>
        <v>5.9272522795741148E-2</v>
      </c>
      <c r="H104" s="12">
        <f t="shared" si="15"/>
        <v>8517561.9968154822</v>
      </c>
      <c r="I104" s="12">
        <f t="shared" si="16"/>
        <v>7.5</v>
      </c>
      <c r="J104" s="79">
        <f t="shared" si="17"/>
        <v>15000000</v>
      </c>
      <c r="K104" s="64">
        <f t="shared" si="18"/>
        <v>3456000</v>
      </c>
      <c r="L104" s="64">
        <f t="shared" si="19"/>
        <v>3750000</v>
      </c>
      <c r="M104">
        <f>IF(COUNTIF(InputOutputData!K$20,"Chlorine"),L104+H104,L104+J104+H104)</f>
        <v>12267561.996815482</v>
      </c>
      <c r="N104">
        <f t="shared" si="24"/>
        <v>0.87625442834396305</v>
      </c>
      <c r="O104" t="str">
        <f t="shared" si="20"/>
        <v/>
      </c>
    </row>
    <row r="105" spans="1:15" ht="14.45">
      <c r="A105" s="24">
        <f>'More accurate Energy (Solar)'!A105</f>
        <v>11.6</v>
      </c>
      <c r="B105" s="24">
        <f t="shared" si="21"/>
        <v>0.80555555555555547</v>
      </c>
      <c r="C105" s="13">
        <f t="shared" si="22"/>
        <v>1.1599999999999999</v>
      </c>
      <c r="D105" s="12">
        <f t="shared" si="25"/>
        <v>90</v>
      </c>
      <c r="E105" s="12">
        <f t="shared" si="23"/>
        <v>31.51200000000005</v>
      </c>
      <c r="F105" s="12">
        <f t="shared" si="13"/>
        <v>390423.04642643046</v>
      </c>
      <c r="G105" s="391">
        <f t="shared" si="14"/>
        <v>5.1433774056957753E-2</v>
      </c>
      <c r="H105" s="12">
        <f t="shared" si="15"/>
        <v>7590791.334776951</v>
      </c>
      <c r="I105" s="12">
        <f t="shared" si="16"/>
        <v>5.8</v>
      </c>
      <c r="J105" s="79">
        <f t="shared" si="17"/>
        <v>11600000</v>
      </c>
      <c r="K105" s="64">
        <f t="shared" si="18"/>
        <v>3456000</v>
      </c>
      <c r="L105" s="64">
        <f t="shared" si="19"/>
        <v>3750000</v>
      </c>
      <c r="M105">
        <f>IF(COUNTIF(InputOutputData!K$20,"Chlorine"),L105+H105,L105+J105+H105)</f>
        <v>11340791.334776951</v>
      </c>
      <c r="N105">
        <f t="shared" si="24"/>
        <v>0.81005652391263927</v>
      </c>
      <c r="O105" t="str">
        <f t="shared" si="20"/>
        <v/>
      </c>
    </row>
    <row r="106" spans="1:15" ht="14.45">
      <c r="A106" s="24">
        <f>'More accurate Energy (Solar)'!A106</f>
        <v>0</v>
      </c>
      <c r="B106" s="24">
        <f t="shared" si="21"/>
        <v>0</v>
      </c>
      <c r="C106" s="13">
        <f t="shared" si="22"/>
        <v>0</v>
      </c>
      <c r="D106" s="12">
        <f t="shared" si="25"/>
        <v>91</v>
      </c>
      <c r="E106" s="12">
        <f t="shared" si="23"/>
        <v>31.080000000000052</v>
      </c>
      <c r="F106" s="12">
        <f t="shared" si="13"/>
        <v>0</v>
      </c>
      <c r="G106" s="391">
        <f t="shared" si="14"/>
        <v>0</v>
      </c>
      <c r="H106" s="12">
        <f t="shared" si="15"/>
        <v>0</v>
      </c>
      <c r="I106" s="12">
        <f t="shared" si="16"/>
        <v>0</v>
      </c>
      <c r="J106" s="79">
        <f t="shared" si="17"/>
        <v>0</v>
      </c>
      <c r="K106" s="64">
        <f t="shared" si="18"/>
        <v>3456000</v>
      </c>
      <c r="L106" s="64">
        <f t="shared" si="19"/>
        <v>3750000</v>
      </c>
      <c r="M106">
        <f>IF(COUNTIF(InputOutputData!K$20,"Chlorine"),L106+H106,L106+J106+H106)</f>
        <v>3750000</v>
      </c>
      <c r="N106">
        <f t="shared" si="24"/>
        <v>0.26785714285714285</v>
      </c>
      <c r="O106" t="str">
        <f t="shared" si="20"/>
        <v/>
      </c>
    </row>
    <row r="107" spans="1:15" ht="14.45">
      <c r="A107" s="24">
        <f>'More accurate Energy (Solar)'!A107</f>
        <v>33.700000000000003</v>
      </c>
      <c r="B107" s="24">
        <f t="shared" si="21"/>
        <v>1.0416666666666667</v>
      </c>
      <c r="C107" s="13">
        <f t="shared" si="22"/>
        <v>1.5</v>
      </c>
      <c r="D107" s="12">
        <f t="shared" si="25"/>
        <v>92</v>
      </c>
      <c r="E107" s="12">
        <f t="shared" si="23"/>
        <v>32.148000000000053</v>
      </c>
      <c r="F107" s="12">
        <f t="shared" si="13"/>
        <v>504857.38762038422</v>
      </c>
      <c r="G107" s="391">
        <f t="shared" si="14"/>
        <v>5.9272522795741148E-2</v>
      </c>
      <c r="H107" s="12">
        <f t="shared" si="15"/>
        <v>8517561.9968154822</v>
      </c>
      <c r="I107" s="12">
        <f t="shared" si="16"/>
        <v>7.5</v>
      </c>
      <c r="J107" s="79">
        <f t="shared" si="17"/>
        <v>15000000</v>
      </c>
      <c r="K107" s="64">
        <f t="shared" si="18"/>
        <v>3456000</v>
      </c>
      <c r="L107" s="64">
        <f t="shared" si="19"/>
        <v>3750000</v>
      </c>
      <c r="M107">
        <f>IF(COUNTIF(InputOutputData!K$20,"Chlorine"),L107+H107,L107+J107+H107)</f>
        <v>12267561.996815482</v>
      </c>
      <c r="N107">
        <f t="shared" si="24"/>
        <v>0.87625442834396305</v>
      </c>
      <c r="O107" t="str">
        <f t="shared" si="20"/>
        <v/>
      </c>
    </row>
    <row r="108" spans="1:15" ht="14.45">
      <c r="A108" s="24">
        <f>'More accurate Energy (Solar)'!A108</f>
        <v>9</v>
      </c>
      <c r="B108" s="24">
        <f t="shared" si="21"/>
        <v>0.62499999999999989</v>
      </c>
      <c r="C108" s="13">
        <f t="shared" si="22"/>
        <v>0.89999999999999991</v>
      </c>
      <c r="D108" s="12">
        <f t="shared" si="25"/>
        <v>93</v>
      </c>
      <c r="E108" s="12">
        <f t="shared" si="23"/>
        <v>32.616000000000049</v>
      </c>
      <c r="F108" s="12">
        <f t="shared" si="13"/>
        <v>302914.43257223052</v>
      </c>
      <c r="G108" s="391">
        <f t="shared" si="14"/>
        <v>4.471691233294018E-2</v>
      </c>
      <c r="H108" s="12">
        <f t="shared" si="15"/>
        <v>6774046.2560759634</v>
      </c>
      <c r="I108" s="12">
        <f t="shared" si="16"/>
        <v>4.5</v>
      </c>
      <c r="J108" s="79">
        <f t="shared" si="17"/>
        <v>9000000</v>
      </c>
      <c r="K108" s="64">
        <f t="shared" si="18"/>
        <v>3456000</v>
      </c>
      <c r="L108" s="64">
        <f t="shared" si="19"/>
        <v>3750000</v>
      </c>
      <c r="M108">
        <f>IF(COUNTIF(InputOutputData!K$20,"Chlorine"),L108+H108,L108+J108+H108)</f>
        <v>10524046.256075963</v>
      </c>
      <c r="N108">
        <f t="shared" si="24"/>
        <v>0.75171758971971181</v>
      </c>
      <c r="O108" t="str">
        <f t="shared" si="20"/>
        <v/>
      </c>
    </row>
    <row r="109" spans="1:15" ht="14.45">
      <c r="A109" s="24">
        <f>'More accurate Energy (Solar)'!A109</f>
        <v>8.4</v>
      </c>
      <c r="B109" s="24">
        <f t="shared" si="21"/>
        <v>0.58333333333333348</v>
      </c>
      <c r="C109" s="13">
        <f t="shared" si="22"/>
        <v>0.84000000000000008</v>
      </c>
      <c r="D109" s="12">
        <f t="shared" si="25"/>
        <v>94</v>
      </c>
      <c r="E109" s="12">
        <f t="shared" si="23"/>
        <v>33.024000000000051</v>
      </c>
      <c r="F109" s="12">
        <f t="shared" si="13"/>
        <v>282720.13706741517</v>
      </c>
      <c r="G109" s="391">
        <f t="shared" si="14"/>
        <v>4.3048255778827801E-2</v>
      </c>
      <c r="H109" s="12">
        <f t="shared" si="15"/>
        <v>6567516.6613013847</v>
      </c>
      <c r="I109" s="12">
        <f t="shared" si="16"/>
        <v>4.2</v>
      </c>
      <c r="J109" s="79">
        <f t="shared" si="17"/>
        <v>8400000</v>
      </c>
      <c r="K109" s="64">
        <f t="shared" si="18"/>
        <v>3456000</v>
      </c>
      <c r="L109" s="64">
        <f t="shared" si="19"/>
        <v>3750000</v>
      </c>
      <c r="M109">
        <f>IF(COUNTIF(InputOutputData!K$20,"Chlorine"),L109+H109,L109+J109+H109)</f>
        <v>10317516.661301386</v>
      </c>
      <c r="N109">
        <f t="shared" si="24"/>
        <v>0.73696547580724192</v>
      </c>
      <c r="O109" t="str">
        <f t="shared" si="20"/>
        <v/>
      </c>
    </row>
    <row r="110" spans="1:15" ht="14.45">
      <c r="A110" s="24">
        <f>'More accurate Energy (Solar)'!A110</f>
        <v>0.6</v>
      </c>
      <c r="B110" s="24">
        <f t="shared" si="21"/>
        <v>4.1666666666666664E-2</v>
      </c>
      <c r="C110" s="13">
        <f t="shared" si="22"/>
        <v>0.06</v>
      </c>
      <c r="D110" s="12">
        <f t="shared" si="25"/>
        <v>95</v>
      </c>
      <c r="E110" s="12">
        <f t="shared" si="23"/>
        <v>32.652000000000051</v>
      </c>
      <c r="F110" s="12">
        <f t="shared" si="13"/>
        <v>20194.295504815367</v>
      </c>
      <c r="G110" s="391">
        <f t="shared" si="14"/>
        <v>1.0071891960946849E-2</v>
      </c>
      <c r="H110" s="12">
        <f t="shared" si="15"/>
        <v>2005015.1037280308</v>
      </c>
      <c r="I110" s="12">
        <f t="shared" si="16"/>
        <v>0.3</v>
      </c>
      <c r="J110" s="79">
        <f t="shared" si="17"/>
        <v>600000</v>
      </c>
      <c r="K110" s="64">
        <f t="shared" si="18"/>
        <v>3456000</v>
      </c>
      <c r="L110" s="64">
        <f t="shared" si="19"/>
        <v>3750000</v>
      </c>
      <c r="M110">
        <f>IF(COUNTIF(InputOutputData!K$20,"Chlorine"),L110+H110,L110+J110+H110)</f>
        <v>5755015.1037280308</v>
      </c>
      <c r="N110">
        <f t="shared" si="24"/>
        <v>0.41107250740914508</v>
      </c>
      <c r="O110" t="str">
        <f t="shared" si="20"/>
        <v/>
      </c>
    </row>
    <row r="111" spans="1:15" ht="14.45">
      <c r="A111" s="24">
        <f>'More accurate Energy (Solar)'!A111</f>
        <v>0</v>
      </c>
      <c r="B111" s="24">
        <f t="shared" si="21"/>
        <v>0</v>
      </c>
      <c r="C111" s="13">
        <f t="shared" si="22"/>
        <v>0</v>
      </c>
      <c r="D111" s="12">
        <f t="shared" si="25"/>
        <v>96</v>
      </c>
      <c r="E111" s="12">
        <f t="shared" si="23"/>
        <v>32.220000000000049</v>
      </c>
      <c r="F111" s="12">
        <f t="shared" si="13"/>
        <v>0</v>
      </c>
      <c r="G111" s="391">
        <f t="shared" si="14"/>
        <v>0</v>
      </c>
      <c r="H111" s="12">
        <f t="shared" si="15"/>
        <v>0</v>
      </c>
      <c r="I111" s="12">
        <f t="shared" si="16"/>
        <v>0</v>
      </c>
      <c r="J111" s="79">
        <f t="shared" si="17"/>
        <v>0</v>
      </c>
      <c r="K111" s="64">
        <f t="shared" si="18"/>
        <v>3456000</v>
      </c>
      <c r="L111" s="64">
        <f t="shared" si="19"/>
        <v>3750000</v>
      </c>
      <c r="M111">
        <f>IF(COUNTIF(InputOutputData!K$20,"Chlorine"),L111+H111,L111+J111+H111)</f>
        <v>3750000</v>
      </c>
      <c r="N111">
        <f t="shared" si="24"/>
        <v>0.26785714285714285</v>
      </c>
      <c r="O111" t="str">
        <f t="shared" si="20"/>
        <v/>
      </c>
    </row>
    <row r="112" spans="1:15" ht="14.45">
      <c r="A112" s="24">
        <f>'More accurate Energy (Solar)'!A112</f>
        <v>0</v>
      </c>
      <c r="B112" s="24">
        <f t="shared" si="21"/>
        <v>0</v>
      </c>
      <c r="C112" s="13">
        <f t="shared" si="22"/>
        <v>0</v>
      </c>
      <c r="D112" s="12">
        <f t="shared" si="25"/>
        <v>97</v>
      </c>
      <c r="E112" s="12">
        <f t="shared" si="23"/>
        <v>31.78800000000005</v>
      </c>
      <c r="F112" s="12">
        <f t="shared" si="13"/>
        <v>0</v>
      </c>
      <c r="G112" s="391">
        <f t="shared" si="14"/>
        <v>0</v>
      </c>
      <c r="H112" s="12">
        <f t="shared" si="15"/>
        <v>0</v>
      </c>
      <c r="I112" s="12">
        <f t="shared" si="16"/>
        <v>0</v>
      </c>
      <c r="J112" s="79">
        <f t="shared" si="17"/>
        <v>0</v>
      </c>
      <c r="K112" s="64">
        <f t="shared" si="18"/>
        <v>3456000</v>
      </c>
      <c r="L112" s="64">
        <f t="shared" si="19"/>
        <v>3750000</v>
      </c>
      <c r="M112">
        <f>IF(COUNTIF(InputOutputData!K$20,"Chlorine"),L112+H112,L112+J112+H112)</f>
        <v>3750000</v>
      </c>
      <c r="N112">
        <f t="shared" si="24"/>
        <v>0.26785714285714285</v>
      </c>
      <c r="O112" t="str">
        <f t="shared" si="20"/>
        <v/>
      </c>
    </row>
    <row r="113" spans="1:15" ht="14.45">
      <c r="A113" s="24">
        <f>'More accurate Energy (Solar)'!A113</f>
        <v>0</v>
      </c>
      <c r="B113" s="24">
        <f t="shared" si="21"/>
        <v>0</v>
      </c>
      <c r="C113" s="13">
        <f t="shared" si="22"/>
        <v>0</v>
      </c>
      <c r="D113" s="12">
        <f t="shared" si="25"/>
        <v>98</v>
      </c>
      <c r="E113" s="12">
        <f t="shared" si="23"/>
        <v>31.356000000000051</v>
      </c>
      <c r="F113" s="12">
        <f t="shared" si="13"/>
        <v>0</v>
      </c>
      <c r="G113" s="391">
        <f t="shared" si="14"/>
        <v>0</v>
      </c>
      <c r="H113" s="12">
        <f t="shared" si="15"/>
        <v>0</v>
      </c>
      <c r="I113" s="12">
        <f t="shared" si="16"/>
        <v>0</v>
      </c>
      <c r="J113" s="79">
        <f t="shared" si="17"/>
        <v>0</v>
      </c>
      <c r="K113" s="64">
        <f t="shared" si="18"/>
        <v>3456000</v>
      </c>
      <c r="L113" s="64">
        <f t="shared" si="19"/>
        <v>3750000</v>
      </c>
      <c r="M113">
        <f>IF(COUNTIF(InputOutputData!K$20,"Chlorine"),L113+H113,L113+J113+H113)</f>
        <v>3750000</v>
      </c>
      <c r="N113">
        <f t="shared" si="24"/>
        <v>0.26785714285714285</v>
      </c>
      <c r="O113" t="str">
        <f t="shared" si="20"/>
        <v/>
      </c>
    </row>
    <row r="114" spans="1:15" ht="14.45">
      <c r="A114" s="24">
        <f>'More accurate Energy (Solar)'!A114</f>
        <v>3.2</v>
      </c>
      <c r="B114" s="24">
        <f t="shared" si="21"/>
        <v>0.22222222222222221</v>
      </c>
      <c r="C114" s="13">
        <f t="shared" si="22"/>
        <v>0.32</v>
      </c>
      <c r="D114" s="12">
        <f t="shared" si="25"/>
        <v>99</v>
      </c>
      <c r="E114" s="12">
        <f t="shared" si="23"/>
        <v>31.244000000000053</v>
      </c>
      <c r="F114" s="12">
        <f t="shared" si="13"/>
        <v>107702.90935901531</v>
      </c>
      <c r="G114" s="391">
        <f t="shared" si="14"/>
        <v>2.5299874105163656E-2</v>
      </c>
      <c r="H114" s="12">
        <f t="shared" si="15"/>
        <v>4257053.1739141475</v>
      </c>
      <c r="I114" s="12">
        <f t="shared" si="16"/>
        <v>1.6</v>
      </c>
      <c r="J114" s="79">
        <f t="shared" si="17"/>
        <v>3200000</v>
      </c>
      <c r="K114" s="64">
        <f t="shared" si="18"/>
        <v>3456000</v>
      </c>
      <c r="L114" s="64">
        <f t="shared" si="19"/>
        <v>3750000</v>
      </c>
      <c r="M114">
        <f>IF(COUNTIF(InputOutputData!K$20,"Chlorine"),L114+H114,L114+J114+H114)</f>
        <v>8007053.1739141475</v>
      </c>
      <c r="N114">
        <f t="shared" si="24"/>
        <v>0.57193236956529636</v>
      </c>
      <c r="O114" t="str">
        <f t="shared" si="20"/>
        <v/>
      </c>
    </row>
    <row r="115" spans="1:15" ht="14.45">
      <c r="A115" s="24">
        <f>'More accurate Energy (Solar)'!A115</f>
        <v>40.200000000000003</v>
      </c>
      <c r="B115" s="24">
        <f t="shared" si="21"/>
        <v>1.0416666666666667</v>
      </c>
      <c r="C115" s="13">
        <f t="shared" si="22"/>
        <v>1.5</v>
      </c>
      <c r="D115" s="12">
        <f t="shared" si="25"/>
        <v>100</v>
      </c>
      <c r="E115" s="12">
        <f t="shared" si="23"/>
        <v>32.312000000000054</v>
      </c>
      <c r="F115" s="12">
        <f t="shared" si="13"/>
        <v>504857.38762038422</v>
      </c>
      <c r="G115" s="391">
        <f t="shared" si="14"/>
        <v>5.9272522795741148E-2</v>
      </c>
      <c r="H115" s="12">
        <f t="shared" si="15"/>
        <v>8517561.9968154822</v>
      </c>
      <c r="I115" s="12">
        <f t="shared" si="16"/>
        <v>7.5</v>
      </c>
      <c r="J115" s="79">
        <f t="shared" si="17"/>
        <v>15000000</v>
      </c>
      <c r="K115" s="64">
        <f t="shared" si="18"/>
        <v>3456000</v>
      </c>
      <c r="L115" s="64">
        <f t="shared" si="19"/>
        <v>3750000</v>
      </c>
      <c r="M115">
        <f>IF(COUNTIF(InputOutputData!K$20,"Chlorine"),L115+H115,L115+J115+H115)</f>
        <v>12267561.996815482</v>
      </c>
      <c r="N115">
        <f t="shared" si="24"/>
        <v>0.87625442834396305</v>
      </c>
      <c r="O115" t="str">
        <f t="shared" si="20"/>
        <v/>
      </c>
    </row>
    <row r="116" spans="1:15" ht="14.45">
      <c r="A116" s="24">
        <f>'More accurate Energy (Solar)'!A116</f>
        <v>9.1999999999999993</v>
      </c>
      <c r="B116" s="24">
        <f t="shared" si="21"/>
        <v>0.63888888888888884</v>
      </c>
      <c r="C116" s="13">
        <f t="shared" si="22"/>
        <v>0.91999999999999993</v>
      </c>
      <c r="D116" s="12">
        <f t="shared" si="25"/>
        <v>101</v>
      </c>
      <c r="E116" s="12">
        <f t="shared" si="23"/>
        <v>32.800000000000054</v>
      </c>
      <c r="F116" s="12">
        <f t="shared" si="13"/>
        <v>309645.86440716899</v>
      </c>
      <c r="G116" s="391">
        <f t="shared" si="14"/>
        <v>4.5262015799365396E-2</v>
      </c>
      <c r="H116" s="12">
        <f t="shared" si="15"/>
        <v>6841185.9025401697</v>
      </c>
      <c r="I116" s="12">
        <f t="shared" si="16"/>
        <v>4.5999999999999996</v>
      </c>
      <c r="J116" s="79">
        <f t="shared" si="17"/>
        <v>9200000</v>
      </c>
      <c r="K116" s="64">
        <f t="shared" si="18"/>
        <v>3456000</v>
      </c>
      <c r="L116" s="64">
        <f t="shared" si="19"/>
        <v>3750000</v>
      </c>
      <c r="M116">
        <f>IF(COUNTIF(InputOutputData!K$20,"Chlorine"),L116+H116,L116+J116+H116)</f>
        <v>10591185.90254017</v>
      </c>
      <c r="N116">
        <f t="shared" si="24"/>
        <v>0.75651327875286933</v>
      </c>
      <c r="O116" t="str">
        <f t="shared" si="20"/>
        <v/>
      </c>
    </row>
    <row r="117" spans="1:15" ht="14.45">
      <c r="A117" s="24">
        <f>'More accurate Energy (Solar)'!A117</f>
        <v>24.4</v>
      </c>
      <c r="B117" s="24">
        <f t="shared" si="21"/>
        <v>1.0416666666666667</v>
      </c>
      <c r="C117" s="13">
        <f t="shared" si="22"/>
        <v>1.5</v>
      </c>
      <c r="D117" s="12">
        <f t="shared" si="25"/>
        <v>102</v>
      </c>
      <c r="E117" s="12">
        <f t="shared" si="23"/>
        <v>33.868000000000052</v>
      </c>
      <c r="F117" s="12">
        <f t="shared" si="13"/>
        <v>504857.38762038422</v>
      </c>
      <c r="G117" s="391">
        <f t="shared" si="14"/>
        <v>5.9272522795741148E-2</v>
      </c>
      <c r="H117" s="12">
        <f t="shared" si="15"/>
        <v>8517561.9968154822</v>
      </c>
      <c r="I117" s="12">
        <f t="shared" si="16"/>
        <v>7.5</v>
      </c>
      <c r="J117" s="79">
        <f t="shared" si="17"/>
        <v>15000000</v>
      </c>
      <c r="K117" s="64">
        <f t="shared" si="18"/>
        <v>3456000</v>
      </c>
      <c r="L117" s="64">
        <f t="shared" si="19"/>
        <v>3750000</v>
      </c>
      <c r="M117">
        <f>IF(COUNTIF(InputOutputData!K$20,"Chlorine"),L117+H117,L117+J117+H117)</f>
        <v>12267561.996815482</v>
      </c>
      <c r="N117">
        <f t="shared" si="24"/>
        <v>0.87625442834396305</v>
      </c>
      <c r="O117" t="str">
        <f t="shared" si="20"/>
        <v/>
      </c>
    </row>
    <row r="118" spans="1:15" ht="14.45">
      <c r="A118" s="24">
        <f>'More accurate Energy (Solar)'!A118</f>
        <v>16.2</v>
      </c>
      <c r="B118" s="24">
        <f t="shared" si="21"/>
        <v>1.0416666666666667</v>
      </c>
      <c r="C118" s="13">
        <f t="shared" si="22"/>
        <v>1.5</v>
      </c>
      <c r="D118" s="12">
        <f t="shared" si="25"/>
        <v>103</v>
      </c>
      <c r="E118" s="12">
        <f t="shared" si="23"/>
        <v>34.93600000000005</v>
      </c>
      <c r="F118" s="12">
        <f t="shared" si="13"/>
        <v>504857.38762038422</v>
      </c>
      <c r="G118" s="391">
        <f t="shared" si="14"/>
        <v>5.9272522795741148E-2</v>
      </c>
      <c r="H118" s="12">
        <f t="shared" si="15"/>
        <v>8517561.9968154822</v>
      </c>
      <c r="I118" s="12">
        <f t="shared" si="16"/>
        <v>7.5</v>
      </c>
      <c r="J118" s="79">
        <f t="shared" si="17"/>
        <v>15000000</v>
      </c>
      <c r="K118" s="64">
        <f t="shared" si="18"/>
        <v>3456000</v>
      </c>
      <c r="L118" s="64">
        <f t="shared" si="19"/>
        <v>3750000</v>
      </c>
      <c r="M118">
        <f>IF(COUNTIF(InputOutputData!K$20,"Chlorine"),L118+H118,L118+J118+H118)</f>
        <v>12267561.996815482</v>
      </c>
      <c r="N118">
        <f t="shared" si="24"/>
        <v>0.87625442834396305</v>
      </c>
      <c r="O118" t="str">
        <f t="shared" si="20"/>
        <v/>
      </c>
    </row>
    <row r="119" spans="1:15" ht="14.45">
      <c r="A119" s="24">
        <f>'More accurate Energy (Solar)'!A119</f>
        <v>1.5</v>
      </c>
      <c r="B119" s="24">
        <f t="shared" si="21"/>
        <v>0.10416666666666667</v>
      </c>
      <c r="C119" s="13">
        <f t="shared" si="22"/>
        <v>0.15</v>
      </c>
      <c r="D119" s="12">
        <f t="shared" si="25"/>
        <v>104</v>
      </c>
      <c r="E119" s="12">
        <f t="shared" si="23"/>
        <v>34.654000000000053</v>
      </c>
      <c r="F119" s="12">
        <f t="shared" si="13"/>
        <v>50485.738762038425</v>
      </c>
      <c r="G119" s="391">
        <f t="shared" si="14"/>
        <v>1.6673729535269036E-2</v>
      </c>
      <c r="H119" s="12">
        <f t="shared" si="15"/>
        <v>3027861.2025731062</v>
      </c>
      <c r="I119" s="12">
        <f t="shared" si="16"/>
        <v>0.75</v>
      </c>
      <c r="J119" s="79">
        <f t="shared" si="17"/>
        <v>1500000</v>
      </c>
      <c r="K119" s="64">
        <f t="shared" si="18"/>
        <v>3456000</v>
      </c>
      <c r="L119" s="64">
        <f t="shared" si="19"/>
        <v>3750000</v>
      </c>
      <c r="M119">
        <f>IF(COUNTIF(InputOutputData!K$20,"Chlorine"),L119+H119,L119+J119+H119)</f>
        <v>6777861.2025731057</v>
      </c>
      <c r="N119">
        <f t="shared" si="24"/>
        <v>0.48413294304093613</v>
      </c>
      <c r="O119" t="str">
        <f t="shared" si="20"/>
        <v/>
      </c>
    </row>
    <row r="120" spans="1:15" ht="14.45">
      <c r="A120" s="24">
        <f>'More accurate Energy (Solar)'!A120</f>
        <v>37.200000000000003</v>
      </c>
      <c r="B120" s="24">
        <f t="shared" si="21"/>
        <v>1.0416666666666667</v>
      </c>
      <c r="C120" s="13">
        <f t="shared" si="22"/>
        <v>1.5</v>
      </c>
      <c r="D120" s="12">
        <f t="shared" si="25"/>
        <v>105</v>
      </c>
      <c r="E120" s="12">
        <f t="shared" si="23"/>
        <v>35.722000000000051</v>
      </c>
      <c r="F120" s="12">
        <f t="shared" si="13"/>
        <v>504857.38762038422</v>
      </c>
      <c r="G120" s="391">
        <f t="shared" si="14"/>
        <v>5.9272522795741148E-2</v>
      </c>
      <c r="H120" s="12">
        <f t="shared" si="15"/>
        <v>8517561.9968154822</v>
      </c>
      <c r="I120" s="12">
        <f t="shared" si="16"/>
        <v>7.5</v>
      </c>
      <c r="J120" s="79">
        <f t="shared" si="17"/>
        <v>15000000</v>
      </c>
      <c r="K120" s="64">
        <f t="shared" si="18"/>
        <v>3456000</v>
      </c>
      <c r="L120" s="64">
        <f t="shared" si="19"/>
        <v>3750000</v>
      </c>
      <c r="M120">
        <f>IF(COUNTIF(InputOutputData!K$20,"Chlorine"),L120+H120,L120+J120+H120)</f>
        <v>12267561.996815482</v>
      </c>
      <c r="N120">
        <f t="shared" si="24"/>
        <v>0.87625442834396305</v>
      </c>
      <c r="O120" t="str">
        <f t="shared" si="20"/>
        <v/>
      </c>
    </row>
    <row r="121" spans="1:15" ht="14.45">
      <c r="A121" s="24">
        <f>'More accurate Energy (Solar)'!A121</f>
        <v>3</v>
      </c>
      <c r="B121" s="24">
        <f t="shared" si="21"/>
        <v>0.20833333333333334</v>
      </c>
      <c r="C121" s="13">
        <f t="shared" si="22"/>
        <v>0.3</v>
      </c>
      <c r="D121" s="12">
        <f t="shared" si="25"/>
        <v>106</v>
      </c>
      <c r="E121" s="12">
        <f t="shared" si="23"/>
        <v>35.590000000000053</v>
      </c>
      <c r="F121" s="12">
        <f t="shared" si="13"/>
        <v>100971.47752407685</v>
      </c>
      <c r="G121" s="391">
        <f t="shared" si="14"/>
        <v>2.4416893397727592E-2</v>
      </c>
      <c r="H121" s="12">
        <f t="shared" si="15"/>
        <v>4135312.2151679611</v>
      </c>
      <c r="I121" s="12">
        <f t="shared" si="16"/>
        <v>1.5</v>
      </c>
      <c r="J121" s="79">
        <f t="shared" si="17"/>
        <v>3000000</v>
      </c>
      <c r="K121" s="64">
        <f t="shared" si="18"/>
        <v>3456000</v>
      </c>
      <c r="L121" s="64">
        <f t="shared" si="19"/>
        <v>3750000</v>
      </c>
      <c r="M121">
        <f>IF(COUNTIF(InputOutputData!K$20,"Chlorine"),L121+H121,L121+J121+H121)</f>
        <v>7885312.2151679611</v>
      </c>
      <c r="N121">
        <f t="shared" si="24"/>
        <v>0.56323658679771149</v>
      </c>
      <c r="O121" t="str">
        <f t="shared" si="20"/>
        <v/>
      </c>
    </row>
    <row r="122" spans="1:15" ht="14.45">
      <c r="A122" s="24">
        <f>'More accurate Energy (Solar)'!A122</f>
        <v>0</v>
      </c>
      <c r="B122" s="24">
        <f t="shared" si="21"/>
        <v>0</v>
      </c>
      <c r="C122" s="13">
        <f t="shared" si="22"/>
        <v>0</v>
      </c>
      <c r="D122" s="12">
        <f t="shared" si="25"/>
        <v>107</v>
      </c>
      <c r="E122" s="12">
        <f t="shared" si="23"/>
        <v>35.158000000000051</v>
      </c>
      <c r="F122" s="12">
        <f t="shared" si="13"/>
        <v>0</v>
      </c>
      <c r="G122" s="391">
        <f t="shared" si="14"/>
        <v>0</v>
      </c>
      <c r="H122" s="12">
        <f t="shared" si="15"/>
        <v>0</v>
      </c>
      <c r="I122" s="12">
        <f t="shared" si="16"/>
        <v>0</v>
      </c>
      <c r="J122" s="79">
        <f t="shared" si="17"/>
        <v>0</v>
      </c>
      <c r="K122" s="64">
        <f t="shared" si="18"/>
        <v>3456000</v>
      </c>
      <c r="L122" s="64">
        <f t="shared" si="19"/>
        <v>3750000</v>
      </c>
      <c r="M122">
        <f>IF(COUNTIF(InputOutputData!K$20,"Chlorine"),L122+H122,L122+J122+H122)</f>
        <v>3750000</v>
      </c>
      <c r="N122">
        <f t="shared" si="24"/>
        <v>0.26785714285714285</v>
      </c>
      <c r="O122" t="str">
        <f t="shared" si="20"/>
        <v/>
      </c>
    </row>
    <row r="123" spans="1:15" ht="14.45">
      <c r="A123" s="24">
        <f>'More accurate Energy (Solar)'!A123</f>
        <v>0</v>
      </c>
      <c r="B123" s="24">
        <f t="shared" si="21"/>
        <v>0</v>
      </c>
      <c r="C123" s="13">
        <f t="shared" si="22"/>
        <v>0</v>
      </c>
      <c r="D123" s="12">
        <f t="shared" si="25"/>
        <v>108</v>
      </c>
      <c r="E123" s="12">
        <f t="shared" si="23"/>
        <v>34.726000000000049</v>
      </c>
      <c r="F123" s="12">
        <f t="shared" si="13"/>
        <v>0</v>
      </c>
      <c r="G123" s="391">
        <f t="shared" si="14"/>
        <v>0</v>
      </c>
      <c r="H123" s="12">
        <f t="shared" si="15"/>
        <v>0</v>
      </c>
      <c r="I123" s="12">
        <f t="shared" si="16"/>
        <v>0</v>
      </c>
      <c r="J123" s="79">
        <f t="shared" si="17"/>
        <v>0</v>
      </c>
      <c r="K123" s="64">
        <f t="shared" si="18"/>
        <v>3456000</v>
      </c>
      <c r="L123" s="64">
        <f t="shared" si="19"/>
        <v>3750000</v>
      </c>
      <c r="M123">
        <f>IF(COUNTIF(InputOutputData!K$20,"Chlorine"),L123+H123,L123+J123+H123)</f>
        <v>3750000</v>
      </c>
      <c r="N123">
        <f t="shared" si="24"/>
        <v>0.26785714285714285</v>
      </c>
      <c r="O123" t="str">
        <f t="shared" si="20"/>
        <v/>
      </c>
    </row>
    <row r="124" spans="1:15" ht="14.45">
      <c r="A124" s="24">
        <f>'More accurate Energy (Solar)'!A124</f>
        <v>0</v>
      </c>
      <c r="B124" s="24">
        <f t="shared" si="21"/>
        <v>0</v>
      </c>
      <c r="C124" s="13">
        <f t="shared" si="22"/>
        <v>0</v>
      </c>
      <c r="D124" s="12">
        <f t="shared" si="25"/>
        <v>109</v>
      </c>
      <c r="E124" s="12">
        <f t="shared" si="23"/>
        <v>34.294000000000047</v>
      </c>
      <c r="F124" s="12">
        <f t="shared" si="13"/>
        <v>0</v>
      </c>
      <c r="G124" s="391">
        <f t="shared" si="14"/>
        <v>0</v>
      </c>
      <c r="H124" s="12">
        <f t="shared" si="15"/>
        <v>0</v>
      </c>
      <c r="I124" s="12">
        <f t="shared" si="16"/>
        <v>0</v>
      </c>
      <c r="J124" s="79">
        <f t="shared" si="17"/>
        <v>0</v>
      </c>
      <c r="K124" s="64">
        <f t="shared" si="18"/>
        <v>3456000</v>
      </c>
      <c r="L124" s="64">
        <f t="shared" si="19"/>
        <v>3750000</v>
      </c>
      <c r="M124">
        <f>IF(COUNTIF(InputOutputData!K$20,"Chlorine"),L124+H124,L124+J124+H124)</f>
        <v>3750000</v>
      </c>
      <c r="N124">
        <f t="shared" si="24"/>
        <v>0.26785714285714285</v>
      </c>
      <c r="O124" t="str">
        <f t="shared" si="20"/>
        <v/>
      </c>
    </row>
    <row r="125" spans="1:15" ht="14.45">
      <c r="A125" s="24">
        <f>'More accurate Energy (Solar)'!A125</f>
        <v>1.1000000000000001</v>
      </c>
      <c r="B125" s="24">
        <f t="shared" si="21"/>
        <v>7.6388888888888895E-2</v>
      </c>
      <c r="C125" s="13">
        <f t="shared" si="22"/>
        <v>0.11</v>
      </c>
      <c r="D125" s="12">
        <f t="shared" si="25"/>
        <v>110</v>
      </c>
      <c r="E125" s="12">
        <f t="shared" si="23"/>
        <v>33.972000000000044</v>
      </c>
      <c r="F125" s="12">
        <f t="shared" si="13"/>
        <v>37022.875092161514</v>
      </c>
      <c r="G125" s="391">
        <f t="shared" si="14"/>
        <v>1.4058022370781723E-2</v>
      </c>
      <c r="H125" s="12">
        <f t="shared" si="15"/>
        <v>2633576.3392374502</v>
      </c>
      <c r="I125" s="12">
        <f t="shared" si="16"/>
        <v>0.55000000000000004</v>
      </c>
      <c r="J125" s="79">
        <f t="shared" si="17"/>
        <v>1100000</v>
      </c>
      <c r="K125" s="64">
        <f t="shared" si="18"/>
        <v>3456000</v>
      </c>
      <c r="L125" s="64">
        <f t="shared" si="19"/>
        <v>3750000</v>
      </c>
      <c r="M125">
        <f>IF(COUNTIF(InputOutputData!K$20,"Chlorine"),L125+H125,L125+J125+H125)</f>
        <v>6383576.3392374497</v>
      </c>
      <c r="N125">
        <f t="shared" si="24"/>
        <v>0.45596973851696065</v>
      </c>
      <c r="O125" t="str">
        <f t="shared" si="20"/>
        <v/>
      </c>
    </row>
    <row r="126" spans="1:15" ht="14.45">
      <c r="A126" s="24">
        <f>'More accurate Energy (Solar)'!A126</f>
        <v>0.4</v>
      </c>
      <c r="B126" s="24">
        <f t="shared" si="21"/>
        <v>2.7777777777777776E-2</v>
      </c>
      <c r="C126" s="13">
        <f t="shared" si="22"/>
        <v>0.04</v>
      </c>
      <c r="D126" s="12">
        <f t="shared" si="25"/>
        <v>111</v>
      </c>
      <c r="E126" s="12">
        <f t="shared" si="23"/>
        <v>33.580000000000041</v>
      </c>
      <c r="F126" s="12">
        <f t="shared" si="13"/>
        <v>13462.863669876913</v>
      </c>
      <c r="G126" s="391">
        <f t="shared" si="14"/>
        <v>8.0583980052267804E-3</v>
      </c>
      <c r="H126" s="12">
        <f t="shared" si="15"/>
        <v>1670662.5387756634</v>
      </c>
      <c r="I126" s="12">
        <f t="shared" si="16"/>
        <v>0.2</v>
      </c>
      <c r="J126" s="79">
        <f t="shared" si="17"/>
        <v>400000</v>
      </c>
      <c r="K126" s="64">
        <f t="shared" si="18"/>
        <v>3456000</v>
      </c>
      <c r="L126" s="64">
        <f t="shared" si="19"/>
        <v>3750000</v>
      </c>
      <c r="M126">
        <f>IF(COUNTIF(InputOutputData!K$20,"Chlorine"),L126+H126,L126+J126+H126)</f>
        <v>5420662.5387756638</v>
      </c>
      <c r="N126">
        <f t="shared" si="24"/>
        <v>0.38719018134111893</v>
      </c>
      <c r="O126" t="str">
        <f t="shared" si="20"/>
        <v/>
      </c>
    </row>
    <row r="127" spans="1:15" ht="14.45">
      <c r="A127" s="24">
        <f>'More accurate Energy (Solar)'!A127</f>
        <v>8.1999999999999993</v>
      </c>
      <c r="B127" s="24">
        <f t="shared" si="21"/>
        <v>0.56944444444444431</v>
      </c>
      <c r="C127" s="13">
        <f t="shared" si="22"/>
        <v>0.81999999999999984</v>
      </c>
      <c r="D127" s="12">
        <f t="shared" si="25"/>
        <v>112</v>
      </c>
      <c r="E127" s="12">
        <f t="shared" si="23"/>
        <v>33.968000000000039</v>
      </c>
      <c r="F127" s="12">
        <f t="shared" si="13"/>
        <v>275988.70523247664</v>
      </c>
      <c r="G127" s="391">
        <f t="shared" si="14"/>
        <v>4.2480284096305033E-2</v>
      </c>
      <c r="H127" s="12">
        <f t="shared" si="15"/>
        <v>6496865.8073659716</v>
      </c>
      <c r="I127" s="12">
        <f t="shared" si="16"/>
        <v>4.0999999999999996</v>
      </c>
      <c r="J127" s="79">
        <f t="shared" si="17"/>
        <v>8199999.9999999991</v>
      </c>
      <c r="K127" s="64">
        <f t="shared" si="18"/>
        <v>3456000</v>
      </c>
      <c r="L127" s="64">
        <f t="shared" si="19"/>
        <v>3750000</v>
      </c>
      <c r="M127">
        <f>IF(COUNTIF(InputOutputData!K$20,"Chlorine"),L127+H127,L127+J127+H127)</f>
        <v>10246865.807365973</v>
      </c>
      <c r="N127">
        <f t="shared" si="24"/>
        <v>0.73191898624042662</v>
      </c>
      <c r="O127" t="str">
        <f t="shared" si="20"/>
        <v/>
      </c>
    </row>
    <row r="128" spans="1:15" ht="14.45">
      <c r="A128" s="24">
        <f>'More accurate Energy (Solar)'!A128</f>
        <v>8.4</v>
      </c>
      <c r="B128" s="24">
        <f t="shared" si="21"/>
        <v>0.58333333333333348</v>
      </c>
      <c r="C128" s="13">
        <f t="shared" si="22"/>
        <v>0.84000000000000008</v>
      </c>
      <c r="D128" s="12">
        <f t="shared" si="25"/>
        <v>113</v>
      </c>
      <c r="E128" s="12">
        <f t="shared" si="23"/>
        <v>34.37600000000004</v>
      </c>
      <c r="F128" s="12">
        <f t="shared" si="13"/>
        <v>282720.13706741517</v>
      </c>
      <c r="G128" s="391">
        <f t="shared" si="14"/>
        <v>4.3048255778827801E-2</v>
      </c>
      <c r="H128" s="12">
        <f t="shared" si="15"/>
        <v>6567516.6613013847</v>
      </c>
      <c r="I128" s="12">
        <f t="shared" si="16"/>
        <v>4.2</v>
      </c>
      <c r="J128" s="79">
        <f t="shared" si="17"/>
        <v>8400000</v>
      </c>
      <c r="K128" s="64">
        <f t="shared" si="18"/>
        <v>3456000</v>
      </c>
      <c r="L128" s="64">
        <f t="shared" si="19"/>
        <v>3750000</v>
      </c>
      <c r="M128">
        <f>IF(COUNTIF(InputOutputData!K$20,"Chlorine"),L128+H128,L128+J128+H128)</f>
        <v>10317516.661301386</v>
      </c>
      <c r="N128">
        <f t="shared" si="24"/>
        <v>0.73696547580724192</v>
      </c>
      <c r="O128" t="str">
        <f t="shared" si="20"/>
        <v/>
      </c>
    </row>
    <row r="129" spans="1:15" ht="14.45">
      <c r="A129" s="24">
        <f>'More accurate Energy (Solar)'!A129</f>
        <v>1.8</v>
      </c>
      <c r="B129" s="24">
        <f t="shared" si="21"/>
        <v>0.125</v>
      </c>
      <c r="C129" s="13">
        <f t="shared" si="22"/>
        <v>0.18</v>
      </c>
      <c r="D129" s="12">
        <f t="shared" si="25"/>
        <v>114</v>
      </c>
      <c r="E129" s="12">
        <f t="shared" si="23"/>
        <v>34.124000000000038</v>
      </c>
      <c r="F129" s="12">
        <f t="shared" si="13"/>
        <v>60582.886514446102</v>
      </c>
      <c r="G129" s="391">
        <f t="shared" si="14"/>
        <v>1.843319716624707E-2</v>
      </c>
      <c r="H129" s="12">
        <f t="shared" si="15"/>
        <v>3286618.4833838325</v>
      </c>
      <c r="I129" s="12">
        <f t="shared" si="16"/>
        <v>0.89999999999999991</v>
      </c>
      <c r="J129" s="79">
        <f t="shared" si="17"/>
        <v>1799999.9999999998</v>
      </c>
      <c r="K129" s="64">
        <f t="shared" si="18"/>
        <v>3456000</v>
      </c>
      <c r="L129" s="64">
        <f t="shared" si="19"/>
        <v>3750000</v>
      </c>
      <c r="M129">
        <f>IF(COUNTIF(InputOutputData!K$20,"Chlorine"),L129+H129,L129+J129+H129)</f>
        <v>7036618.4833838325</v>
      </c>
      <c r="N129">
        <f t="shared" si="24"/>
        <v>0.50261560595598798</v>
      </c>
      <c r="O129" t="str">
        <f t="shared" si="20"/>
        <v/>
      </c>
    </row>
    <row r="130" spans="1:15" ht="14.45">
      <c r="A130" s="24">
        <f>'More accurate Energy (Solar)'!A130</f>
        <v>0</v>
      </c>
      <c r="B130" s="24">
        <f t="shared" si="21"/>
        <v>0</v>
      </c>
      <c r="C130" s="13">
        <f t="shared" si="22"/>
        <v>0</v>
      </c>
      <c r="D130" s="12">
        <f t="shared" si="25"/>
        <v>115</v>
      </c>
      <c r="E130" s="12">
        <f t="shared" si="23"/>
        <v>33.692000000000036</v>
      </c>
      <c r="F130" s="12">
        <f t="shared" si="13"/>
        <v>0</v>
      </c>
      <c r="G130" s="391">
        <f t="shared" si="14"/>
        <v>0</v>
      </c>
      <c r="H130" s="12">
        <f t="shared" si="15"/>
        <v>0</v>
      </c>
      <c r="I130" s="12">
        <f t="shared" si="16"/>
        <v>0</v>
      </c>
      <c r="J130" s="79">
        <f t="shared" si="17"/>
        <v>0</v>
      </c>
      <c r="K130" s="64">
        <f t="shared" si="18"/>
        <v>3456000</v>
      </c>
      <c r="L130" s="64">
        <f t="shared" si="19"/>
        <v>3750000</v>
      </c>
      <c r="M130">
        <f>IF(COUNTIF(InputOutputData!K$20,"Chlorine"),L130+H130,L130+J130+H130)</f>
        <v>3750000</v>
      </c>
      <c r="N130">
        <f t="shared" si="24"/>
        <v>0.26785714285714285</v>
      </c>
      <c r="O130" t="str">
        <f t="shared" si="20"/>
        <v/>
      </c>
    </row>
    <row r="131" spans="1:15" ht="14.45">
      <c r="A131" s="24">
        <f>'More accurate Energy (Solar)'!A131</f>
        <v>4.2</v>
      </c>
      <c r="B131" s="24">
        <f t="shared" si="21"/>
        <v>0.29166666666666674</v>
      </c>
      <c r="C131" s="13">
        <f t="shared" si="22"/>
        <v>0.42000000000000004</v>
      </c>
      <c r="D131" s="12">
        <f t="shared" si="25"/>
        <v>116</v>
      </c>
      <c r="E131" s="12">
        <f t="shared" si="23"/>
        <v>33.680000000000035</v>
      </c>
      <c r="F131" s="12">
        <f t="shared" si="13"/>
        <v>141360.06853370758</v>
      </c>
      <c r="G131" s="391">
        <f t="shared" si="14"/>
        <v>2.938554563262399E-2</v>
      </c>
      <c r="H131" s="12">
        <f t="shared" si="15"/>
        <v>4810530.6704521049</v>
      </c>
      <c r="I131" s="12">
        <f t="shared" si="16"/>
        <v>2.1</v>
      </c>
      <c r="J131" s="79">
        <f t="shared" si="17"/>
        <v>4200000</v>
      </c>
      <c r="K131" s="64">
        <f t="shared" si="18"/>
        <v>3456000</v>
      </c>
      <c r="L131" s="64">
        <f t="shared" si="19"/>
        <v>3750000</v>
      </c>
      <c r="M131">
        <f>IF(COUNTIF(InputOutputData!K$20,"Chlorine"),L131+H131,L131+J131+H131)</f>
        <v>8560530.6704521049</v>
      </c>
      <c r="N131">
        <f t="shared" si="24"/>
        <v>0.61146647646086461</v>
      </c>
      <c r="O131" t="str">
        <f t="shared" si="20"/>
        <v/>
      </c>
    </row>
    <row r="132" spans="1:15" ht="14.45">
      <c r="A132" s="24">
        <f>'More accurate Energy (Solar)'!A132</f>
        <v>22.4</v>
      </c>
      <c r="B132" s="24">
        <f t="shared" si="21"/>
        <v>1.0416666666666667</v>
      </c>
      <c r="C132" s="13">
        <f t="shared" si="22"/>
        <v>1.5</v>
      </c>
      <c r="D132" s="12">
        <f t="shared" si="25"/>
        <v>117</v>
      </c>
      <c r="E132" s="12">
        <f t="shared" si="23"/>
        <v>34.748000000000033</v>
      </c>
      <c r="F132" s="12">
        <f t="shared" si="13"/>
        <v>504857.38762038422</v>
      </c>
      <c r="G132" s="391">
        <f t="shared" si="14"/>
        <v>5.9272522795741148E-2</v>
      </c>
      <c r="H132" s="12">
        <f t="shared" si="15"/>
        <v>8517561.9968154822</v>
      </c>
      <c r="I132" s="12">
        <f t="shared" si="16"/>
        <v>7.5</v>
      </c>
      <c r="J132" s="79">
        <f t="shared" si="17"/>
        <v>15000000</v>
      </c>
      <c r="K132" s="64">
        <f t="shared" si="18"/>
        <v>3456000</v>
      </c>
      <c r="L132" s="64">
        <f t="shared" si="19"/>
        <v>3750000</v>
      </c>
      <c r="M132">
        <f>IF(COUNTIF(InputOutputData!K$20,"Chlorine"),L132+H132,L132+J132+H132)</f>
        <v>12267561.996815482</v>
      </c>
      <c r="N132">
        <f t="shared" si="24"/>
        <v>0.87625442834396305</v>
      </c>
      <c r="O132" t="str">
        <f t="shared" si="20"/>
        <v/>
      </c>
    </row>
    <row r="133" spans="1:15" ht="14.45">
      <c r="A133" s="24">
        <f>'More accurate Energy (Solar)'!A133</f>
        <v>15.4</v>
      </c>
      <c r="B133" s="24">
        <f t="shared" si="21"/>
        <v>1.0416666666666667</v>
      </c>
      <c r="C133" s="13">
        <f t="shared" si="22"/>
        <v>1.5</v>
      </c>
      <c r="D133" s="12">
        <f t="shared" si="25"/>
        <v>118</v>
      </c>
      <c r="E133" s="12">
        <f t="shared" si="23"/>
        <v>35.816000000000031</v>
      </c>
      <c r="F133" s="12">
        <f t="shared" si="13"/>
        <v>504857.38762038422</v>
      </c>
      <c r="G133" s="391">
        <f t="shared" si="14"/>
        <v>5.9272522795741148E-2</v>
      </c>
      <c r="H133" s="12">
        <f t="shared" si="15"/>
        <v>8517561.9968154822</v>
      </c>
      <c r="I133" s="12">
        <f t="shared" si="16"/>
        <v>7.5</v>
      </c>
      <c r="J133" s="79">
        <f t="shared" si="17"/>
        <v>15000000</v>
      </c>
      <c r="K133" s="64">
        <f t="shared" si="18"/>
        <v>3456000</v>
      </c>
      <c r="L133" s="64">
        <f t="shared" si="19"/>
        <v>3750000</v>
      </c>
      <c r="M133">
        <f>IF(COUNTIF(InputOutputData!K$20,"Chlorine"),L133+H133,L133+J133+H133)</f>
        <v>12267561.996815482</v>
      </c>
      <c r="N133">
        <f t="shared" si="24"/>
        <v>0.87625442834396305</v>
      </c>
      <c r="O133" t="str">
        <f t="shared" si="20"/>
        <v/>
      </c>
    </row>
    <row r="134" spans="1:15" ht="14.45">
      <c r="A134" s="24">
        <f>'More accurate Energy (Solar)'!A134</f>
        <v>27.6</v>
      </c>
      <c r="B134" s="24">
        <f t="shared" si="21"/>
        <v>1.0416666666666667</v>
      </c>
      <c r="C134" s="13">
        <f t="shared" si="22"/>
        <v>1.5</v>
      </c>
      <c r="D134" s="12">
        <f t="shared" si="25"/>
        <v>119</v>
      </c>
      <c r="E134" s="12">
        <f t="shared" si="23"/>
        <v>36</v>
      </c>
      <c r="F134" s="12">
        <f t="shared" si="13"/>
        <v>504857.38762038422</v>
      </c>
      <c r="G134" s="391">
        <f t="shared" si="14"/>
        <v>5.9272522795741148E-2</v>
      </c>
      <c r="H134" s="12">
        <f t="shared" si="15"/>
        <v>8517561.9968154822</v>
      </c>
      <c r="I134" s="12">
        <f t="shared" si="16"/>
        <v>7.5</v>
      </c>
      <c r="J134" s="79">
        <f t="shared" si="17"/>
        <v>15000000</v>
      </c>
      <c r="K134" s="64">
        <f t="shared" si="18"/>
        <v>3456000</v>
      </c>
      <c r="L134" s="64">
        <f t="shared" si="19"/>
        <v>3750000</v>
      </c>
      <c r="M134">
        <f>IF(COUNTIF(InputOutputData!K$20,"Chlorine"),L134+H134,L134+J134+H134)</f>
        <v>12267561.996815482</v>
      </c>
      <c r="N134">
        <f t="shared" si="24"/>
        <v>0.87625442834396305</v>
      </c>
      <c r="O134" t="str">
        <f t="shared" si="20"/>
        <v/>
      </c>
    </row>
    <row r="135" spans="1:15" ht="14.45">
      <c r="A135" s="24">
        <f>'More accurate Energy (Solar)'!A135</f>
        <v>4.8</v>
      </c>
      <c r="B135" s="24">
        <f t="shared" si="21"/>
        <v>0.33333333333333331</v>
      </c>
      <c r="C135" s="13">
        <f t="shared" si="22"/>
        <v>0.48</v>
      </c>
      <c r="D135" s="12">
        <f t="shared" si="25"/>
        <v>120</v>
      </c>
      <c r="E135" s="12">
        <f t="shared" si="23"/>
        <v>36</v>
      </c>
      <c r="F135" s="12">
        <f t="shared" si="13"/>
        <v>161554.36403852294</v>
      </c>
      <c r="G135" s="391">
        <f t="shared" si="14"/>
        <v>3.162756800739009E-2</v>
      </c>
      <c r="H135" s="12">
        <f t="shared" si="15"/>
        <v>5108023.6077833809</v>
      </c>
      <c r="I135" s="12">
        <f t="shared" si="16"/>
        <v>2.4</v>
      </c>
      <c r="J135" s="79">
        <f t="shared" si="17"/>
        <v>4800000</v>
      </c>
      <c r="K135" s="64">
        <f t="shared" si="18"/>
        <v>3456000</v>
      </c>
      <c r="L135" s="64">
        <f t="shared" si="19"/>
        <v>3750000</v>
      </c>
      <c r="M135">
        <f>IF(COUNTIF(InputOutputData!K$20,"Chlorine"),L135+H135,L135+J135+H135)</f>
        <v>8858023.6077833809</v>
      </c>
      <c r="N135">
        <f t="shared" si="24"/>
        <v>0.63271597198452723</v>
      </c>
      <c r="O135" t="str">
        <f t="shared" si="20"/>
        <v/>
      </c>
    </row>
    <row r="136" spans="1:15" ht="14.45">
      <c r="A136" s="24">
        <f>'More accurate Energy (Solar)'!A136</f>
        <v>0.8</v>
      </c>
      <c r="B136" s="24">
        <f t="shared" si="21"/>
        <v>5.5555555555555552E-2</v>
      </c>
      <c r="C136" s="13">
        <f t="shared" si="22"/>
        <v>0.08</v>
      </c>
      <c r="D136" s="12">
        <f t="shared" si="25"/>
        <v>121</v>
      </c>
      <c r="E136" s="12">
        <f t="shared" si="23"/>
        <v>35.648000000000003</v>
      </c>
      <c r="F136" s="12">
        <f t="shared" si="13"/>
        <v>26925.727339753827</v>
      </c>
      <c r="G136" s="391">
        <f t="shared" si="14"/>
        <v>1.1798845559697837E-2</v>
      </c>
      <c r="H136" s="12">
        <f t="shared" si="15"/>
        <v>2282064.5633099871</v>
      </c>
      <c r="I136" s="12">
        <f t="shared" si="16"/>
        <v>0.4</v>
      </c>
      <c r="J136" s="79">
        <f t="shared" si="17"/>
        <v>800000</v>
      </c>
      <c r="K136" s="64">
        <f t="shared" si="18"/>
        <v>3456000</v>
      </c>
      <c r="L136" s="64">
        <f t="shared" si="19"/>
        <v>3750000</v>
      </c>
      <c r="M136">
        <f>IF(COUNTIF(InputOutputData!K$20,"Chlorine"),L136+H136,L136+J136+H136)</f>
        <v>6032064.5633099871</v>
      </c>
      <c r="N136">
        <f t="shared" si="24"/>
        <v>0.43086175452214193</v>
      </c>
      <c r="O136" t="str">
        <f t="shared" si="20"/>
        <v/>
      </c>
    </row>
    <row r="137" spans="1:15" ht="14.45">
      <c r="A137" s="24">
        <f>'More accurate Energy (Solar)'!A137</f>
        <v>0</v>
      </c>
      <c r="B137" s="24">
        <f t="shared" si="21"/>
        <v>0</v>
      </c>
      <c r="C137" s="13">
        <f t="shared" si="22"/>
        <v>0</v>
      </c>
      <c r="D137" s="12">
        <f t="shared" si="25"/>
        <v>122</v>
      </c>
      <c r="E137" s="12">
        <f t="shared" si="23"/>
        <v>35.216000000000001</v>
      </c>
      <c r="F137" s="12">
        <f t="shared" si="13"/>
        <v>0</v>
      </c>
      <c r="G137" s="391">
        <f t="shared" si="14"/>
        <v>0</v>
      </c>
      <c r="H137" s="12">
        <f t="shared" si="15"/>
        <v>0</v>
      </c>
      <c r="I137" s="12">
        <f t="shared" si="16"/>
        <v>0</v>
      </c>
      <c r="J137" s="79">
        <f t="shared" si="17"/>
        <v>0</v>
      </c>
      <c r="K137" s="64">
        <f t="shared" si="18"/>
        <v>3456000</v>
      </c>
      <c r="L137" s="64">
        <f t="shared" si="19"/>
        <v>3750000</v>
      </c>
      <c r="M137">
        <f>IF(COUNTIF(InputOutputData!K$20,"Chlorine"),L137+H137,L137+J137+H137)</f>
        <v>3750000</v>
      </c>
      <c r="N137">
        <f t="shared" si="24"/>
        <v>0.26785714285714285</v>
      </c>
      <c r="O137" t="str">
        <f t="shared" si="20"/>
        <v/>
      </c>
    </row>
    <row r="138" spans="1:15" ht="14.45">
      <c r="A138" s="24">
        <f>'More accurate Energy (Solar)'!A138</f>
        <v>0</v>
      </c>
      <c r="B138" s="24">
        <f t="shared" si="21"/>
        <v>0</v>
      </c>
      <c r="C138" s="13">
        <f t="shared" si="22"/>
        <v>0</v>
      </c>
      <c r="D138" s="12">
        <f t="shared" si="25"/>
        <v>123</v>
      </c>
      <c r="E138" s="12">
        <f t="shared" si="23"/>
        <v>34.783999999999999</v>
      </c>
      <c r="F138" s="12">
        <f t="shared" si="13"/>
        <v>0</v>
      </c>
      <c r="G138" s="391">
        <f t="shared" si="14"/>
        <v>0</v>
      </c>
      <c r="H138" s="12">
        <f t="shared" si="15"/>
        <v>0</v>
      </c>
      <c r="I138" s="12">
        <f t="shared" si="16"/>
        <v>0</v>
      </c>
      <c r="J138" s="79">
        <f t="shared" si="17"/>
        <v>0</v>
      </c>
      <c r="K138" s="64">
        <f t="shared" si="18"/>
        <v>3456000</v>
      </c>
      <c r="L138" s="64">
        <f t="shared" si="19"/>
        <v>3750000</v>
      </c>
      <c r="M138">
        <f>IF(COUNTIF(InputOutputData!K$20,"Chlorine"),L138+H138,L138+J138+H138)</f>
        <v>3750000</v>
      </c>
      <c r="N138">
        <f t="shared" si="24"/>
        <v>0.26785714285714285</v>
      </c>
      <c r="O138" t="str">
        <f t="shared" si="20"/>
        <v/>
      </c>
    </row>
    <row r="139" spans="1:15" ht="14.45">
      <c r="A139" s="24">
        <f>'More accurate Energy (Solar)'!A139</f>
        <v>19.8</v>
      </c>
      <c r="B139" s="24">
        <f t="shared" si="21"/>
        <v>1.0416666666666667</v>
      </c>
      <c r="C139" s="13">
        <f t="shared" si="22"/>
        <v>1.5</v>
      </c>
      <c r="D139" s="12">
        <f t="shared" si="25"/>
        <v>124</v>
      </c>
      <c r="E139" s="12">
        <f t="shared" si="23"/>
        <v>35.851999999999997</v>
      </c>
      <c r="F139" s="12">
        <f t="shared" si="13"/>
        <v>504857.38762038422</v>
      </c>
      <c r="G139" s="391">
        <f t="shared" si="14"/>
        <v>5.9272522795741148E-2</v>
      </c>
      <c r="H139" s="12">
        <f t="shared" si="15"/>
        <v>8517561.9968154822</v>
      </c>
      <c r="I139" s="12">
        <f t="shared" si="16"/>
        <v>7.5</v>
      </c>
      <c r="J139" s="79">
        <f t="shared" si="17"/>
        <v>15000000</v>
      </c>
      <c r="K139" s="64">
        <f t="shared" si="18"/>
        <v>3456000</v>
      </c>
      <c r="L139" s="64">
        <f t="shared" si="19"/>
        <v>3750000</v>
      </c>
      <c r="M139">
        <f>IF(COUNTIF(InputOutputData!K$20,"Chlorine"),L139+H139,L139+J139+H139)</f>
        <v>12267561.996815482</v>
      </c>
      <c r="N139">
        <f t="shared" si="24"/>
        <v>0.87625442834396305</v>
      </c>
      <c r="O139" t="str">
        <f t="shared" si="20"/>
        <v/>
      </c>
    </row>
    <row r="140" spans="1:15" ht="14.45">
      <c r="A140" s="24">
        <f>'More accurate Energy (Solar)'!A140</f>
        <v>0.4</v>
      </c>
      <c r="B140" s="24">
        <f t="shared" si="21"/>
        <v>2.7777777777777776E-2</v>
      </c>
      <c r="C140" s="13">
        <f t="shared" si="22"/>
        <v>0.04</v>
      </c>
      <c r="D140" s="12">
        <f t="shared" si="25"/>
        <v>125</v>
      </c>
      <c r="E140" s="12">
        <f t="shared" si="23"/>
        <v>35.459999999999994</v>
      </c>
      <c r="F140" s="12">
        <f t="shared" si="13"/>
        <v>13462.863669876913</v>
      </c>
      <c r="G140" s="391">
        <f t="shared" si="14"/>
        <v>8.0583980052267804E-3</v>
      </c>
      <c r="H140" s="12">
        <f t="shared" si="15"/>
        <v>1670662.5387756634</v>
      </c>
      <c r="I140" s="12">
        <f t="shared" si="16"/>
        <v>0.2</v>
      </c>
      <c r="J140" s="79">
        <f t="shared" si="17"/>
        <v>400000</v>
      </c>
      <c r="K140" s="64">
        <f t="shared" si="18"/>
        <v>3456000</v>
      </c>
      <c r="L140" s="64">
        <f t="shared" si="19"/>
        <v>3750000</v>
      </c>
      <c r="M140">
        <f>IF(COUNTIF(InputOutputData!K$20,"Chlorine"),L140+H140,L140+J140+H140)</f>
        <v>5420662.5387756638</v>
      </c>
      <c r="N140">
        <f t="shared" si="24"/>
        <v>0.38719018134111893</v>
      </c>
      <c r="O140" t="str">
        <f t="shared" si="20"/>
        <v/>
      </c>
    </row>
    <row r="141" spans="1:15" ht="14.45">
      <c r="A141" s="24">
        <f>'More accurate Energy (Solar)'!A141</f>
        <v>0</v>
      </c>
      <c r="B141" s="24">
        <f t="shared" si="21"/>
        <v>0</v>
      </c>
      <c r="C141" s="13">
        <f t="shared" si="22"/>
        <v>0</v>
      </c>
      <c r="D141" s="12">
        <f t="shared" si="25"/>
        <v>126</v>
      </c>
      <c r="E141" s="12">
        <f t="shared" si="23"/>
        <v>35.027999999999992</v>
      </c>
      <c r="F141" s="12">
        <f t="shared" si="13"/>
        <v>0</v>
      </c>
      <c r="G141" s="391">
        <f t="shared" si="14"/>
        <v>0</v>
      </c>
      <c r="H141" s="12">
        <f t="shared" si="15"/>
        <v>0</v>
      </c>
      <c r="I141" s="12">
        <f t="shared" si="16"/>
        <v>0</v>
      </c>
      <c r="J141" s="79">
        <f t="shared" si="17"/>
        <v>0</v>
      </c>
      <c r="K141" s="64">
        <f t="shared" si="18"/>
        <v>3456000</v>
      </c>
      <c r="L141" s="64">
        <f t="shared" si="19"/>
        <v>3750000</v>
      </c>
      <c r="M141">
        <f>IF(COUNTIF(InputOutputData!K$20,"Chlorine"),L141+H141,L141+J141+H141)</f>
        <v>3750000</v>
      </c>
      <c r="N141">
        <f t="shared" si="24"/>
        <v>0.26785714285714285</v>
      </c>
      <c r="O141" t="str">
        <f t="shared" si="20"/>
        <v/>
      </c>
    </row>
    <row r="142" spans="1:15" ht="14.45">
      <c r="A142" s="24">
        <f>'More accurate Energy (Solar)'!A142</f>
        <v>0</v>
      </c>
      <c r="B142" s="24">
        <f t="shared" si="21"/>
        <v>0</v>
      </c>
      <c r="C142" s="13">
        <f t="shared" si="22"/>
        <v>0</v>
      </c>
      <c r="D142" s="12">
        <f t="shared" si="25"/>
        <v>127</v>
      </c>
      <c r="E142" s="12">
        <f t="shared" si="23"/>
        <v>34.595999999999989</v>
      </c>
      <c r="F142" s="12">
        <f t="shared" si="13"/>
        <v>0</v>
      </c>
      <c r="G142" s="391">
        <f t="shared" si="14"/>
        <v>0</v>
      </c>
      <c r="H142" s="12">
        <f t="shared" si="15"/>
        <v>0</v>
      </c>
      <c r="I142" s="12">
        <f t="shared" si="16"/>
        <v>0</v>
      </c>
      <c r="J142" s="79">
        <f t="shared" si="17"/>
        <v>0</v>
      </c>
      <c r="K142" s="64">
        <f t="shared" si="18"/>
        <v>3456000</v>
      </c>
      <c r="L142" s="64">
        <f t="shared" si="19"/>
        <v>3750000</v>
      </c>
      <c r="M142">
        <f>IF(COUNTIF(InputOutputData!K$20,"Chlorine"),L142+H142,L142+J142+H142)</f>
        <v>3750000</v>
      </c>
      <c r="N142">
        <f t="shared" si="24"/>
        <v>0.26785714285714285</v>
      </c>
      <c r="O142" t="str">
        <f t="shared" si="20"/>
        <v/>
      </c>
    </row>
    <row r="143" spans="1:15" ht="14.45">
      <c r="A143" s="24">
        <f>'More accurate Energy (Solar)'!A143</f>
        <v>0</v>
      </c>
      <c r="B143" s="24">
        <f t="shared" si="21"/>
        <v>0</v>
      </c>
      <c r="C143" s="13">
        <f t="shared" si="22"/>
        <v>0</v>
      </c>
      <c r="D143" s="12">
        <f t="shared" si="25"/>
        <v>128</v>
      </c>
      <c r="E143" s="12">
        <f t="shared" si="23"/>
        <v>34.163999999999987</v>
      </c>
      <c r="F143" s="12">
        <f t="shared" si="13"/>
        <v>0</v>
      </c>
      <c r="G143" s="391">
        <f t="shared" si="14"/>
        <v>0</v>
      </c>
      <c r="H143" s="12">
        <f t="shared" si="15"/>
        <v>0</v>
      </c>
      <c r="I143" s="12">
        <f t="shared" si="16"/>
        <v>0</v>
      </c>
      <c r="J143" s="79">
        <f t="shared" si="17"/>
        <v>0</v>
      </c>
      <c r="K143" s="64">
        <f t="shared" si="18"/>
        <v>3456000</v>
      </c>
      <c r="L143" s="64">
        <f t="shared" si="19"/>
        <v>3750000</v>
      </c>
      <c r="M143">
        <f>IF(COUNTIF(InputOutputData!K$20,"Chlorine"),L143+H143,L143+J143+H143)</f>
        <v>3750000</v>
      </c>
      <c r="N143">
        <f t="shared" si="24"/>
        <v>0.26785714285714285</v>
      </c>
      <c r="O143" t="str">
        <f t="shared" si="20"/>
        <v/>
      </c>
    </row>
    <row r="144" spans="1:15" ht="14.45">
      <c r="A144" s="24">
        <f>'More accurate Energy (Solar)'!A144</f>
        <v>0</v>
      </c>
      <c r="B144" s="24">
        <f t="shared" si="21"/>
        <v>0</v>
      </c>
      <c r="C144" s="13">
        <f t="shared" si="22"/>
        <v>0</v>
      </c>
      <c r="D144" s="12">
        <f t="shared" si="25"/>
        <v>129</v>
      </c>
      <c r="E144" s="12">
        <f t="shared" si="23"/>
        <v>33.731999999999985</v>
      </c>
      <c r="F144" s="12">
        <f t="shared" ref="F144:F207" si="26">C144*$L$2*1000</f>
        <v>0</v>
      </c>
      <c r="G144" s="391">
        <f t="shared" ref="G144:G207" si="27">1.2*$U$8*(EXP(B144/$L$3)-1-1.72*(B144/$L$3)^4)^($U$9)</f>
        <v>0</v>
      </c>
      <c r="H144" s="12">
        <f t="shared" ref="H144:H207" si="28">IF(C144 = 0,0,$L$2*C144/G144 * 1000)</f>
        <v>0</v>
      </c>
      <c r="I144" s="12">
        <f t="shared" ref="I144:I207" si="29">($L$7 / $L$6) * C144</f>
        <v>0</v>
      </c>
      <c r="J144" s="79">
        <f t="shared" ref="J144:J207" si="30">$L$8 * 10^6 * I144</f>
        <v>0</v>
      </c>
      <c r="K144" s="64">
        <f t="shared" ref="K144:K207" si="31">$P$6 * 24 * 3600</f>
        <v>3456000</v>
      </c>
      <c r="L144" s="64">
        <f t="shared" ref="L144:L207" si="32">K144/ ($Q$4 / 100)^2</f>
        <v>3750000</v>
      </c>
      <c r="M144">
        <f>IF(COUNTIF(InputOutputData!K$20,"Chlorine"),L144+H144,L144+J144+H144)</f>
        <v>3750000</v>
      </c>
      <c r="N144">
        <f t="shared" si="24"/>
        <v>0.26785714285714285</v>
      </c>
      <c r="O144" t="str">
        <f t="shared" ref="O144:O207" si="33">IF(E144=0,1,"")</f>
        <v/>
      </c>
    </row>
    <row r="145" spans="1:15" ht="14.45">
      <c r="A145" s="24">
        <f>'More accurate Energy (Solar)'!A145</f>
        <v>0.4</v>
      </c>
      <c r="B145" s="24">
        <f t="shared" ref="B145:B208" si="34">C145*100/144</f>
        <v>2.7777777777777776E-2</v>
      </c>
      <c r="C145" s="13">
        <f t="shared" ref="C145:C208" si="35">MIN((A145/1000)*$E$3,$E$4)</f>
        <v>0.04</v>
      </c>
      <c r="D145" s="12">
        <f t="shared" si="25"/>
        <v>130</v>
      </c>
      <c r="E145" s="12">
        <f t="shared" ref="E145:E208" si="36">MAX(MIN(C145 - (IF(D145 &gt; $E$8, $E$2 / 1000,0)) + E144, $E$5),0)</f>
        <v>33.339999999999982</v>
      </c>
      <c r="F145" s="12">
        <f t="shared" si="26"/>
        <v>13462.863669876913</v>
      </c>
      <c r="G145" s="391">
        <f t="shared" si="27"/>
        <v>8.0583980052267804E-3</v>
      </c>
      <c r="H145" s="12">
        <f t="shared" si="28"/>
        <v>1670662.5387756634</v>
      </c>
      <c r="I145" s="12">
        <f t="shared" si="29"/>
        <v>0.2</v>
      </c>
      <c r="J145" s="79">
        <f t="shared" si="30"/>
        <v>400000</v>
      </c>
      <c r="K145" s="64">
        <f t="shared" si="31"/>
        <v>3456000</v>
      </c>
      <c r="L145" s="64">
        <f t="shared" si="32"/>
        <v>3750000</v>
      </c>
      <c r="M145">
        <f>IF(COUNTIF(InputOutputData!K$20,"Chlorine"),L145+H145,L145+J145+H145)</f>
        <v>5420662.5387756638</v>
      </c>
      <c r="N145">
        <f t="shared" ref="N145:N208" si="37">(M145 / (10)^6) / 40 / 0.35</f>
        <v>0.38719018134111893</v>
      </c>
      <c r="O145" t="str">
        <f t="shared" si="33"/>
        <v/>
      </c>
    </row>
    <row r="146" spans="1:15" ht="14.45">
      <c r="A146" s="24">
        <f>'More accurate Energy (Solar)'!A146</f>
        <v>0</v>
      </c>
      <c r="B146" s="24">
        <f t="shared" si="34"/>
        <v>0</v>
      </c>
      <c r="C146" s="13">
        <f t="shared" si="35"/>
        <v>0</v>
      </c>
      <c r="D146" s="12">
        <f t="shared" ref="D146:D209" si="38">D145+1</f>
        <v>131</v>
      </c>
      <c r="E146" s="12">
        <f t="shared" si="36"/>
        <v>32.90799999999998</v>
      </c>
      <c r="F146" s="12">
        <f t="shared" si="26"/>
        <v>0</v>
      </c>
      <c r="G146" s="391">
        <f t="shared" si="27"/>
        <v>0</v>
      </c>
      <c r="H146" s="12">
        <f t="shared" si="28"/>
        <v>0</v>
      </c>
      <c r="I146" s="12">
        <f t="shared" si="29"/>
        <v>0</v>
      </c>
      <c r="J146" s="79">
        <f t="shared" si="30"/>
        <v>0</v>
      </c>
      <c r="K146" s="64">
        <f t="shared" si="31"/>
        <v>3456000</v>
      </c>
      <c r="L146" s="64">
        <f t="shared" si="32"/>
        <v>3750000</v>
      </c>
      <c r="M146">
        <f>IF(COUNTIF(InputOutputData!K$20,"Chlorine"),L146+H146,L146+J146+H146)</f>
        <v>3750000</v>
      </c>
      <c r="N146">
        <f t="shared" si="37"/>
        <v>0.26785714285714285</v>
      </c>
      <c r="O146" t="str">
        <f t="shared" si="33"/>
        <v/>
      </c>
    </row>
    <row r="147" spans="1:15" ht="14.45">
      <c r="A147" s="24">
        <f>'More accurate Energy (Solar)'!A147</f>
        <v>0</v>
      </c>
      <c r="B147" s="24">
        <f t="shared" si="34"/>
        <v>0</v>
      </c>
      <c r="C147" s="13">
        <f t="shared" si="35"/>
        <v>0</v>
      </c>
      <c r="D147" s="12">
        <f t="shared" si="38"/>
        <v>132</v>
      </c>
      <c r="E147" s="12">
        <f t="shared" si="36"/>
        <v>32.475999999999978</v>
      </c>
      <c r="F147" s="12">
        <f t="shared" si="26"/>
        <v>0</v>
      </c>
      <c r="G147" s="391">
        <f t="shared" si="27"/>
        <v>0</v>
      </c>
      <c r="H147" s="12">
        <f t="shared" si="28"/>
        <v>0</v>
      </c>
      <c r="I147" s="12">
        <f t="shared" si="29"/>
        <v>0</v>
      </c>
      <c r="J147" s="79">
        <f t="shared" si="30"/>
        <v>0</v>
      </c>
      <c r="K147" s="64">
        <f t="shared" si="31"/>
        <v>3456000</v>
      </c>
      <c r="L147" s="64">
        <f t="shared" si="32"/>
        <v>3750000</v>
      </c>
      <c r="M147">
        <f>IF(COUNTIF(InputOutputData!K$20,"Chlorine"),L147+H147,L147+J147+H147)</f>
        <v>3750000</v>
      </c>
      <c r="N147">
        <f t="shared" si="37"/>
        <v>0.26785714285714285</v>
      </c>
      <c r="O147" t="str">
        <f t="shared" si="33"/>
        <v/>
      </c>
    </row>
    <row r="148" spans="1:15" ht="14.45">
      <c r="A148" s="24">
        <f>'More accurate Energy (Solar)'!A148</f>
        <v>0</v>
      </c>
      <c r="B148" s="24">
        <f t="shared" si="34"/>
        <v>0</v>
      </c>
      <c r="C148" s="13">
        <f t="shared" si="35"/>
        <v>0</v>
      </c>
      <c r="D148" s="12">
        <f t="shared" si="38"/>
        <v>133</v>
      </c>
      <c r="E148" s="12">
        <f t="shared" si="36"/>
        <v>32.043999999999976</v>
      </c>
      <c r="F148" s="12">
        <f t="shared" si="26"/>
        <v>0</v>
      </c>
      <c r="G148" s="391">
        <f t="shared" si="27"/>
        <v>0</v>
      </c>
      <c r="H148" s="12">
        <f t="shared" si="28"/>
        <v>0</v>
      </c>
      <c r="I148" s="12">
        <f t="shared" si="29"/>
        <v>0</v>
      </c>
      <c r="J148" s="79">
        <f t="shared" si="30"/>
        <v>0</v>
      </c>
      <c r="K148" s="64">
        <f t="shared" si="31"/>
        <v>3456000</v>
      </c>
      <c r="L148" s="64">
        <f t="shared" si="32"/>
        <v>3750000</v>
      </c>
      <c r="M148">
        <f>IF(COUNTIF(InputOutputData!K$20,"Chlorine"),L148+H148,L148+J148+H148)</f>
        <v>3750000</v>
      </c>
      <c r="N148">
        <f t="shared" si="37"/>
        <v>0.26785714285714285</v>
      </c>
      <c r="O148" t="str">
        <f t="shared" si="33"/>
        <v/>
      </c>
    </row>
    <row r="149" spans="1:15" ht="14.45">
      <c r="A149" s="24">
        <f>'More accurate Energy (Solar)'!A149</f>
        <v>0</v>
      </c>
      <c r="B149" s="24">
        <f t="shared" si="34"/>
        <v>0</v>
      </c>
      <c r="C149" s="13">
        <f t="shared" si="35"/>
        <v>0</v>
      </c>
      <c r="D149" s="12">
        <f t="shared" si="38"/>
        <v>134</v>
      </c>
      <c r="E149" s="12">
        <f t="shared" si="36"/>
        <v>31.611999999999977</v>
      </c>
      <c r="F149" s="12">
        <f t="shared" si="26"/>
        <v>0</v>
      </c>
      <c r="G149" s="391">
        <f t="shared" si="27"/>
        <v>0</v>
      </c>
      <c r="H149" s="12">
        <f t="shared" si="28"/>
        <v>0</v>
      </c>
      <c r="I149" s="12">
        <f t="shared" si="29"/>
        <v>0</v>
      </c>
      <c r="J149" s="79">
        <f t="shared" si="30"/>
        <v>0</v>
      </c>
      <c r="K149" s="64">
        <f t="shared" si="31"/>
        <v>3456000</v>
      </c>
      <c r="L149" s="64">
        <f t="shared" si="32"/>
        <v>3750000</v>
      </c>
      <c r="M149">
        <f>IF(COUNTIF(InputOutputData!K$20,"Chlorine"),L149+H149,L149+J149+H149)</f>
        <v>3750000</v>
      </c>
      <c r="N149">
        <f t="shared" si="37"/>
        <v>0.26785714285714285</v>
      </c>
      <c r="O149" t="str">
        <f t="shared" si="33"/>
        <v/>
      </c>
    </row>
    <row r="150" spans="1:15" ht="14.45">
      <c r="A150" s="24">
        <f>'More accurate Energy (Solar)'!A150</f>
        <v>0</v>
      </c>
      <c r="B150" s="24">
        <f t="shared" si="34"/>
        <v>0</v>
      </c>
      <c r="C150" s="13">
        <f t="shared" si="35"/>
        <v>0</v>
      </c>
      <c r="D150" s="12">
        <f t="shared" si="38"/>
        <v>135</v>
      </c>
      <c r="E150" s="12">
        <f t="shared" si="36"/>
        <v>31.179999999999978</v>
      </c>
      <c r="F150" s="12">
        <f t="shared" si="26"/>
        <v>0</v>
      </c>
      <c r="G150" s="391">
        <f t="shared" si="27"/>
        <v>0</v>
      </c>
      <c r="H150" s="12">
        <f t="shared" si="28"/>
        <v>0</v>
      </c>
      <c r="I150" s="12">
        <f t="shared" si="29"/>
        <v>0</v>
      </c>
      <c r="J150" s="79">
        <f t="shared" si="30"/>
        <v>0</v>
      </c>
      <c r="K150" s="64">
        <f t="shared" si="31"/>
        <v>3456000</v>
      </c>
      <c r="L150" s="64">
        <f t="shared" si="32"/>
        <v>3750000</v>
      </c>
      <c r="M150">
        <f>IF(COUNTIF(InputOutputData!K$20,"Chlorine"),L150+H150,L150+J150+H150)</f>
        <v>3750000</v>
      </c>
      <c r="N150">
        <f t="shared" si="37"/>
        <v>0.26785714285714285</v>
      </c>
      <c r="O150" t="str">
        <f t="shared" si="33"/>
        <v/>
      </c>
    </row>
    <row r="151" spans="1:15" ht="14.45">
      <c r="A151" s="24">
        <f>'More accurate Energy (Solar)'!A151</f>
        <v>0.2</v>
      </c>
      <c r="B151" s="24">
        <f t="shared" si="34"/>
        <v>1.3888888888888888E-2</v>
      </c>
      <c r="C151" s="13">
        <f t="shared" si="35"/>
        <v>0.02</v>
      </c>
      <c r="D151" s="12">
        <f t="shared" si="38"/>
        <v>136</v>
      </c>
      <c r="E151" s="12">
        <f t="shared" si="36"/>
        <v>30.767999999999979</v>
      </c>
      <c r="F151" s="12">
        <f t="shared" si="26"/>
        <v>6731.4318349384566</v>
      </c>
      <c r="G151" s="391">
        <f t="shared" si="27"/>
        <v>5.5038940280191058E-3</v>
      </c>
      <c r="H151" s="12">
        <f t="shared" si="28"/>
        <v>1223030.785235004</v>
      </c>
      <c r="I151" s="12">
        <f t="shared" si="29"/>
        <v>0.1</v>
      </c>
      <c r="J151" s="79">
        <f t="shared" si="30"/>
        <v>200000</v>
      </c>
      <c r="K151" s="64">
        <f t="shared" si="31"/>
        <v>3456000</v>
      </c>
      <c r="L151" s="64">
        <f t="shared" si="32"/>
        <v>3750000</v>
      </c>
      <c r="M151">
        <f>IF(COUNTIF(InputOutputData!K$20,"Chlorine"),L151+H151,L151+J151+H151)</f>
        <v>4973030.7852350045</v>
      </c>
      <c r="N151">
        <f t="shared" si="37"/>
        <v>0.35521648465964323</v>
      </c>
      <c r="O151" t="str">
        <f t="shared" si="33"/>
        <v/>
      </c>
    </row>
    <row r="152" spans="1:15" ht="14.45">
      <c r="A152" s="24">
        <f>'More accurate Energy (Solar)'!A152</f>
        <v>0</v>
      </c>
      <c r="B152" s="24">
        <f t="shared" si="34"/>
        <v>0</v>
      </c>
      <c r="C152" s="13">
        <f t="shared" si="35"/>
        <v>0</v>
      </c>
      <c r="D152" s="12">
        <f t="shared" si="38"/>
        <v>137</v>
      </c>
      <c r="E152" s="12">
        <f t="shared" si="36"/>
        <v>30.335999999999981</v>
      </c>
      <c r="F152" s="12">
        <f t="shared" si="26"/>
        <v>0</v>
      </c>
      <c r="G152" s="391">
        <f t="shared" si="27"/>
        <v>0</v>
      </c>
      <c r="H152" s="12">
        <f t="shared" si="28"/>
        <v>0</v>
      </c>
      <c r="I152" s="12">
        <f t="shared" si="29"/>
        <v>0</v>
      </c>
      <c r="J152" s="79">
        <f t="shared" si="30"/>
        <v>0</v>
      </c>
      <c r="K152" s="64">
        <f t="shared" si="31"/>
        <v>3456000</v>
      </c>
      <c r="L152" s="64">
        <f t="shared" si="32"/>
        <v>3750000</v>
      </c>
      <c r="M152">
        <f>IF(COUNTIF(InputOutputData!K$20,"Chlorine"),L152+H152,L152+J152+H152)</f>
        <v>3750000</v>
      </c>
      <c r="N152">
        <f t="shared" si="37"/>
        <v>0.26785714285714285</v>
      </c>
      <c r="O152" t="str">
        <f t="shared" si="33"/>
        <v/>
      </c>
    </row>
    <row r="153" spans="1:15" ht="14.45">
      <c r="A153" s="24">
        <f>'More accurate Energy (Solar)'!A153</f>
        <v>0</v>
      </c>
      <c r="B153" s="24">
        <f t="shared" si="34"/>
        <v>0</v>
      </c>
      <c r="C153" s="13">
        <f t="shared" si="35"/>
        <v>0</v>
      </c>
      <c r="D153" s="12">
        <f t="shared" si="38"/>
        <v>138</v>
      </c>
      <c r="E153" s="12">
        <f t="shared" si="36"/>
        <v>29.903999999999982</v>
      </c>
      <c r="F153" s="12">
        <f t="shared" si="26"/>
        <v>0</v>
      </c>
      <c r="G153" s="391">
        <f t="shared" si="27"/>
        <v>0</v>
      </c>
      <c r="H153" s="12">
        <f t="shared" si="28"/>
        <v>0</v>
      </c>
      <c r="I153" s="12">
        <f t="shared" si="29"/>
        <v>0</v>
      </c>
      <c r="J153" s="79">
        <f t="shared" si="30"/>
        <v>0</v>
      </c>
      <c r="K153" s="64">
        <f t="shared" si="31"/>
        <v>3456000</v>
      </c>
      <c r="L153" s="64">
        <f t="shared" si="32"/>
        <v>3750000</v>
      </c>
      <c r="M153">
        <f>IF(COUNTIF(InputOutputData!K$20,"Chlorine"),L153+H153,L153+J153+H153)</f>
        <v>3750000</v>
      </c>
      <c r="N153">
        <f t="shared" si="37"/>
        <v>0.26785714285714285</v>
      </c>
      <c r="O153" t="str">
        <f t="shared" si="33"/>
        <v/>
      </c>
    </row>
    <row r="154" spans="1:15" ht="14.45">
      <c r="A154" s="24">
        <f>'More accurate Energy (Solar)'!A154</f>
        <v>0</v>
      </c>
      <c r="B154" s="24">
        <f t="shared" si="34"/>
        <v>0</v>
      </c>
      <c r="C154" s="13">
        <f t="shared" si="35"/>
        <v>0</v>
      </c>
      <c r="D154" s="12">
        <f t="shared" si="38"/>
        <v>139</v>
      </c>
      <c r="E154" s="12">
        <f t="shared" si="36"/>
        <v>29.471999999999984</v>
      </c>
      <c r="F154" s="12">
        <f t="shared" si="26"/>
        <v>0</v>
      </c>
      <c r="G154" s="391">
        <f t="shared" si="27"/>
        <v>0</v>
      </c>
      <c r="H154" s="12">
        <f t="shared" si="28"/>
        <v>0</v>
      </c>
      <c r="I154" s="12">
        <f t="shared" si="29"/>
        <v>0</v>
      </c>
      <c r="J154" s="79">
        <f t="shared" si="30"/>
        <v>0</v>
      </c>
      <c r="K154" s="64">
        <f t="shared" si="31"/>
        <v>3456000</v>
      </c>
      <c r="L154" s="64">
        <f t="shared" si="32"/>
        <v>3750000</v>
      </c>
      <c r="M154">
        <f>IF(COUNTIF(InputOutputData!K$20,"Chlorine"),L154+H154,L154+J154+H154)</f>
        <v>3750000</v>
      </c>
      <c r="N154">
        <f t="shared" si="37"/>
        <v>0.26785714285714285</v>
      </c>
      <c r="O154" t="str">
        <f t="shared" si="33"/>
        <v/>
      </c>
    </row>
    <row r="155" spans="1:15" ht="14.45">
      <c r="A155" s="24">
        <f>'More accurate Energy (Solar)'!A155</f>
        <v>0</v>
      </c>
      <c r="B155" s="24">
        <f t="shared" si="34"/>
        <v>0</v>
      </c>
      <c r="C155" s="13">
        <f t="shared" si="35"/>
        <v>0</v>
      </c>
      <c r="D155" s="12">
        <f t="shared" si="38"/>
        <v>140</v>
      </c>
      <c r="E155" s="12">
        <f t="shared" si="36"/>
        <v>29.039999999999985</v>
      </c>
      <c r="F155" s="12">
        <f t="shared" si="26"/>
        <v>0</v>
      </c>
      <c r="G155" s="391">
        <f t="shared" si="27"/>
        <v>0</v>
      </c>
      <c r="H155" s="12">
        <f t="shared" si="28"/>
        <v>0</v>
      </c>
      <c r="I155" s="12">
        <f t="shared" si="29"/>
        <v>0</v>
      </c>
      <c r="J155" s="79">
        <f t="shared" si="30"/>
        <v>0</v>
      </c>
      <c r="K155" s="64">
        <f t="shared" si="31"/>
        <v>3456000</v>
      </c>
      <c r="L155" s="64">
        <f t="shared" si="32"/>
        <v>3750000</v>
      </c>
      <c r="M155">
        <f>IF(COUNTIF(InputOutputData!K$20,"Chlorine"),L155+H155,L155+J155+H155)</f>
        <v>3750000</v>
      </c>
      <c r="N155">
        <f t="shared" si="37"/>
        <v>0.26785714285714285</v>
      </c>
      <c r="O155" t="str">
        <f t="shared" si="33"/>
        <v/>
      </c>
    </row>
    <row r="156" spans="1:15" ht="14.45">
      <c r="A156" s="24">
        <f>'More accurate Energy (Solar)'!A156</f>
        <v>0</v>
      </c>
      <c r="B156" s="24">
        <f t="shared" si="34"/>
        <v>0</v>
      </c>
      <c r="C156" s="13">
        <f t="shared" si="35"/>
        <v>0</v>
      </c>
      <c r="D156" s="12">
        <f t="shared" si="38"/>
        <v>141</v>
      </c>
      <c r="E156" s="12">
        <f t="shared" si="36"/>
        <v>28.607999999999986</v>
      </c>
      <c r="F156" s="12">
        <f t="shared" si="26"/>
        <v>0</v>
      </c>
      <c r="G156" s="391">
        <f t="shared" si="27"/>
        <v>0</v>
      </c>
      <c r="H156" s="12">
        <f t="shared" si="28"/>
        <v>0</v>
      </c>
      <c r="I156" s="12">
        <f t="shared" si="29"/>
        <v>0</v>
      </c>
      <c r="J156" s="79">
        <f t="shared" si="30"/>
        <v>0</v>
      </c>
      <c r="K156" s="64">
        <f t="shared" si="31"/>
        <v>3456000</v>
      </c>
      <c r="L156" s="64">
        <f t="shared" si="32"/>
        <v>3750000</v>
      </c>
      <c r="M156">
        <f>IF(COUNTIF(InputOutputData!K$20,"Chlorine"),L156+H156,L156+J156+H156)</f>
        <v>3750000</v>
      </c>
      <c r="N156">
        <f t="shared" si="37"/>
        <v>0.26785714285714285</v>
      </c>
      <c r="O156" t="str">
        <f t="shared" si="33"/>
        <v/>
      </c>
    </row>
    <row r="157" spans="1:15" ht="14.45">
      <c r="A157" s="24">
        <f>'More accurate Energy (Solar)'!A157</f>
        <v>0.2</v>
      </c>
      <c r="B157" s="24">
        <f t="shared" si="34"/>
        <v>1.3888888888888888E-2</v>
      </c>
      <c r="C157" s="13">
        <f t="shared" si="35"/>
        <v>0.02</v>
      </c>
      <c r="D157" s="12">
        <f t="shared" si="38"/>
        <v>142</v>
      </c>
      <c r="E157" s="12">
        <f t="shared" si="36"/>
        <v>28.195999999999987</v>
      </c>
      <c r="F157" s="12">
        <f t="shared" si="26"/>
        <v>6731.4318349384566</v>
      </c>
      <c r="G157" s="391">
        <f t="shared" si="27"/>
        <v>5.5038940280191058E-3</v>
      </c>
      <c r="H157" s="12">
        <f t="shared" si="28"/>
        <v>1223030.785235004</v>
      </c>
      <c r="I157" s="12">
        <f t="shared" si="29"/>
        <v>0.1</v>
      </c>
      <c r="J157" s="79">
        <f t="shared" si="30"/>
        <v>200000</v>
      </c>
      <c r="K157" s="64">
        <f t="shared" si="31"/>
        <v>3456000</v>
      </c>
      <c r="L157" s="64">
        <f t="shared" si="32"/>
        <v>3750000</v>
      </c>
      <c r="M157">
        <f>IF(COUNTIF(InputOutputData!K$20,"Chlorine"),L157+H157,L157+J157+H157)</f>
        <v>4973030.7852350045</v>
      </c>
      <c r="N157">
        <f t="shared" si="37"/>
        <v>0.35521648465964323</v>
      </c>
      <c r="O157" t="str">
        <f t="shared" si="33"/>
        <v/>
      </c>
    </row>
    <row r="158" spans="1:15" ht="14.45">
      <c r="A158" s="24">
        <f>'More accurate Energy (Solar)'!A158</f>
        <v>0.2</v>
      </c>
      <c r="B158" s="24">
        <f t="shared" si="34"/>
        <v>1.3888888888888888E-2</v>
      </c>
      <c r="C158" s="13">
        <f t="shared" si="35"/>
        <v>0.02</v>
      </c>
      <c r="D158" s="12">
        <f t="shared" si="38"/>
        <v>143</v>
      </c>
      <c r="E158" s="12">
        <f t="shared" si="36"/>
        <v>27.783999999999988</v>
      </c>
      <c r="F158" s="12">
        <f t="shared" si="26"/>
        <v>6731.4318349384566</v>
      </c>
      <c r="G158" s="391">
        <f t="shared" si="27"/>
        <v>5.5038940280191058E-3</v>
      </c>
      <c r="H158" s="12">
        <f t="shared" si="28"/>
        <v>1223030.785235004</v>
      </c>
      <c r="I158" s="12">
        <f t="shared" si="29"/>
        <v>0.1</v>
      </c>
      <c r="J158" s="79">
        <f t="shared" si="30"/>
        <v>200000</v>
      </c>
      <c r="K158" s="64">
        <f t="shared" si="31"/>
        <v>3456000</v>
      </c>
      <c r="L158" s="64">
        <f t="shared" si="32"/>
        <v>3750000</v>
      </c>
      <c r="M158">
        <f>IF(COUNTIF(InputOutputData!K$20,"Chlorine"),L158+H158,L158+J158+H158)</f>
        <v>4973030.7852350045</v>
      </c>
      <c r="N158">
        <f t="shared" si="37"/>
        <v>0.35521648465964323</v>
      </c>
      <c r="O158" t="str">
        <f t="shared" si="33"/>
        <v/>
      </c>
    </row>
    <row r="159" spans="1:15" ht="14.45">
      <c r="A159" s="24">
        <f>'More accurate Energy (Solar)'!A159</f>
        <v>0</v>
      </c>
      <c r="B159" s="24">
        <f t="shared" si="34"/>
        <v>0</v>
      </c>
      <c r="C159" s="13">
        <f t="shared" si="35"/>
        <v>0</v>
      </c>
      <c r="D159" s="12">
        <f t="shared" si="38"/>
        <v>144</v>
      </c>
      <c r="E159" s="12">
        <f t="shared" si="36"/>
        <v>27.35199999999999</v>
      </c>
      <c r="F159" s="12">
        <f t="shared" si="26"/>
        <v>0</v>
      </c>
      <c r="G159" s="391">
        <f t="shared" si="27"/>
        <v>0</v>
      </c>
      <c r="H159" s="12">
        <f t="shared" si="28"/>
        <v>0</v>
      </c>
      <c r="I159" s="12">
        <f t="shared" si="29"/>
        <v>0</v>
      </c>
      <c r="J159" s="79">
        <f t="shared" si="30"/>
        <v>0</v>
      </c>
      <c r="K159" s="64">
        <f t="shared" si="31"/>
        <v>3456000</v>
      </c>
      <c r="L159" s="64">
        <f t="shared" si="32"/>
        <v>3750000</v>
      </c>
      <c r="M159">
        <f>IF(COUNTIF(InputOutputData!K$20,"Chlorine"),L159+H159,L159+J159+H159)</f>
        <v>3750000</v>
      </c>
      <c r="N159">
        <f t="shared" si="37"/>
        <v>0.26785714285714285</v>
      </c>
      <c r="O159" t="str">
        <f t="shared" si="33"/>
        <v/>
      </c>
    </row>
    <row r="160" spans="1:15" ht="14.45">
      <c r="A160" s="24">
        <f>'More accurate Energy (Solar)'!A160</f>
        <v>0</v>
      </c>
      <c r="B160" s="24">
        <f t="shared" si="34"/>
        <v>0</v>
      </c>
      <c r="C160" s="13">
        <f t="shared" si="35"/>
        <v>0</v>
      </c>
      <c r="D160" s="12">
        <f t="shared" si="38"/>
        <v>145</v>
      </c>
      <c r="E160" s="12">
        <f t="shared" si="36"/>
        <v>26.919999999999991</v>
      </c>
      <c r="F160" s="12">
        <f t="shared" si="26"/>
        <v>0</v>
      </c>
      <c r="G160" s="391">
        <f t="shared" si="27"/>
        <v>0</v>
      </c>
      <c r="H160" s="12">
        <f t="shared" si="28"/>
        <v>0</v>
      </c>
      <c r="I160" s="12">
        <f t="shared" si="29"/>
        <v>0</v>
      </c>
      <c r="J160" s="79">
        <f t="shared" si="30"/>
        <v>0</v>
      </c>
      <c r="K160" s="64">
        <f t="shared" si="31"/>
        <v>3456000</v>
      </c>
      <c r="L160" s="64">
        <f t="shared" si="32"/>
        <v>3750000</v>
      </c>
      <c r="M160">
        <f>IF(COUNTIF(InputOutputData!K$20,"Chlorine"),L160+H160,L160+J160+H160)</f>
        <v>3750000</v>
      </c>
      <c r="N160">
        <f t="shared" si="37"/>
        <v>0.26785714285714285</v>
      </c>
      <c r="O160" t="str">
        <f t="shared" si="33"/>
        <v/>
      </c>
    </row>
    <row r="161" spans="1:15" ht="14.45">
      <c r="A161" s="24">
        <f>'More accurate Energy (Solar)'!A161</f>
        <v>0</v>
      </c>
      <c r="B161" s="24">
        <f t="shared" si="34"/>
        <v>0</v>
      </c>
      <c r="C161" s="13">
        <f t="shared" si="35"/>
        <v>0</v>
      </c>
      <c r="D161" s="12">
        <f t="shared" si="38"/>
        <v>146</v>
      </c>
      <c r="E161" s="12">
        <f t="shared" si="36"/>
        <v>26.487999999999992</v>
      </c>
      <c r="F161" s="12">
        <f t="shared" si="26"/>
        <v>0</v>
      </c>
      <c r="G161" s="391">
        <f t="shared" si="27"/>
        <v>0</v>
      </c>
      <c r="H161" s="12">
        <f t="shared" si="28"/>
        <v>0</v>
      </c>
      <c r="I161" s="12">
        <f t="shared" si="29"/>
        <v>0</v>
      </c>
      <c r="J161" s="79">
        <f t="shared" si="30"/>
        <v>0</v>
      </c>
      <c r="K161" s="64">
        <f t="shared" si="31"/>
        <v>3456000</v>
      </c>
      <c r="L161" s="64">
        <f t="shared" si="32"/>
        <v>3750000</v>
      </c>
      <c r="M161">
        <f>IF(COUNTIF(InputOutputData!K$20,"Chlorine"),L161+H161,L161+J161+H161)</f>
        <v>3750000</v>
      </c>
      <c r="N161">
        <f t="shared" si="37"/>
        <v>0.26785714285714285</v>
      </c>
      <c r="O161" t="str">
        <f t="shared" si="33"/>
        <v/>
      </c>
    </row>
    <row r="162" spans="1:15" ht="14.45">
      <c r="A162" s="24">
        <f>'More accurate Energy (Solar)'!A162</f>
        <v>0</v>
      </c>
      <c r="B162" s="24">
        <f t="shared" si="34"/>
        <v>0</v>
      </c>
      <c r="C162" s="13">
        <f t="shared" si="35"/>
        <v>0</v>
      </c>
      <c r="D162" s="12">
        <f t="shared" si="38"/>
        <v>147</v>
      </c>
      <c r="E162" s="12">
        <f t="shared" si="36"/>
        <v>26.055999999999994</v>
      </c>
      <c r="F162" s="12">
        <f t="shared" si="26"/>
        <v>0</v>
      </c>
      <c r="G162" s="391">
        <f t="shared" si="27"/>
        <v>0</v>
      </c>
      <c r="H162" s="12">
        <f t="shared" si="28"/>
        <v>0</v>
      </c>
      <c r="I162" s="12">
        <f t="shared" si="29"/>
        <v>0</v>
      </c>
      <c r="J162" s="79">
        <f t="shared" si="30"/>
        <v>0</v>
      </c>
      <c r="K162" s="64">
        <f t="shared" si="31"/>
        <v>3456000</v>
      </c>
      <c r="L162" s="64">
        <f t="shared" si="32"/>
        <v>3750000</v>
      </c>
      <c r="M162">
        <f>IF(COUNTIF(InputOutputData!K$20,"Chlorine"),L162+H162,L162+J162+H162)</f>
        <v>3750000</v>
      </c>
      <c r="N162">
        <f t="shared" si="37"/>
        <v>0.26785714285714285</v>
      </c>
      <c r="O162" t="str">
        <f t="shared" si="33"/>
        <v/>
      </c>
    </row>
    <row r="163" spans="1:15" ht="14.45">
      <c r="A163" s="24">
        <f>'More accurate Energy (Solar)'!A163</f>
        <v>0</v>
      </c>
      <c r="B163" s="24">
        <f t="shared" si="34"/>
        <v>0</v>
      </c>
      <c r="C163" s="13">
        <f t="shared" si="35"/>
        <v>0</v>
      </c>
      <c r="D163" s="12">
        <f t="shared" si="38"/>
        <v>148</v>
      </c>
      <c r="E163" s="12">
        <f t="shared" si="36"/>
        <v>25.623999999999995</v>
      </c>
      <c r="F163" s="12">
        <f t="shared" si="26"/>
        <v>0</v>
      </c>
      <c r="G163" s="391">
        <f t="shared" si="27"/>
        <v>0</v>
      </c>
      <c r="H163" s="12">
        <f t="shared" si="28"/>
        <v>0</v>
      </c>
      <c r="I163" s="12">
        <f t="shared" si="29"/>
        <v>0</v>
      </c>
      <c r="J163" s="79">
        <f t="shared" si="30"/>
        <v>0</v>
      </c>
      <c r="K163" s="64">
        <f t="shared" si="31"/>
        <v>3456000</v>
      </c>
      <c r="L163" s="64">
        <f t="shared" si="32"/>
        <v>3750000</v>
      </c>
      <c r="M163">
        <f>IF(COUNTIF(InputOutputData!K$20,"Chlorine"),L163+H163,L163+J163+H163)</f>
        <v>3750000</v>
      </c>
      <c r="N163">
        <f t="shared" si="37"/>
        <v>0.26785714285714285</v>
      </c>
      <c r="O163" t="str">
        <f t="shared" si="33"/>
        <v/>
      </c>
    </row>
    <row r="164" spans="1:15" ht="14.45">
      <c r="A164" s="24">
        <f>'More accurate Energy (Solar)'!A164</f>
        <v>0</v>
      </c>
      <c r="B164" s="24">
        <f t="shared" si="34"/>
        <v>0</v>
      </c>
      <c r="C164" s="13">
        <f t="shared" si="35"/>
        <v>0</v>
      </c>
      <c r="D164" s="12">
        <f t="shared" si="38"/>
        <v>149</v>
      </c>
      <c r="E164" s="12">
        <f t="shared" si="36"/>
        <v>25.191999999999997</v>
      </c>
      <c r="F164" s="12">
        <f t="shared" si="26"/>
        <v>0</v>
      </c>
      <c r="G164" s="391">
        <f t="shared" si="27"/>
        <v>0</v>
      </c>
      <c r="H164" s="12">
        <f t="shared" si="28"/>
        <v>0</v>
      </c>
      <c r="I164" s="12">
        <f t="shared" si="29"/>
        <v>0</v>
      </c>
      <c r="J164" s="79">
        <f t="shared" si="30"/>
        <v>0</v>
      </c>
      <c r="K164" s="64">
        <f t="shared" si="31"/>
        <v>3456000</v>
      </c>
      <c r="L164" s="64">
        <f t="shared" si="32"/>
        <v>3750000</v>
      </c>
      <c r="M164">
        <f>IF(COUNTIF(InputOutputData!K$20,"Chlorine"),L164+H164,L164+J164+H164)</f>
        <v>3750000</v>
      </c>
      <c r="N164">
        <f t="shared" si="37"/>
        <v>0.26785714285714285</v>
      </c>
      <c r="O164" t="str">
        <f t="shared" si="33"/>
        <v/>
      </c>
    </row>
    <row r="165" spans="1:15" ht="14.45">
      <c r="A165" s="24">
        <f>'More accurate Energy (Solar)'!A165</f>
        <v>0</v>
      </c>
      <c r="B165" s="24">
        <f t="shared" si="34"/>
        <v>0</v>
      </c>
      <c r="C165" s="13">
        <f t="shared" si="35"/>
        <v>0</v>
      </c>
      <c r="D165" s="12">
        <f t="shared" si="38"/>
        <v>150</v>
      </c>
      <c r="E165" s="12">
        <f t="shared" si="36"/>
        <v>24.759999999999998</v>
      </c>
      <c r="F165" s="12">
        <f t="shared" si="26"/>
        <v>0</v>
      </c>
      <c r="G165" s="391">
        <f t="shared" si="27"/>
        <v>0</v>
      </c>
      <c r="H165" s="12">
        <f t="shared" si="28"/>
        <v>0</v>
      </c>
      <c r="I165" s="12">
        <f t="shared" si="29"/>
        <v>0</v>
      </c>
      <c r="J165" s="79">
        <f t="shared" si="30"/>
        <v>0</v>
      </c>
      <c r="K165" s="64">
        <f t="shared" si="31"/>
        <v>3456000</v>
      </c>
      <c r="L165" s="64">
        <f t="shared" si="32"/>
        <v>3750000</v>
      </c>
      <c r="M165">
        <f>IF(COUNTIF(InputOutputData!K$20,"Chlorine"),L165+H165,L165+J165+H165)</f>
        <v>3750000</v>
      </c>
      <c r="N165">
        <f t="shared" si="37"/>
        <v>0.26785714285714285</v>
      </c>
      <c r="O165" t="str">
        <f t="shared" si="33"/>
        <v/>
      </c>
    </row>
    <row r="166" spans="1:15" ht="14.45">
      <c r="A166" s="24">
        <f>'More accurate Energy (Solar)'!A166</f>
        <v>0</v>
      </c>
      <c r="B166" s="24">
        <f t="shared" si="34"/>
        <v>0</v>
      </c>
      <c r="C166" s="13">
        <f t="shared" si="35"/>
        <v>0</v>
      </c>
      <c r="D166" s="12">
        <f t="shared" si="38"/>
        <v>151</v>
      </c>
      <c r="E166" s="12">
        <f t="shared" si="36"/>
        <v>24.327999999999999</v>
      </c>
      <c r="F166" s="12">
        <f t="shared" si="26"/>
        <v>0</v>
      </c>
      <c r="G166" s="391">
        <f t="shared" si="27"/>
        <v>0</v>
      </c>
      <c r="H166" s="12">
        <f t="shared" si="28"/>
        <v>0</v>
      </c>
      <c r="I166" s="12">
        <f t="shared" si="29"/>
        <v>0</v>
      </c>
      <c r="J166" s="79">
        <f t="shared" si="30"/>
        <v>0</v>
      </c>
      <c r="K166" s="64">
        <f t="shared" si="31"/>
        <v>3456000</v>
      </c>
      <c r="L166" s="64">
        <f t="shared" si="32"/>
        <v>3750000</v>
      </c>
      <c r="M166">
        <f>IF(COUNTIF(InputOutputData!K$20,"Chlorine"),L166+H166,L166+J166+H166)</f>
        <v>3750000</v>
      </c>
      <c r="N166">
        <f t="shared" si="37"/>
        <v>0.26785714285714285</v>
      </c>
      <c r="O166" t="str">
        <f t="shared" si="33"/>
        <v/>
      </c>
    </row>
    <row r="167" spans="1:15" ht="14.45">
      <c r="A167" s="24">
        <f>'More accurate Energy (Solar)'!A167</f>
        <v>7.4</v>
      </c>
      <c r="B167" s="24">
        <f t="shared" si="34"/>
        <v>0.51388888888888884</v>
      </c>
      <c r="C167" s="13">
        <f t="shared" si="35"/>
        <v>0.74</v>
      </c>
      <c r="D167" s="12">
        <f t="shared" si="38"/>
        <v>152</v>
      </c>
      <c r="E167" s="12">
        <f t="shared" si="36"/>
        <v>24.635999999999999</v>
      </c>
      <c r="F167" s="12">
        <f t="shared" si="26"/>
        <v>249062.97789272288</v>
      </c>
      <c r="G167" s="391">
        <f t="shared" si="27"/>
        <v>4.0143811698607708E-2</v>
      </c>
      <c r="H167" s="12">
        <f t="shared" si="28"/>
        <v>6204268.2882891521</v>
      </c>
      <c r="I167" s="12">
        <f t="shared" si="29"/>
        <v>3.7</v>
      </c>
      <c r="J167" s="79">
        <f t="shared" si="30"/>
        <v>7400000</v>
      </c>
      <c r="K167" s="64">
        <f t="shared" si="31"/>
        <v>3456000</v>
      </c>
      <c r="L167" s="64">
        <f t="shared" si="32"/>
        <v>3750000</v>
      </c>
      <c r="M167">
        <f>IF(COUNTIF(InputOutputData!K$20,"Chlorine"),L167+H167,L167+J167+H167)</f>
        <v>9954268.2882891521</v>
      </c>
      <c r="N167">
        <f t="shared" si="37"/>
        <v>0.71101916344922522</v>
      </c>
      <c r="O167" t="str">
        <f t="shared" si="33"/>
        <v/>
      </c>
    </row>
    <row r="168" spans="1:15" ht="14.45">
      <c r="A168" s="24">
        <f>'More accurate Energy (Solar)'!A168</f>
        <v>2.8</v>
      </c>
      <c r="B168" s="24">
        <f t="shared" si="34"/>
        <v>0.19444444444444442</v>
      </c>
      <c r="C168" s="13">
        <f t="shared" si="35"/>
        <v>0.27999999999999997</v>
      </c>
      <c r="D168" s="12">
        <f t="shared" si="38"/>
        <v>153</v>
      </c>
      <c r="E168" s="12">
        <f t="shared" si="36"/>
        <v>24.483999999999998</v>
      </c>
      <c r="F168" s="12">
        <f t="shared" si="26"/>
        <v>94240.04568913838</v>
      </c>
      <c r="G168" s="391">
        <f t="shared" si="27"/>
        <v>2.3507068854835791E-2</v>
      </c>
      <c r="H168" s="12">
        <f t="shared" si="28"/>
        <v>4009008.7909770021</v>
      </c>
      <c r="I168" s="12">
        <f t="shared" si="29"/>
        <v>1.4</v>
      </c>
      <c r="J168" s="79">
        <f t="shared" si="30"/>
        <v>2800000</v>
      </c>
      <c r="K168" s="64">
        <f t="shared" si="31"/>
        <v>3456000</v>
      </c>
      <c r="L168" s="64">
        <f t="shared" si="32"/>
        <v>3750000</v>
      </c>
      <c r="M168">
        <f>IF(COUNTIF(InputOutputData!K$20,"Chlorine"),L168+H168,L168+J168+H168)</f>
        <v>7759008.7909770021</v>
      </c>
      <c r="N168">
        <f t="shared" si="37"/>
        <v>0.55421491364121445</v>
      </c>
      <c r="O168" t="str">
        <f t="shared" si="33"/>
        <v/>
      </c>
    </row>
    <row r="169" spans="1:15" ht="14.45">
      <c r="A169" s="24">
        <f>'More accurate Energy (Solar)'!A169</f>
        <v>0</v>
      </c>
      <c r="B169" s="24">
        <f t="shared" si="34"/>
        <v>0</v>
      </c>
      <c r="C169" s="13">
        <f t="shared" si="35"/>
        <v>0</v>
      </c>
      <c r="D169" s="12">
        <f t="shared" si="38"/>
        <v>154</v>
      </c>
      <c r="E169" s="12">
        <f t="shared" si="36"/>
        <v>24.052</v>
      </c>
      <c r="F169" s="12">
        <f t="shared" si="26"/>
        <v>0</v>
      </c>
      <c r="G169" s="391">
        <f t="shared" si="27"/>
        <v>0</v>
      </c>
      <c r="H169" s="12">
        <f t="shared" si="28"/>
        <v>0</v>
      </c>
      <c r="I169" s="12">
        <f t="shared" si="29"/>
        <v>0</v>
      </c>
      <c r="J169" s="79">
        <f t="shared" si="30"/>
        <v>0</v>
      </c>
      <c r="K169" s="64">
        <f t="shared" si="31"/>
        <v>3456000</v>
      </c>
      <c r="L169" s="64">
        <f t="shared" si="32"/>
        <v>3750000</v>
      </c>
      <c r="M169">
        <f>IF(COUNTIF(InputOutputData!K$20,"Chlorine"),L169+H169,L169+J169+H169)</f>
        <v>3750000</v>
      </c>
      <c r="N169">
        <f t="shared" si="37"/>
        <v>0.26785714285714285</v>
      </c>
      <c r="O169" t="str">
        <f t="shared" si="33"/>
        <v/>
      </c>
    </row>
    <row r="170" spans="1:15" ht="14.45">
      <c r="A170" s="24">
        <f>'More accurate Energy (Solar)'!A170</f>
        <v>0</v>
      </c>
      <c r="B170" s="24">
        <f t="shared" si="34"/>
        <v>0</v>
      </c>
      <c r="C170" s="13">
        <f t="shared" si="35"/>
        <v>0</v>
      </c>
      <c r="D170" s="12">
        <f t="shared" si="38"/>
        <v>155</v>
      </c>
      <c r="E170" s="12">
        <f t="shared" si="36"/>
        <v>23.62</v>
      </c>
      <c r="F170" s="12">
        <f t="shared" si="26"/>
        <v>0</v>
      </c>
      <c r="G170" s="391">
        <f t="shared" si="27"/>
        <v>0</v>
      </c>
      <c r="H170" s="12">
        <f t="shared" si="28"/>
        <v>0</v>
      </c>
      <c r="I170" s="12">
        <f t="shared" si="29"/>
        <v>0</v>
      </c>
      <c r="J170" s="79">
        <f t="shared" si="30"/>
        <v>0</v>
      </c>
      <c r="K170" s="64">
        <f t="shared" si="31"/>
        <v>3456000</v>
      </c>
      <c r="L170" s="64">
        <f t="shared" si="32"/>
        <v>3750000</v>
      </c>
      <c r="M170">
        <f>IF(COUNTIF(InputOutputData!K$20,"Chlorine"),L170+H170,L170+J170+H170)</f>
        <v>3750000</v>
      </c>
      <c r="N170">
        <f t="shared" si="37"/>
        <v>0.26785714285714285</v>
      </c>
      <c r="O170" t="str">
        <f t="shared" si="33"/>
        <v/>
      </c>
    </row>
    <row r="171" spans="1:15" ht="14.45">
      <c r="A171" s="24">
        <f>'More accurate Energy (Solar)'!A171</f>
        <v>0</v>
      </c>
      <c r="B171" s="24">
        <f t="shared" si="34"/>
        <v>0</v>
      </c>
      <c r="C171" s="13">
        <f t="shared" si="35"/>
        <v>0</v>
      </c>
      <c r="D171" s="12">
        <f t="shared" si="38"/>
        <v>156</v>
      </c>
      <c r="E171" s="12">
        <f t="shared" si="36"/>
        <v>23.188000000000002</v>
      </c>
      <c r="F171" s="12">
        <f t="shared" si="26"/>
        <v>0</v>
      </c>
      <c r="G171" s="391">
        <f t="shared" si="27"/>
        <v>0</v>
      </c>
      <c r="H171" s="12">
        <f t="shared" si="28"/>
        <v>0</v>
      </c>
      <c r="I171" s="12">
        <f t="shared" si="29"/>
        <v>0</v>
      </c>
      <c r="J171" s="79">
        <f t="shared" si="30"/>
        <v>0</v>
      </c>
      <c r="K171" s="64">
        <f t="shared" si="31"/>
        <v>3456000</v>
      </c>
      <c r="L171" s="64">
        <f t="shared" si="32"/>
        <v>3750000</v>
      </c>
      <c r="M171">
        <f>IF(COUNTIF(InputOutputData!K$20,"Chlorine"),L171+H171,L171+J171+H171)</f>
        <v>3750000</v>
      </c>
      <c r="N171">
        <f t="shared" si="37"/>
        <v>0.26785714285714285</v>
      </c>
      <c r="O171" t="str">
        <f t="shared" si="33"/>
        <v/>
      </c>
    </row>
    <row r="172" spans="1:15" ht="14.45">
      <c r="A172" s="24">
        <f>'More accurate Energy (Solar)'!A172</f>
        <v>0</v>
      </c>
      <c r="B172" s="24">
        <f t="shared" si="34"/>
        <v>0</v>
      </c>
      <c r="C172" s="13">
        <f t="shared" si="35"/>
        <v>0</v>
      </c>
      <c r="D172" s="12">
        <f t="shared" si="38"/>
        <v>157</v>
      </c>
      <c r="E172" s="12">
        <f t="shared" si="36"/>
        <v>22.756000000000004</v>
      </c>
      <c r="F172" s="12">
        <f t="shared" si="26"/>
        <v>0</v>
      </c>
      <c r="G172" s="391">
        <f t="shared" si="27"/>
        <v>0</v>
      </c>
      <c r="H172" s="12">
        <f t="shared" si="28"/>
        <v>0</v>
      </c>
      <c r="I172" s="12">
        <f t="shared" si="29"/>
        <v>0</v>
      </c>
      <c r="J172" s="79">
        <f t="shared" si="30"/>
        <v>0</v>
      </c>
      <c r="K172" s="64">
        <f t="shared" si="31"/>
        <v>3456000</v>
      </c>
      <c r="L172" s="64">
        <f t="shared" si="32"/>
        <v>3750000</v>
      </c>
      <c r="M172">
        <f>IF(COUNTIF(InputOutputData!K$20,"Chlorine"),L172+H172,L172+J172+H172)</f>
        <v>3750000</v>
      </c>
      <c r="N172">
        <f t="shared" si="37"/>
        <v>0.26785714285714285</v>
      </c>
      <c r="O172" t="str">
        <f t="shared" si="33"/>
        <v/>
      </c>
    </row>
    <row r="173" spans="1:15" ht="14.45">
      <c r="A173" s="24">
        <f>'More accurate Energy (Solar)'!A173</f>
        <v>0</v>
      </c>
      <c r="B173" s="24">
        <f t="shared" si="34"/>
        <v>0</v>
      </c>
      <c r="C173" s="13">
        <f t="shared" si="35"/>
        <v>0</v>
      </c>
      <c r="D173" s="12">
        <f t="shared" si="38"/>
        <v>158</v>
      </c>
      <c r="E173" s="12">
        <f t="shared" si="36"/>
        <v>22.324000000000005</v>
      </c>
      <c r="F173" s="12">
        <f t="shared" si="26"/>
        <v>0</v>
      </c>
      <c r="G173" s="391">
        <f t="shared" si="27"/>
        <v>0</v>
      </c>
      <c r="H173" s="12">
        <f t="shared" si="28"/>
        <v>0</v>
      </c>
      <c r="I173" s="12">
        <f t="shared" si="29"/>
        <v>0</v>
      </c>
      <c r="J173" s="79">
        <f t="shared" si="30"/>
        <v>0</v>
      </c>
      <c r="K173" s="64">
        <f t="shared" si="31"/>
        <v>3456000</v>
      </c>
      <c r="L173" s="64">
        <f t="shared" si="32"/>
        <v>3750000</v>
      </c>
      <c r="M173">
        <f>IF(COUNTIF(InputOutputData!K$20,"Chlorine"),L173+H173,L173+J173+H173)</f>
        <v>3750000</v>
      </c>
      <c r="N173">
        <f t="shared" si="37"/>
        <v>0.26785714285714285</v>
      </c>
      <c r="O173" t="str">
        <f t="shared" si="33"/>
        <v/>
      </c>
    </row>
    <row r="174" spans="1:15" ht="14.45">
      <c r="A174" s="24">
        <f>'More accurate Energy (Solar)'!A174</f>
        <v>0</v>
      </c>
      <c r="B174" s="24">
        <f t="shared" si="34"/>
        <v>0</v>
      </c>
      <c r="C174" s="13">
        <f t="shared" si="35"/>
        <v>0</v>
      </c>
      <c r="D174" s="12">
        <f t="shared" si="38"/>
        <v>159</v>
      </c>
      <c r="E174" s="12">
        <f t="shared" si="36"/>
        <v>21.892000000000007</v>
      </c>
      <c r="F174" s="12">
        <f t="shared" si="26"/>
        <v>0</v>
      </c>
      <c r="G174" s="391">
        <f t="shared" si="27"/>
        <v>0</v>
      </c>
      <c r="H174" s="12">
        <f t="shared" si="28"/>
        <v>0</v>
      </c>
      <c r="I174" s="12">
        <f t="shared" si="29"/>
        <v>0</v>
      </c>
      <c r="J174" s="79">
        <f t="shared" si="30"/>
        <v>0</v>
      </c>
      <c r="K174" s="64">
        <f t="shared" si="31"/>
        <v>3456000</v>
      </c>
      <c r="L174" s="64">
        <f t="shared" si="32"/>
        <v>3750000</v>
      </c>
      <c r="M174">
        <f>IF(COUNTIF(InputOutputData!K$20,"Chlorine"),L174+H174,L174+J174+H174)</f>
        <v>3750000</v>
      </c>
      <c r="N174">
        <f t="shared" si="37"/>
        <v>0.26785714285714285</v>
      </c>
      <c r="O174" t="str">
        <f t="shared" si="33"/>
        <v/>
      </c>
    </row>
    <row r="175" spans="1:15" ht="14.45">
      <c r="A175" s="24">
        <f>'More accurate Energy (Solar)'!A175</f>
        <v>0</v>
      </c>
      <c r="B175" s="24">
        <f t="shared" si="34"/>
        <v>0</v>
      </c>
      <c r="C175" s="13">
        <f t="shared" si="35"/>
        <v>0</v>
      </c>
      <c r="D175" s="12">
        <f t="shared" si="38"/>
        <v>160</v>
      </c>
      <c r="E175" s="12">
        <f t="shared" si="36"/>
        <v>21.460000000000008</v>
      </c>
      <c r="F175" s="12">
        <f t="shared" si="26"/>
        <v>0</v>
      </c>
      <c r="G175" s="391">
        <f t="shared" si="27"/>
        <v>0</v>
      </c>
      <c r="H175" s="12">
        <f t="shared" si="28"/>
        <v>0</v>
      </c>
      <c r="I175" s="12">
        <f t="shared" si="29"/>
        <v>0</v>
      </c>
      <c r="J175" s="79">
        <f t="shared" si="30"/>
        <v>0</v>
      </c>
      <c r="K175" s="64">
        <f t="shared" si="31"/>
        <v>3456000</v>
      </c>
      <c r="L175" s="64">
        <f t="shared" si="32"/>
        <v>3750000</v>
      </c>
      <c r="M175">
        <f>IF(COUNTIF(InputOutputData!K$20,"Chlorine"),L175+H175,L175+J175+H175)</f>
        <v>3750000</v>
      </c>
      <c r="N175">
        <f t="shared" si="37"/>
        <v>0.26785714285714285</v>
      </c>
      <c r="O175" t="str">
        <f t="shared" si="33"/>
        <v/>
      </c>
    </row>
    <row r="176" spans="1:15" ht="14.45">
      <c r="A176" s="24">
        <f>'More accurate Energy (Solar)'!A176</f>
        <v>0</v>
      </c>
      <c r="B176" s="24">
        <f t="shared" si="34"/>
        <v>0</v>
      </c>
      <c r="C176" s="13">
        <f t="shared" si="35"/>
        <v>0</v>
      </c>
      <c r="D176" s="12">
        <f t="shared" si="38"/>
        <v>161</v>
      </c>
      <c r="E176" s="12">
        <f t="shared" si="36"/>
        <v>21.028000000000009</v>
      </c>
      <c r="F176" s="12">
        <f t="shared" si="26"/>
        <v>0</v>
      </c>
      <c r="G176" s="391">
        <f t="shared" si="27"/>
        <v>0</v>
      </c>
      <c r="H176" s="12">
        <f t="shared" si="28"/>
        <v>0</v>
      </c>
      <c r="I176" s="12">
        <f t="shared" si="29"/>
        <v>0</v>
      </c>
      <c r="J176" s="79">
        <f t="shared" si="30"/>
        <v>0</v>
      </c>
      <c r="K176" s="64">
        <f t="shared" si="31"/>
        <v>3456000</v>
      </c>
      <c r="L176" s="64">
        <f t="shared" si="32"/>
        <v>3750000</v>
      </c>
      <c r="M176">
        <f>IF(COUNTIF(InputOutputData!K$20,"Chlorine"),L176+H176,L176+J176+H176)</f>
        <v>3750000</v>
      </c>
      <c r="N176">
        <f t="shared" si="37"/>
        <v>0.26785714285714285</v>
      </c>
      <c r="O176" t="str">
        <f t="shared" si="33"/>
        <v/>
      </c>
    </row>
    <row r="177" spans="1:15" ht="14.45">
      <c r="A177" s="24">
        <f>'More accurate Energy (Solar)'!A177</f>
        <v>0</v>
      </c>
      <c r="B177" s="24">
        <f t="shared" si="34"/>
        <v>0</v>
      </c>
      <c r="C177" s="13">
        <f t="shared" si="35"/>
        <v>0</v>
      </c>
      <c r="D177" s="12">
        <f t="shared" si="38"/>
        <v>162</v>
      </c>
      <c r="E177" s="12">
        <f t="shared" si="36"/>
        <v>20.596000000000011</v>
      </c>
      <c r="F177" s="12">
        <f t="shared" si="26"/>
        <v>0</v>
      </c>
      <c r="G177" s="391">
        <f t="shared" si="27"/>
        <v>0</v>
      </c>
      <c r="H177" s="12">
        <f t="shared" si="28"/>
        <v>0</v>
      </c>
      <c r="I177" s="12">
        <f t="shared" si="29"/>
        <v>0</v>
      </c>
      <c r="J177" s="79">
        <f t="shared" si="30"/>
        <v>0</v>
      </c>
      <c r="K177" s="64">
        <f t="shared" si="31"/>
        <v>3456000</v>
      </c>
      <c r="L177" s="64">
        <f t="shared" si="32"/>
        <v>3750000</v>
      </c>
      <c r="M177">
        <f>IF(COUNTIF(InputOutputData!K$20,"Chlorine"),L177+H177,L177+J177+H177)</f>
        <v>3750000</v>
      </c>
      <c r="N177">
        <f t="shared" si="37"/>
        <v>0.26785714285714285</v>
      </c>
      <c r="O177" t="str">
        <f t="shared" si="33"/>
        <v/>
      </c>
    </row>
    <row r="178" spans="1:15" ht="14.45">
      <c r="A178" s="24">
        <f>'More accurate Energy (Solar)'!A178</f>
        <v>0</v>
      </c>
      <c r="B178" s="24">
        <f t="shared" si="34"/>
        <v>0</v>
      </c>
      <c r="C178" s="13">
        <f t="shared" si="35"/>
        <v>0</v>
      </c>
      <c r="D178" s="12">
        <f t="shared" si="38"/>
        <v>163</v>
      </c>
      <c r="E178" s="12">
        <f t="shared" si="36"/>
        <v>20.164000000000012</v>
      </c>
      <c r="F178" s="12">
        <f t="shared" si="26"/>
        <v>0</v>
      </c>
      <c r="G178" s="391">
        <f t="shared" si="27"/>
        <v>0</v>
      </c>
      <c r="H178" s="12">
        <f t="shared" si="28"/>
        <v>0</v>
      </c>
      <c r="I178" s="12">
        <f t="shared" si="29"/>
        <v>0</v>
      </c>
      <c r="J178" s="79">
        <f t="shared" si="30"/>
        <v>0</v>
      </c>
      <c r="K178" s="64">
        <f t="shared" si="31"/>
        <v>3456000</v>
      </c>
      <c r="L178" s="64">
        <f t="shared" si="32"/>
        <v>3750000</v>
      </c>
      <c r="M178">
        <f>IF(COUNTIF(InputOutputData!K$20,"Chlorine"),L178+H178,L178+J178+H178)</f>
        <v>3750000</v>
      </c>
      <c r="N178">
        <f t="shared" si="37"/>
        <v>0.26785714285714285</v>
      </c>
      <c r="O178" t="str">
        <f t="shared" si="33"/>
        <v/>
      </c>
    </row>
    <row r="179" spans="1:15" ht="14.45">
      <c r="A179" s="24">
        <f>'More accurate Energy (Solar)'!A179</f>
        <v>0</v>
      </c>
      <c r="B179" s="24">
        <f t="shared" si="34"/>
        <v>0</v>
      </c>
      <c r="C179" s="13">
        <f t="shared" si="35"/>
        <v>0</v>
      </c>
      <c r="D179" s="12">
        <f t="shared" si="38"/>
        <v>164</v>
      </c>
      <c r="E179" s="12">
        <f t="shared" si="36"/>
        <v>19.732000000000014</v>
      </c>
      <c r="F179" s="12">
        <f t="shared" si="26"/>
        <v>0</v>
      </c>
      <c r="G179" s="391">
        <f t="shared" si="27"/>
        <v>0</v>
      </c>
      <c r="H179" s="12">
        <f t="shared" si="28"/>
        <v>0</v>
      </c>
      <c r="I179" s="12">
        <f t="shared" si="29"/>
        <v>0</v>
      </c>
      <c r="J179" s="79">
        <f t="shared" si="30"/>
        <v>0</v>
      </c>
      <c r="K179" s="64">
        <f t="shared" si="31"/>
        <v>3456000</v>
      </c>
      <c r="L179" s="64">
        <f t="shared" si="32"/>
        <v>3750000</v>
      </c>
      <c r="M179">
        <f>IF(COUNTIF(InputOutputData!K$20,"Chlorine"),L179+H179,L179+J179+H179)</f>
        <v>3750000</v>
      </c>
      <c r="N179">
        <f t="shared" si="37"/>
        <v>0.26785714285714285</v>
      </c>
      <c r="O179" t="str">
        <f t="shared" si="33"/>
        <v/>
      </c>
    </row>
    <row r="180" spans="1:15" ht="14.45">
      <c r="A180" s="24">
        <f>'More accurate Energy (Solar)'!A180</f>
        <v>0</v>
      </c>
      <c r="B180" s="24">
        <f t="shared" si="34"/>
        <v>0</v>
      </c>
      <c r="C180" s="13">
        <f t="shared" si="35"/>
        <v>0</v>
      </c>
      <c r="D180" s="12">
        <f t="shared" si="38"/>
        <v>165</v>
      </c>
      <c r="E180" s="12">
        <f t="shared" si="36"/>
        <v>19.300000000000015</v>
      </c>
      <c r="F180" s="12">
        <f t="shared" si="26"/>
        <v>0</v>
      </c>
      <c r="G180" s="391">
        <f t="shared" si="27"/>
        <v>0</v>
      </c>
      <c r="H180" s="12">
        <f t="shared" si="28"/>
        <v>0</v>
      </c>
      <c r="I180" s="12">
        <f t="shared" si="29"/>
        <v>0</v>
      </c>
      <c r="J180" s="79">
        <f t="shared" si="30"/>
        <v>0</v>
      </c>
      <c r="K180" s="64">
        <f t="shared" si="31"/>
        <v>3456000</v>
      </c>
      <c r="L180" s="64">
        <f t="shared" si="32"/>
        <v>3750000</v>
      </c>
      <c r="M180">
        <f>IF(COUNTIF(InputOutputData!K$20,"Chlorine"),L180+H180,L180+J180+H180)</f>
        <v>3750000</v>
      </c>
      <c r="N180">
        <f t="shared" si="37"/>
        <v>0.26785714285714285</v>
      </c>
      <c r="O180" t="str">
        <f t="shared" si="33"/>
        <v/>
      </c>
    </row>
    <row r="181" spans="1:15" ht="14.45">
      <c r="A181" s="24">
        <f>'More accurate Energy (Solar)'!A181</f>
        <v>0</v>
      </c>
      <c r="B181" s="24">
        <f t="shared" si="34"/>
        <v>0</v>
      </c>
      <c r="C181" s="13">
        <f t="shared" si="35"/>
        <v>0</v>
      </c>
      <c r="D181" s="12">
        <f t="shared" si="38"/>
        <v>166</v>
      </c>
      <c r="E181" s="12">
        <f t="shared" si="36"/>
        <v>18.868000000000016</v>
      </c>
      <c r="F181" s="12">
        <f t="shared" si="26"/>
        <v>0</v>
      </c>
      <c r="G181" s="391">
        <f t="shared" si="27"/>
        <v>0</v>
      </c>
      <c r="H181" s="12">
        <f t="shared" si="28"/>
        <v>0</v>
      </c>
      <c r="I181" s="12">
        <f t="shared" si="29"/>
        <v>0</v>
      </c>
      <c r="J181" s="79">
        <f t="shared" si="30"/>
        <v>0</v>
      </c>
      <c r="K181" s="64">
        <f t="shared" si="31"/>
        <v>3456000</v>
      </c>
      <c r="L181" s="64">
        <f t="shared" si="32"/>
        <v>3750000</v>
      </c>
      <c r="M181">
        <f>IF(COUNTIF(InputOutputData!K$20,"Chlorine"),L181+H181,L181+J181+H181)</f>
        <v>3750000</v>
      </c>
      <c r="N181">
        <f t="shared" si="37"/>
        <v>0.26785714285714285</v>
      </c>
      <c r="O181" t="str">
        <f t="shared" si="33"/>
        <v/>
      </c>
    </row>
    <row r="182" spans="1:15" ht="14.45">
      <c r="A182" s="24">
        <f>'More accurate Energy (Solar)'!A182</f>
        <v>0</v>
      </c>
      <c r="B182" s="24">
        <f t="shared" si="34"/>
        <v>0</v>
      </c>
      <c r="C182" s="13">
        <f t="shared" si="35"/>
        <v>0</v>
      </c>
      <c r="D182" s="12">
        <f t="shared" si="38"/>
        <v>167</v>
      </c>
      <c r="E182" s="12">
        <f t="shared" si="36"/>
        <v>18.436000000000018</v>
      </c>
      <c r="F182" s="12">
        <f t="shared" si="26"/>
        <v>0</v>
      </c>
      <c r="G182" s="391">
        <f t="shared" si="27"/>
        <v>0</v>
      </c>
      <c r="H182" s="12">
        <f t="shared" si="28"/>
        <v>0</v>
      </c>
      <c r="I182" s="12">
        <f t="shared" si="29"/>
        <v>0</v>
      </c>
      <c r="J182" s="79">
        <f t="shared" si="30"/>
        <v>0</v>
      </c>
      <c r="K182" s="64">
        <f t="shared" si="31"/>
        <v>3456000</v>
      </c>
      <c r="L182" s="64">
        <f t="shared" si="32"/>
        <v>3750000</v>
      </c>
      <c r="M182">
        <f>IF(COUNTIF(InputOutputData!K$20,"Chlorine"),L182+H182,L182+J182+H182)</f>
        <v>3750000</v>
      </c>
      <c r="N182">
        <f t="shared" si="37"/>
        <v>0.26785714285714285</v>
      </c>
      <c r="O182" t="str">
        <f t="shared" si="33"/>
        <v/>
      </c>
    </row>
    <row r="183" spans="1:15" ht="14.45">
      <c r="A183" s="24">
        <f>'More accurate Energy (Solar)'!A183</f>
        <v>0</v>
      </c>
      <c r="B183" s="24">
        <f t="shared" si="34"/>
        <v>0</v>
      </c>
      <c r="C183" s="13">
        <f t="shared" si="35"/>
        <v>0</v>
      </c>
      <c r="D183" s="12">
        <f t="shared" si="38"/>
        <v>168</v>
      </c>
      <c r="E183" s="12">
        <f t="shared" si="36"/>
        <v>18.004000000000019</v>
      </c>
      <c r="F183" s="12">
        <f t="shared" si="26"/>
        <v>0</v>
      </c>
      <c r="G183" s="391">
        <f t="shared" si="27"/>
        <v>0</v>
      </c>
      <c r="H183" s="12">
        <f t="shared" si="28"/>
        <v>0</v>
      </c>
      <c r="I183" s="12">
        <f t="shared" si="29"/>
        <v>0</v>
      </c>
      <c r="J183" s="79">
        <f t="shared" si="30"/>
        <v>0</v>
      </c>
      <c r="K183" s="64">
        <f t="shared" si="31"/>
        <v>3456000</v>
      </c>
      <c r="L183" s="64">
        <f t="shared" si="32"/>
        <v>3750000</v>
      </c>
      <c r="M183">
        <f>IF(COUNTIF(InputOutputData!K$20,"Chlorine"),L183+H183,L183+J183+H183)</f>
        <v>3750000</v>
      </c>
      <c r="N183">
        <f t="shared" si="37"/>
        <v>0.26785714285714285</v>
      </c>
      <c r="O183" t="str">
        <f t="shared" si="33"/>
        <v/>
      </c>
    </row>
    <row r="184" spans="1:15" ht="14.45">
      <c r="A184" s="24">
        <f>'More accurate Energy (Solar)'!A184</f>
        <v>7</v>
      </c>
      <c r="B184" s="24">
        <f t="shared" si="34"/>
        <v>0.4861111111111111</v>
      </c>
      <c r="C184" s="13">
        <f t="shared" si="35"/>
        <v>0.70000000000000007</v>
      </c>
      <c r="D184" s="12">
        <f t="shared" si="38"/>
        <v>169</v>
      </c>
      <c r="E184" s="12">
        <f t="shared" si="36"/>
        <v>18.27200000000002</v>
      </c>
      <c r="F184" s="12">
        <f t="shared" si="26"/>
        <v>235600.11422284599</v>
      </c>
      <c r="G184" s="391">
        <f t="shared" si="27"/>
        <v>3.8933259753858931E-2</v>
      </c>
      <c r="H184" s="12">
        <f t="shared" si="28"/>
        <v>6051384.2332324646</v>
      </c>
      <c r="I184" s="12">
        <f t="shared" si="29"/>
        <v>3.5000000000000004</v>
      </c>
      <c r="J184" s="79">
        <f t="shared" si="30"/>
        <v>7000000.0000000009</v>
      </c>
      <c r="K184" s="64">
        <f t="shared" si="31"/>
        <v>3456000</v>
      </c>
      <c r="L184" s="64">
        <f t="shared" si="32"/>
        <v>3750000</v>
      </c>
      <c r="M184">
        <f>IF(COUNTIF(InputOutputData!K$20,"Chlorine"),L184+H184,L184+J184+H184)</f>
        <v>9801384.2332324646</v>
      </c>
      <c r="N184">
        <f t="shared" si="37"/>
        <v>0.70009887380231894</v>
      </c>
      <c r="O184" t="str">
        <f t="shared" si="33"/>
        <v/>
      </c>
    </row>
    <row r="185" spans="1:15" ht="14.45">
      <c r="A185" s="24">
        <f>'More accurate Energy (Solar)'!A185</f>
        <v>0</v>
      </c>
      <c r="B185" s="24">
        <f t="shared" si="34"/>
        <v>0</v>
      </c>
      <c r="C185" s="13">
        <f t="shared" si="35"/>
        <v>0</v>
      </c>
      <c r="D185" s="12">
        <f t="shared" si="38"/>
        <v>170</v>
      </c>
      <c r="E185" s="12">
        <f t="shared" si="36"/>
        <v>17.840000000000021</v>
      </c>
      <c r="F185" s="12">
        <f t="shared" si="26"/>
        <v>0</v>
      </c>
      <c r="G185" s="391">
        <f t="shared" si="27"/>
        <v>0</v>
      </c>
      <c r="H185" s="12">
        <f t="shared" si="28"/>
        <v>0</v>
      </c>
      <c r="I185" s="12">
        <f t="shared" si="29"/>
        <v>0</v>
      </c>
      <c r="J185" s="79">
        <f t="shared" si="30"/>
        <v>0</v>
      </c>
      <c r="K185" s="64">
        <f t="shared" si="31"/>
        <v>3456000</v>
      </c>
      <c r="L185" s="64">
        <f t="shared" si="32"/>
        <v>3750000</v>
      </c>
      <c r="M185">
        <f>IF(COUNTIF(InputOutputData!K$20,"Chlorine"),L185+H185,L185+J185+H185)</f>
        <v>3750000</v>
      </c>
      <c r="N185">
        <f t="shared" si="37"/>
        <v>0.26785714285714285</v>
      </c>
      <c r="O185" t="str">
        <f t="shared" si="33"/>
        <v/>
      </c>
    </row>
    <row r="186" spans="1:15" ht="14.45">
      <c r="A186" s="24">
        <f>'More accurate Energy (Solar)'!A186</f>
        <v>0</v>
      </c>
      <c r="B186" s="24">
        <f t="shared" si="34"/>
        <v>0</v>
      </c>
      <c r="C186" s="13">
        <f t="shared" si="35"/>
        <v>0</v>
      </c>
      <c r="D186" s="12">
        <f t="shared" si="38"/>
        <v>171</v>
      </c>
      <c r="E186" s="12">
        <f t="shared" si="36"/>
        <v>17.408000000000023</v>
      </c>
      <c r="F186" s="12">
        <f t="shared" si="26"/>
        <v>0</v>
      </c>
      <c r="G186" s="391">
        <f t="shared" si="27"/>
        <v>0</v>
      </c>
      <c r="H186" s="12">
        <f t="shared" si="28"/>
        <v>0</v>
      </c>
      <c r="I186" s="12">
        <f t="shared" si="29"/>
        <v>0</v>
      </c>
      <c r="J186" s="79">
        <f t="shared" si="30"/>
        <v>0</v>
      </c>
      <c r="K186" s="64">
        <f t="shared" si="31"/>
        <v>3456000</v>
      </c>
      <c r="L186" s="64">
        <f t="shared" si="32"/>
        <v>3750000</v>
      </c>
      <c r="M186">
        <f>IF(COUNTIF(InputOutputData!K$20,"Chlorine"),L186+H186,L186+J186+H186)</f>
        <v>3750000</v>
      </c>
      <c r="N186">
        <f t="shared" si="37"/>
        <v>0.26785714285714285</v>
      </c>
      <c r="O186" t="str">
        <f t="shared" si="33"/>
        <v/>
      </c>
    </row>
    <row r="187" spans="1:15" ht="14.45">
      <c r="A187" s="24">
        <f>'More accurate Energy (Solar)'!A187</f>
        <v>0</v>
      </c>
      <c r="B187" s="24">
        <f t="shared" si="34"/>
        <v>0</v>
      </c>
      <c r="C187" s="13">
        <f t="shared" si="35"/>
        <v>0</v>
      </c>
      <c r="D187" s="12">
        <f t="shared" si="38"/>
        <v>172</v>
      </c>
      <c r="E187" s="12">
        <f t="shared" si="36"/>
        <v>16.976000000000024</v>
      </c>
      <c r="F187" s="12">
        <f t="shared" si="26"/>
        <v>0</v>
      </c>
      <c r="G187" s="391">
        <f t="shared" si="27"/>
        <v>0</v>
      </c>
      <c r="H187" s="12">
        <f t="shared" si="28"/>
        <v>0</v>
      </c>
      <c r="I187" s="12">
        <f t="shared" si="29"/>
        <v>0</v>
      </c>
      <c r="J187" s="79">
        <f t="shared" si="30"/>
        <v>0</v>
      </c>
      <c r="K187" s="64">
        <f t="shared" si="31"/>
        <v>3456000</v>
      </c>
      <c r="L187" s="64">
        <f t="shared" si="32"/>
        <v>3750000</v>
      </c>
      <c r="M187">
        <f>IF(COUNTIF(InputOutputData!K$20,"Chlorine"),L187+H187,L187+J187+H187)</f>
        <v>3750000</v>
      </c>
      <c r="N187">
        <f t="shared" si="37"/>
        <v>0.26785714285714285</v>
      </c>
      <c r="O187" t="str">
        <f t="shared" si="33"/>
        <v/>
      </c>
    </row>
    <row r="188" spans="1:15" ht="14.45">
      <c r="A188" s="24">
        <f>'More accurate Energy (Solar)'!A188</f>
        <v>0</v>
      </c>
      <c r="B188" s="24">
        <f t="shared" si="34"/>
        <v>0</v>
      </c>
      <c r="C188" s="13">
        <f t="shared" si="35"/>
        <v>0</v>
      </c>
      <c r="D188" s="12">
        <f t="shared" si="38"/>
        <v>173</v>
      </c>
      <c r="E188" s="12">
        <f t="shared" si="36"/>
        <v>16.544000000000025</v>
      </c>
      <c r="F188" s="12">
        <f t="shared" si="26"/>
        <v>0</v>
      </c>
      <c r="G188" s="391">
        <f t="shared" si="27"/>
        <v>0</v>
      </c>
      <c r="H188" s="12">
        <f t="shared" si="28"/>
        <v>0</v>
      </c>
      <c r="I188" s="12">
        <f t="shared" si="29"/>
        <v>0</v>
      </c>
      <c r="J188" s="79">
        <f t="shared" si="30"/>
        <v>0</v>
      </c>
      <c r="K188" s="64">
        <f t="shared" si="31"/>
        <v>3456000</v>
      </c>
      <c r="L188" s="64">
        <f t="shared" si="32"/>
        <v>3750000</v>
      </c>
      <c r="M188">
        <f>IF(COUNTIF(InputOutputData!K$20,"Chlorine"),L188+H188,L188+J188+H188)</f>
        <v>3750000</v>
      </c>
      <c r="N188">
        <f t="shared" si="37"/>
        <v>0.26785714285714285</v>
      </c>
      <c r="O188" t="str">
        <f t="shared" si="33"/>
        <v/>
      </c>
    </row>
    <row r="189" spans="1:15" ht="14.45">
      <c r="A189" s="24">
        <f>'More accurate Energy (Solar)'!A189</f>
        <v>1.4</v>
      </c>
      <c r="B189" s="24">
        <f t="shared" si="34"/>
        <v>9.722222222222221E-2</v>
      </c>
      <c r="C189" s="13">
        <f t="shared" si="35"/>
        <v>0.13999999999999999</v>
      </c>
      <c r="D189" s="12">
        <f t="shared" si="38"/>
        <v>174</v>
      </c>
      <c r="E189" s="12">
        <f t="shared" si="36"/>
        <v>16.252000000000024</v>
      </c>
      <c r="F189" s="12">
        <f t="shared" si="26"/>
        <v>47120.02284456919</v>
      </c>
      <c r="G189" s="391">
        <f t="shared" si="27"/>
        <v>1.6052656140628618E-2</v>
      </c>
      <c r="H189" s="12">
        <f t="shared" si="28"/>
        <v>2935341.194116177</v>
      </c>
      <c r="I189" s="12">
        <f t="shared" si="29"/>
        <v>0.7</v>
      </c>
      <c r="J189" s="79">
        <f t="shared" si="30"/>
        <v>1400000</v>
      </c>
      <c r="K189" s="64">
        <f t="shared" si="31"/>
        <v>3456000</v>
      </c>
      <c r="L189" s="64">
        <f t="shared" si="32"/>
        <v>3750000</v>
      </c>
      <c r="M189">
        <f>IF(COUNTIF(InputOutputData!K$20,"Chlorine"),L189+H189,L189+J189+H189)</f>
        <v>6685341.194116177</v>
      </c>
      <c r="N189">
        <f t="shared" si="37"/>
        <v>0.47752437100829837</v>
      </c>
      <c r="O189" t="str">
        <f t="shared" si="33"/>
        <v/>
      </c>
    </row>
    <row r="190" spans="1:15" ht="14.45">
      <c r="A190" s="24">
        <f>'More accurate Energy (Solar)'!A190</f>
        <v>13.4</v>
      </c>
      <c r="B190" s="24">
        <f t="shared" si="34"/>
        <v>0.93055555555555558</v>
      </c>
      <c r="C190" s="13">
        <f t="shared" si="35"/>
        <v>1.34</v>
      </c>
      <c r="D190" s="12">
        <f t="shared" si="38"/>
        <v>175</v>
      </c>
      <c r="E190" s="12">
        <f t="shared" si="36"/>
        <v>17.160000000000025</v>
      </c>
      <c r="F190" s="12">
        <f t="shared" si="26"/>
        <v>451005.93294087664</v>
      </c>
      <c r="G190" s="391">
        <f t="shared" si="27"/>
        <v>5.5694662580825151E-2</v>
      </c>
      <c r="H190" s="12">
        <f t="shared" si="28"/>
        <v>8097830.4211174315</v>
      </c>
      <c r="I190" s="12">
        <f t="shared" si="29"/>
        <v>6.7</v>
      </c>
      <c r="J190" s="79">
        <f t="shared" si="30"/>
        <v>13400000</v>
      </c>
      <c r="K190" s="64">
        <f t="shared" si="31"/>
        <v>3456000</v>
      </c>
      <c r="L190" s="64">
        <f t="shared" si="32"/>
        <v>3750000</v>
      </c>
      <c r="M190">
        <f>IF(COUNTIF(InputOutputData!K$20,"Chlorine"),L190+H190,L190+J190+H190)</f>
        <v>11847830.421117432</v>
      </c>
      <c r="N190">
        <f t="shared" si="37"/>
        <v>0.84627360150838815</v>
      </c>
      <c r="O190" t="str">
        <f t="shared" si="33"/>
        <v/>
      </c>
    </row>
    <row r="191" spans="1:15" ht="14.45">
      <c r="A191" s="24">
        <f>'More accurate Energy (Solar)'!A191</f>
        <v>4</v>
      </c>
      <c r="B191" s="24">
        <f t="shared" si="34"/>
        <v>0.27777777777777779</v>
      </c>
      <c r="C191" s="13">
        <f t="shared" si="35"/>
        <v>0.4</v>
      </c>
      <c r="D191" s="12">
        <f t="shared" si="38"/>
        <v>176</v>
      </c>
      <c r="E191" s="12">
        <f t="shared" si="36"/>
        <v>17.128000000000025</v>
      </c>
      <c r="F191" s="12">
        <f t="shared" si="26"/>
        <v>134628.63669876911</v>
      </c>
      <c r="G191" s="391">
        <f t="shared" si="27"/>
        <v>2.8606682038735863E-2</v>
      </c>
      <c r="H191" s="12">
        <f t="shared" si="28"/>
        <v>4706195.4447031152</v>
      </c>
      <c r="I191" s="12">
        <f t="shared" si="29"/>
        <v>2</v>
      </c>
      <c r="J191" s="79">
        <f t="shared" si="30"/>
        <v>4000000</v>
      </c>
      <c r="K191" s="64">
        <f t="shared" si="31"/>
        <v>3456000</v>
      </c>
      <c r="L191" s="64">
        <f t="shared" si="32"/>
        <v>3750000</v>
      </c>
      <c r="M191">
        <f>IF(COUNTIF(InputOutputData!K$20,"Chlorine"),L191+H191,L191+J191+H191)</f>
        <v>8456195.4447031152</v>
      </c>
      <c r="N191">
        <f t="shared" si="37"/>
        <v>0.60401396033593679</v>
      </c>
      <c r="O191" t="str">
        <f t="shared" si="33"/>
        <v/>
      </c>
    </row>
    <row r="192" spans="1:15" ht="14.45">
      <c r="A192" s="24">
        <f>'More accurate Energy (Solar)'!A192</f>
        <v>0</v>
      </c>
      <c r="B192" s="24">
        <f t="shared" si="34"/>
        <v>0</v>
      </c>
      <c r="C192" s="13">
        <f t="shared" si="35"/>
        <v>0</v>
      </c>
      <c r="D192" s="12">
        <f t="shared" si="38"/>
        <v>177</v>
      </c>
      <c r="E192" s="12">
        <f t="shared" si="36"/>
        <v>16.696000000000026</v>
      </c>
      <c r="F192" s="12">
        <f t="shared" si="26"/>
        <v>0</v>
      </c>
      <c r="G192" s="391">
        <f t="shared" si="27"/>
        <v>0</v>
      </c>
      <c r="H192" s="12">
        <f t="shared" si="28"/>
        <v>0</v>
      </c>
      <c r="I192" s="12">
        <f t="shared" si="29"/>
        <v>0</v>
      </c>
      <c r="J192" s="79">
        <f t="shared" si="30"/>
        <v>0</v>
      </c>
      <c r="K192" s="64">
        <f t="shared" si="31"/>
        <v>3456000</v>
      </c>
      <c r="L192" s="64">
        <f t="shared" si="32"/>
        <v>3750000</v>
      </c>
      <c r="M192">
        <f>IF(COUNTIF(InputOutputData!K$20,"Chlorine"),L192+H192,L192+J192+H192)</f>
        <v>3750000</v>
      </c>
      <c r="N192">
        <f t="shared" si="37"/>
        <v>0.26785714285714285</v>
      </c>
      <c r="O192" t="str">
        <f t="shared" si="33"/>
        <v/>
      </c>
    </row>
    <row r="193" spans="1:15" ht="14.45">
      <c r="A193" s="24">
        <f>'More accurate Energy (Solar)'!A193</f>
        <v>0</v>
      </c>
      <c r="B193" s="24">
        <f t="shared" si="34"/>
        <v>0</v>
      </c>
      <c r="C193" s="13">
        <f t="shared" si="35"/>
        <v>0</v>
      </c>
      <c r="D193" s="12">
        <f t="shared" si="38"/>
        <v>178</v>
      </c>
      <c r="E193" s="12">
        <f t="shared" si="36"/>
        <v>16.264000000000028</v>
      </c>
      <c r="F193" s="12">
        <f t="shared" si="26"/>
        <v>0</v>
      </c>
      <c r="G193" s="391">
        <f t="shared" si="27"/>
        <v>0</v>
      </c>
      <c r="H193" s="12">
        <f t="shared" si="28"/>
        <v>0</v>
      </c>
      <c r="I193" s="12">
        <f t="shared" si="29"/>
        <v>0</v>
      </c>
      <c r="J193" s="79">
        <f t="shared" si="30"/>
        <v>0</v>
      </c>
      <c r="K193" s="64">
        <f t="shared" si="31"/>
        <v>3456000</v>
      </c>
      <c r="L193" s="64">
        <f t="shared" si="32"/>
        <v>3750000</v>
      </c>
      <c r="M193">
        <f>IF(COUNTIF(InputOutputData!K$20,"Chlorine"),L193+H193,L193+J193+H193)</f>
        <v>3750000</v>
      </c>
      <c r="N193">
        <f t="shared" si="37"/>
        <v>0.26785714285714285</v>
      </c>
      <c r="O193" t="str">
        <f t="shared" si="33"/>
        <v/>
      </c>
    </row>
    <row r="194" spans="1:15" ht="14.45">
      <c r="A194" s="24">
        <f>'More accurate Energy (Solar)'!A194</f>
        <v>0</v>
      </c>
      <c r="B194" s="24">
        <f t="shared" si="34"/>
        <v>0</v>
      </c>
      <c r="C194" s="13">
        <f t="shared" si="35"/>
        <v>0</v>
      </c>
      <c r="D194" s="12">
        <f t="shared" si="38"/>
        <v>179</v>
      </c>
      <c r="E194" s="12">
        <f t="shared" si="36"/>
        <v>15.832000000000027</v>
      </c>
      <c r="F194" s="12">
        <f t="shared" si="26"/>
        <v>0</v>
      </c>
      <c r="G194" s="391">
        <f t="shared" si="27"/>
        <v>0</v>
      </c>
      <c r="H194" s="12">
        <f t="shared" si="28"/>
        <v>0</v>
      </c>
      <c r="I194" s="12">
        <f t="shared" si="29"/>
        <v>0</v>
      </c>
      <c r="J194" s="79">
        <f t="shared" si="30"/>
        <v>0</v>
      </c>
      <c r="K194" s="64">
        <f t="shared" si="31"/>
        <v>3456000</v>
      </c>
      <c r="L194" s="64">
        <f t="shared" si="32"/>
        <v>3750000</v>
      </c>
      <c r="M194">
        <f>IF(COUNTIF(InputOutputData!K$20,"Chlorine"),L194+H194,L194+J194+H194)</f>
        <v>3750000</v>
      </c>
      <c r="N194">
        <f t="shared" si="37"/>
        <v>0.26785714285714285</v>
      </c>
      <c r="O194" t="str">
        <f t="shared" si="33"/>
        <v/>
      </c>
    </row>
    <row r="195" spans="1:15" ht="14.45">
      <c r="A195" s="24">
        <f>'More accurate Energy (Solar)'!A195</f>
        <v>0</v>
      </c>
      <c r="B195" s="24">
        <f t="shared" si="34"/>
        <v>0</v>
      </c>
      <c r="C195" s="13">
        <f t="shared" si="35"/>
        <v>0</v>
      </c>
      <c r="D195" s="12">
        <f t="shared" si="38"/>
        <v>180</v>
      </c>
      <c r="E195" s="12">
        <f t="shared" si="36"/>
        <v>15.400000000000027</v>
      </c>
      <c r="F195" s="12">
        <f t="shared" si="26"/>
        <v>0</v>
      </c>
      <c r="G195" s="391">
        <f t="shared" si="27"/>
        <v>0</v>
      </c>
      <c r="H195" s="12">
        <f t="shared" si="28"/>
        <v>0</v>
      </c>
      <c r="I195" s="12">
        <f t="shared" si="29"/>
        <v>0</v>
      </c>
      <c r="J195" s="79">
        <f t="shared" si="30"/>
        <v>0</v>
      </c>
      <c r="K195" s="64">
        <f t="shared" si="31"/>
        <v>3456000</v>
      </c>
      <c r="L195" s="64">
        <f t="shared" si="32"/>
        <v>3750000</v>
      </c>
      <c r="M195">
        <f>IF(COUNTIF(InputOutputData!K$20,"Chlorine"),L195+H195,L195+J195+H195)</f>
        <v>3750000</v>
      </c>
      <c r="N195">
        <f t="shared" si="37"/>
        <v>0.26785714285714285</v>
      </c>
      <c r="O195" t="str">
        <f t="shared" si="33"/>
        <v/>
      </c>
    </row>
    <row r="196" spans="1:15" ht="14.45">
      <c r="A196" s="24">
        <f>'More accurate Energy (Solar)'!A196</f>
        <v>0</v>
      </c>
      <c r="B196" s="24">
        <f t="shared" si="34"/>
        <v>0</v>
      </c>
      <c r="C196" s="13">
        <f t="shared" si="35"/>
        <v>0</v>
      </c>
      <c r="D196" s="12">
        <f t="shared" si="38"/>
        <v>181</v>
      </c>
      <c r="E196" s="12">
        <f t="shared" si="36"/>
        <v>14.968000000000027</v>
      </c>
      <c r="F196" s="12">
        <f t="shared" si="26"/>
        <v>0</v>
      </c>
      <c r="G196" s="391">
        <f t="shared" si="27"/>
        <v>0</v>
      </c>
      <c r="H196" s="12">
        <f t="shared" si="28"/>
        <v>0</v>
      </c>
      <c r="I196" s="12">
        <f t="shared" si="29"/>
        <v>0</v>
      </c>
      <c r="J196" s="79">
        <f t="shared" si="30"/>
        <v>0</v>
      </c>
      <c r="K196" s="64">
        <f t="shared" si="31"/>
        <v>3456000</v>
      </c>
      <c r="L196" s="64">
        <f t="shared" si="32"/>
        <v>3750000</v>
      </c>
      <c r="M196">
        <f>IF(COUNTIF(InputOutputData!K$20,"Chlorine"),L196+H196,L196+J196+H196)</f>
        <v>3750000</v>
      </c>
      <c r="N196">
        <f t="shared" si="37"/>
        <v>0.26785714285714285</v>
      </c>
      <c r="O196" t="str">
        <f t="shared" si="33"/>
        <v/>
      </c>
    </row>
    <row r="197" spans="1:15" ht="14.45">
      <c r="A197" s="24">
        <f>'More accurate Energy (Solar)'!A197</f>
        <v>0</v>
      </c>
      <c r="B197" s="24">
        <f t="shared" si="34"/>
        <v>0</v>
      </c>
      <c r="C197" s="13">
        <f t="shared" si="35"/>
        <v>0</v>
      </c>
      <c r="D197" s="12">
        <f t="shared" si="38"/>
        <v>182</v>
      </c>
      <c r="E197" s="12">
        <f t="shared" si="36"/>
        <v>14.536000000000026</v>
      </c>
      <c r="F197" s="12">
        <f t="shared" si="26"/>
        <v>0</v>
      </c>
      <c r="G197" s="391">
        <f t="shared" si="27"/>
        <v>0</v>
      </c>
      <c r="H197" s="12">
        <f t="shared" si="28"/>
        <v>0</v>
      </c>
      <c r="I197" s="12">
        <f t="shared" si="29"/>
        <v>0</v>
      </c>
      <c r="J197" s="79">
        <f t="shared" si="30"/>
        <v>0</v>
      </c>
      <c r="K197" s="64">
        <f t="shared" si="31"/>
        <v>3456000</v>
      </c>
      <c r="L197" s="64">
        <f t="shared" si="32"/>
        <v>3750000</v>
      </c>
      <c r="M197">
        <f>IF(COUNTIF(InputOutputData!K$20,"Chlorine"),L197+H197,L197+J197+H197)</f>
        <v>3750000</v>
      </c>
      <c r="N197">
        <f t="shared" si="37"/>
        <v>0.26785714285714285</v>
      </c>
      <c r="O197" t="str">
        <f t="shared" si="33"/>
        <v/>
      </c>
    </row>
    <row r="198" spans="1:15" ht="14.45">
      <c r="A198" s="24">
        <f>'More accurate Energy (Solar)'!A198</f>
        <v>0</v>
      </c>
      <c r="B198" s="24">
        <f t="shared" si="34"/>
        <v>0</v>
      </c>
      <c r="C198" s="13">
        <f t="shared" si="35"/>
        <v>0</v>
      </c>
      <c r="D198" s="12">
        <f t="shared" si="38"/>
        <v>183</v>
      </c>
      <c r="E198" s="12">
        <f t="shared" si="36"/>
        <v>14.104000000000026</v>
      </c>
      <c r="F198" s="12">
        <f t="shared" si="26"/>
        <v>0</v>
      </c>
      <c r="G198" s="391">
        <f t="shared" si="27"/>
        <v>0</v>
      </c>
      <c r="H198" s="12">
        <f t="shared" si="28"/>
        <v>0</v>
      </c>
      <c r="I198" s="12">
        <f t="shared" si="29"/>
        <v>0</v>
      </c>
      <c r="J198" s="79">
        <f t="shared" si="30"/>
        <v>0</v>
      </c>
      <c r="K198" s="64">
        <f t="shared" si="31"/>
        <v>3456000</v>
      </c>
      <c r="L198" s="64">
        <f t="shared" si="32"/>
        <v>3750000</v>
      </c>
      <c r="M198">
        <f>IF(COUNTIF(InputOutputData!K$20,"Chlorine"),L198+H198,L198+J198+H198)</f>
        <v>3750000</v>
      </c>
      <c r="N198">
        <f t="shared" si="37"/>
        <v>0.26785714285714285</v>
      </c>
      <c r="O198" t="str">
        <f t="shared" si="33"/>
        <v/>
      </c>
    </row>
    <row r="199" spans="1:15" ht="14.45">
      <c r="A199" s="24">
        <f>'More accurate Energy (Solar)'!A199</f>
        <v>0</v>
      </c>
      <c r="B199" s="24">
        <f t="shared" si="34"/>
        <v>0</v>
      </c>
      <c r="C199" s="13">
        <f t="shared" si="35"/>
        <v>0</v>
      </c>
      <c r="D199" s="12">
        <f t="shared" si="38"/>
        <v>184</v>
      </c>
      <c r="E199" s="12">
        <f t="shared" si="36"/>
        <v>13.672000000000025</v>
      </c>
      <c r="F199" s="12">
        <f t="shared" si="26"/>
        <v>0</v>
      </c>
      <c r="G199" s="391">
        <f t="shared" si="27"/>
        <v>0</v>
      </c>
      <c r="H199" s="12">
        <f t="shared" si="28"/>
        <v>0</v>
      </c>
      <c r="I199" s="12">
        <f t="shared" si="29"/>
        <v>0</v>
      </c>
      <c r="J199" s="79">
        <f t="shared" si="30"/>
        <v>0</v>
      </c>
      <c r="K199" s="64">
        <f t="shared" si="31"/>
        <v>3456000</v>
      </c>
      <c r="L199" s="64">
        <f t="shared" si="32"/>
        <v>3750000</v>
      </c>
      <c r="M199">
        <f>IF(COUNTIF(InputOutputData!K$20,"Chlorine"),L199+H199,L199+J199+H199)</f>
        <v>3750000</v>
      </c>
      <c r="N199">
        <f t="shared" si="37"/>
        <v>0.26785714285714285</v>
      </c>
      <c r="O199" t="str">
        <f t="shared" si="33"/>
        <v/>
      </c>
    </row>
    <row r="200" spans="1:15" ht="14.45">
      <c r="A200" s="24">
        <f>'More accurate Energy (Solar)'!A200</f>
        <v>0</v>
      </c>
      <c r="B200" s="24">
        <f t="shared" si="34"/>
        <v>0</v>
      </c>
      <c r="C200" s="13">
        <f t="shared" si="35"/>
        <v>0</v>
      </c>
      <c r="D200" s="12">
        <f t="shared" si="38"/>
        <v>185</v>
      </c>
      <c r="E200" s="12">
        <f t="shared" si="36"/>
        <v>13.240000000000025</v>
      </c>
      <c r="F200" s="12">
        <f t="shared" si="26"/>
        <v>0</v>
      </c>
      <c r="G200" s="391">
        <f t="shared" si="27"/>
        <v>0</v>
      </c>
      <c r="H200" s="12">
        <f t="shared" si="28"/>
        <v>0</v>
      </c>
      <c r="I200" s="12">
        <f t="shared" si="29"/>
        <v>0</v>
      </c>
      <c r="J200" s="79">
        <f t="shared" si="30"/>
        <v>0</v>
      </c>
      <c r="K200" s="64">
        <f t="shared" si="31"/>
        <v>3456000</v>
      </c>
      <c r="L200" s="64">
        <f t="shared" si="32"/>
        <v>3750000</v>
      </c>
      <c r="M200">
        <f>IF(COUNTIF(InputOutputData!K$20,"Chlorine"),L200+H200,L200+J200+H200)</f>
        <v>3750000</v>
      </c>
      <c r="N200">
        <f t="shared" si="37"/>
        <v>0.26785714285714285</v>
      </c>
      <c r="O200" t="str">
        <f t="shared" si="33"/>
        <v/>
      </c>
    </row>
    <row r="201" spans="1:15" ht="14.45">
      <c r="A201" s="24">
        <f>'More accurate Energy (Solar)'!A201</f>
        <v>0</v>
      </c>
      <c r="B201" s="24">
        <f t="shared" si="34"/>
        <v>0</v>
      </c>
      <c r="C201" s="13">
        <f t="shared" si="35"/>
        <v>0</v>
      </c>
      <c r="D201" s="12">
        <f t="shared" si="38"/>
        <v>186</v>
      </c>
      <c r="E201" s="12">
        <f t="shared" si="36"/>
        <v>12.808000000000025</v>
      </c>
      <c r="F201" s="12">
        <f t="shared" si="26"/>
        <v>0</v>
      </c>
      <c r="G201" s="391">
        <f t="shared" si="27"/>
        <v>0</v>
      </c>
      <c r="H201" s="12">
        <f t="shared" si="28"/>
        <v>0</v>
      </c>
      <c r="I201" s="12">
        <f t="shared" si="29"/>
        <v>0</v>
      </c>
      <c r="J201" s="79">
        <f t="shared" si="30"/>
        <v>0</v>
      </c>
      <c r="K201" s="64">
        <f t="shared" si="31"/>
        <v>3456000</v>
      </c>
      <c r="L201" s="64">
        <f t="shared" si="32"/>
        <v>3750000</v>
      </c>
      <c r="M201">
        <f>IF(COUNTIF(InputOutputData!K$20,"Chlorine"),L201+H201,L201+J201+H201)</f>
        <v>3750000</v>
      </c>
      <c r="N201">
        <f t="shared" si="37"/>
        <v>0.26785714285714285</v>
      </c>
      <c r="O201" t="str">
        <f t="shared" si="33"/>
        <v/>
      </c>
    </row>
    <row r="202" spans="1:15" ht="14.45">
      <c r="A202" s="24">
        <f>'More accurate Energy (Solar)'!A202</f>
        <v>0</v>
      </c>
      <c r="B202" s="24">
        <f t="shared" si="34"/>
        <v>0</v>
      </c>
      <c r="C202" s="13">
        <f t="shared" si="35"/>
        <v>0</v>
      </c>
      <c r="D202" s="12">
        <f t="shared" si="38"/>
        <v>187</v>
      </c>
      <c r="E202" s="12">
        <f t="shared" si="36"/>
        <v>12.376000000000024</v>
      </c>
      <c r="F202" s="12">
        <f t="shared" si="26"/>
        <v>0</v>
      </c>
      <c r="G202" s="391">
        <f t="shared" si="27"/>
        <v>0</v>
      </c>
      <c r="H202" s="12">
        <f t="shared" si="28"/>
        <v>0</v>
      </c>
      <c r="I202" s="12">
        <f t="shared" si="29"/>
        <v>0</v>
      </c>
      <c r="J202" s="79">
        <f t="shared" si="30"/>
        <v>0</v>
      </c>
      <c r="K202" s="64">
        <f t="shared" si="31"/>
        <v>3456000</v>
      </c>
      <c r="L202" s="64">
        <f t="shared" si="32"/>
        <v>3750000</v>
      </c>
      <c r="M202">
        <f>IF(COUNTIF(InputOutputData!K$20,"Chlorine"),L202+H202,L202+J202+H202)</f>
        <v>3750000</v>
      </c>
      <c r="N202">
        <f t="shared" si="37"/>
        <v>0.26785714285714285</v>
      </c>
      <c r="O202" t="str">
        <f t="shared" si="33"/>
        <v/>
      </c>
    </row>
    <row r="203" spans="1:15" ht="14.45">
      <c r="A203" s="24">
        <f>'More accurate Energy (Solar)'!A203</f>
        <v>0.2</v>
      </c>
      <c r="B203" s="24">
        <f t="shared" si="34"/>
        <v>1.3888888888888888E-2</v>
      </c>
      <c r="C203" s="13">
        <f t="shared" si="35"/>
        <v>0.02</v>
      </c>
      <c r="D203" s="12">
        <f t="shared" si="38"/>
        <v>188</v>
      </c>
      <c r="E203" s="12">
        <f t="shared" si="36"/>
        <v>11.964000000000024</v>
      </c>
      <c r="F203" s="12">
        <f t="shared" si="26"/>
        <v>6731.4318349384566</v>
      </c>
      <c r="G203" s="391">
        <f t="shared" si="27"/>
        <v>5.5038940280191058E-3</v>
      </c>
      <c r="H203" s="12">
        <f t="shared" si="28"/>
        <v>1223030.785235004</v>
      </c>
      <c r="I203" s="12">
        <f t="shared" si="29"/>
        <v>0.1</v>
      </c>
      <c r="J203" s="79">
        <f t="shared" si="30"/>
        <v>200000</v>
      </c>
      <c r="K203" s="64">
        <f t="shared" si="31"/>
        <v>3456000</v>
      </c>
      <c r="L203" s="64">
        <f t="shared" si="32"/>
        <v>3750000</v>
      </c>
      <c r="M203">
        <f>IF(COUNTIF(InputOutputData!K$20,"Chlorine"),L203+H203,L203+J203+H203)</f>
        <v>4973030.7852350045</v>
      </c>
      <c r="N203">
        <f t="shared" si="37"/>
        <v>0.35521648465964323</v>
      </c>
      <c r="O203" t="str">
        <f t="shared" si="33"/>
        <v/>
      </c>
    </row>
    <row r="204" spans="1:15" ht="14.45">
      <c r="A204" s="24">
        <f>'More accurate Energy (Solar)'!A204</f>
        <v>0</v>
      </c>
      <c r="B204" s="24">
        <f t="shared" si="34"/>
        <v>0</v>
      </c>
      <c r="C204" s="13">
        <f t="shared" si="35"/>
        <v>0</v>
      </c>
      <c r="D204" s="12">
        <f t="shared" si="38"/>
        <v>189</v>
      </c>
      <c r="E204" s="12">
        <f t="shared" si="36"/>
        <v>11.532000000000023</v>
      </c>
      <c r="F204" s="12">
        <f t="shared" si="26"/>
        <v>0</v>
      </c>
      <c r="G204" s="391">
        <f t="shared" si="27"/>
        <v>0</v>
      </c>
      <c r="H204" s="12">
        <f t="shared" si="28"/>
        <v>0</v>
      </c>
      <c r="I204" s="12">
        <f t="shared" si="29"/>
        <v>0</v>
      </c>
      <c r="J204" s="79">
        <f t="shared" si="30"/>
        <v>0</v>
      </c>
      <c r="K204" s="64">
        <f t="shared" si="31"/>
        <v>3456000</v>
      </c>
      <c r="L204" s="64">
        <f t="shared" si="32"/>
        <v>3750000</v>
      </c>
      <c r="M204">
        <f>IF(COUNTIF(InputOutputData!K$20,"Chlorine"),L204+H204,L204+J204+H204)</f>
        <v>3750000</v>
      </c>
      <c r="N204">
        <f t="shared" si="37"/>
        <v>0.26785714285714285</v>
      </c>
      <c r="O204" t="str">
        <f t="shared" si="33"/>
        <v/>
      </c>
    </row>
    <row r="205" spans="1:15" ht="14.45">
      <c r="A205" s="24">
        <f>'More accurate Energy (Solar)'!A205</f>
        <v>1</v>
      </c>
      <c r="B205" s="24">
        <f t="shared" si="34"/>
        <v>6.9444444444444448E-2</v>
      </c>
      <c r="C205" s="13">
        <f t="shared" si="35"/>
        <v>0.1</v>
      </c>
      <c r="D205" s="12">
        <f t="shared" si="38"/>
        <v>190</v>
      </c>
      <c r="E205" s="12">
        <f t="shared" si="36"/>
        <v>11.200000000000022</v>
      </c>
      <c r="F205" s="12">
        <f t="shared" si="26"/>
        <v>33657.159174692279</v>
      </c>
      <c r="G205" s="391">
        <f t="shared" si="27"/>
        <v>1.3339887795726455E-2</v>
      </c>
      <c r="H205" s="12">
        <f t="shared" si="28"/>
        <v>2523046.6470246203</v>
      </c>
      <c r="I205" s="12">
        <f t="shared" si="29"/>
        <v>0.5</v>
      </c>
      <c r="J205" s="79">
        <f t="shared" si="30"/>
        <v>1000000</v>
      </c>
      <c r="K205" s="64">
        <f t="shared" si="31"/>
        <v>3456000</v>
      </c>
      <c r="L205" s="64">
        <f t="shared" si="32"/>
        <v>3750000</v>
      </c>
      <c r="M205">
        <f>IF(COUNTIF(InputOutputData!K$20,"Chlorine"),L205+H205,L205+J205+H205)</f>
        <v>6273046.6470246203</v>
      </c>
      <c r="N205">
        <f t="shared" si="37"/>
        <v>0.44807476050175865</v>
      </c>
      <c r="O205" t="str">
        <f t="shared" si="33"/>
        <v/>
      </c>
    </row>
    <row r="206" spans="1:15" ht="14.45">
      <c r="A206" s="24">
        <f>'More accurate Energy (Solar)'!A206</f>
        <v>1.2</v>
      </c>
      <c r="B206" s="24">
        <f t="shared" si="34"/>
        <v>8.3333333333333329E-2</v>
      </c>
      <c r="C206" s="13">
        <f t="shared" si="35"/>
        <v>0.12</v>
      </c>
      <c r="D206" s="12">
        <f t="shared" si="38"/>
        <v>191</v>
      </c>
      <c r="E206" s="12">
        <f t="shared" si="36"/>
        <v>10.888000000000023</v>
      </c>
      <c r="F206" s="12">
        <f t="shared" si="26"/>
        <v>40388.591009630734</v>
      </c>
      <c r="G206" s="391">
        <f t="shared" si="27"/>
        <v>1.4747350940040569E-2</v>
      </c>
      <c r="H206" s="12">
        <f t="shared" si="28"/>
        <v>2738701.4233160731</v>
      </c>
      <c r="I206" s="12">
        <f t="shared" si="29"/>
        <v>0.6</v>
      </c>
      <c r="J206" s="79">
        <f t="shared" si="30"/>
        <v>1200000</v>
      </c>
      <c r="K206" s="64">
        <f t="shared" si="31"/>
        <v>3456000</v>
      </c>
      <c r="L206" s="64">
        <f t="shared" si="32"/>
        <v>3750000</v>
      </c>
      <c r="M206">
        <f>IF(COUNTIF(InputOutputData!K$20,"Chlorine"),L206+H206,L206+J206+H206)</f>
        <v>6488701.4233160727</v>
      </c>
      <c r="N206">
        <f t="shared" si="37"/>
        <v>0.4634786730940052</v>
      </c>
      <c r="O206" t="str">
        <f t="shared" si="33"/>
        <v/>
      </c>
    </row>
    <row r="207" spans="1:15" ht="14.45">
      <c r="A207" s="24">
        <f>'More accurate Energy (Solar)'!A207</f>
        <v>2.4</v>
      </c>
      <c r="B207" s="24">
        <f t="shared" si="34"/>
        <v>0.16666666666666666</v>
      </c>
      <c r="C207" s="13">
        <f t="shared" si="35"/>
        <v>0.24</v>
      </c>
      <c r="D207" s="12">
        <f t="shared" si="38"/>
        <v>192</v>
      </c>
      <c r="E207" s="12">
        <f t="shared" si="36"/>
        <v>10.696000000000023</v>
      </c>
      <c r="F207" s="12">
        <f t="shared" si="26"/>
        <v>80777.182019261469</v>
      </c>
      <c r="G207" s="391">
        <f t="shared" si="27"/>
        <v>2.1595011316909298E-2</v>
      </c>
      <c r="H207" s="12">
        <f t="shared" si="28"/>
        <v>3740548.2606073665</v>
      </c>
      <c r="I207" s="12">
        <f t="shared" si="29"/>
        <v>1.2</v>
      </c>
      <c r="J207" s="79">
        <f t="shared" si="30"/>
        <v>2400000</v>
      </c>
      <c r="K207" s="64">
        <f t="shared" si="31"/>
        <v>3456000</v>
      </c>
      <c r="L207" s="64">
        <f t="shared" si="32"/>
        <v>3750000</v>
      </c>
      <c r="M207">
        <f>IF(COUNTIF(InputOutputData!K$20,"Chlorine"),L207+H207,L207+J207+H207)</f>
        <v>7490548.2606073665</v>
      </c>
      <c r="N207">
        <f t="shared" si="37"/>
        <v>0.53503916147195474</v>
      </c>
      <c r="O207" t="str">
        <f t="shared" si="33"/>
        <v/>
      </c>
    </row>
    <row r="208" spans="1:15" ht="14.45">
      <c r="A208" s="24">
        <f>'More accurate Energy (Solar)'!A208</f>
        <v>4</v>
      </c>
      <c r="B208" s="24">
        <f t="shared" si="34"/>
        <v>0.27777777777777779</v>
      </c>
      <c r="C208" s="13">
        <f t="shared" si="35"/>
        <v>0.4</v>
      </c>
      <c r="D208" s="12">
        <f t="shared" si="38"/>
        <v>193</v>
      </c>
      <c r="E208" s="12">
        <f t="shared" si="36"/>
        <v>10.664000000000023</v>
      </c>
      <c r="F208" s="12">
        <f t="shared" ref="F208:F271" si="39">C208*$L$2*1000</f>
        <v>134628.63669876911</v>
      </c>
      <c r="G208" s="391">
        <f t="shared" ref="G208:G271" si="40">1.2*$U$8*(EXP(B208/$L$3)-1-1.72*(B208/$L$3)^4)^($U$9)</f>
        <v>2.8606682038735863E-2</v>
      </c>
      <c r="H208" s="12">
        <f t="shared" ref="H208:H271" si="41">IF(C208 = 0,0,$L$2*C208/G208 * 1000)</f>
        <v>4706195.4447031152</v>
      </c>
      <c r="I208" s="12">
        <f t="shared" ref="I208:I271" si="42">($L$7 / $L$6) * C208</f>
        <v>2</v>
      </c>
      <c r="J208" s="79">
        <f t="shared" ref="J208:J271" si="43">$L$8 * 10^6 * I208</f>
        <v>4000000</v>
      </c>
      <c r="K208" s="64">
        <f t="shared" ref="K208:K271" si="44">$P$6 * 24 * 3600</f>
        <v>3456000</v>
      </c>
      <c r="L208" s="64">
        <f t="shared" ref="L208:L271" si="45">K208/ ($Q$4 / 100)^2</f>
        <v>3750000</v>
      </c>
      <c r="M208">
        <f>IF(COUNTIF(InputOutputData!K$20,"Chlorine"),L208+H208,L208+J208+H208)</f>
        <v>8456195.4447031152</v>
      </c>
      <c r="N208">
        <f t="shared" si="37"/>
        <v>0.60401396033593679</v>
      </c>
      <c r="O208" t="str">
        <f t="shared" ref="O208:O271" si="46">IF(E208=0,1,"")</f>
        <v/>
      </c>
    </row>
    <row r="209" spans="1:15" ht="14.45">
      <c r="A209" s="24">
        <f>'More accurate Energy (Solar)'!A209</f>
        <v>0</v>
      </c>
      <c r="B209" s="24">
        <f t="shared" ref="B209:B272" si="47">C209*100/144</f>
        <v>0</v>
      </c>
      <c r="C209" s="13">
        <f t="shared" ref="C209:C272" si="48">MIN((A209/1000)*$E$3,$E$4)</f>
        <v>0</v>
      </c>
      <c r="D209" s="12">
        <f t="shared" si="38"/>
        <v>194</v>
      </c>
      <c r="E209" s="12">
        <f t="shared" ref="E209:E272" si="49">MAX(MIN(C209 - (IF(D209 &gt; $E$8, $E$2 / 1000,0)) + E208, $E$5),0)</f>
        <v>10.232000000000022</v>
      </c>
      <c r="F209" s="12">
        <f t="shared" si="39"/>
        <v>0</v>
      </c>
      <c r="G209" s="391">
        <f t="shared" si="40"/>
        <v>0</v>
      </c>
      <c r="H209" s="12">
        <f t="shared" si="41"/>
        <v>0</v>
      </c>
      <c r="I209" s="12">
        <f t="shared" si="42"/>
        <v>0</v>
      </c>
      <c r="J209" s="79">
        <f t="shared" si="43"/>
        <v>0</v>
      </c>
      <c r="K209" s="64">
        <f t="shared" si="44"/>
        <v>3456000</v>
      </c>
      <c r="L209" s="64">
        <f t="shared" si="45"/>
        <v>3750000</v>
      </c>
      <c r="M209">
        <f>IF(COUNTIF(InputOutputData!K$20,"Chlorine"),L209+H209,L209+J209+H209)</f>
        <v>3750000</v>
      </c>
      <c r="N209">
        <f t="shared" ref="N209:N272" si="50">(M209 / (10)^6) / 40 / 0.35</f>
        <v>0.26785714285714285</v>
      </c>
      <c r="O209" t="str">
        <f t="shared" si="46"/>
        <v/>
      </c>
    </row>
    <row r="210" spans="1:15" ht="14.45">
      <c r="A210" s="24">
        <f>'More accurate Energy (Solar)'!A210</f>
        <v>0</v>
      </c>
      <c r="B210" s="24">
        <f t="shared" si="47"/>
        <v>0</v>
      </c>
      <c r="C210" s="13">
        <f t="shared" si="48"/>
        <v>0</v>
      </c>
      <c r="D210" s="12">
        <f t="shared" ref="D210:D273" si="51">D209+1</f>
        <v>195</v>
      </c>
      <c r="E210" s="12">
        <f t="shared" si="49"/>
        <v>9.800000000000022</v>
      </c>
      <c r="F210" s="12">
        <f t="shared" si="39"/>
        <v>0</v>
      </c>
      <c r="G210" s="391">
        <f t="shared" si="40"/>
        <v>0</v>
      </c>
      <c r="H210" s="12">
        <f t="shared" si="41"/>
        <v>0</v>
      </c>
      <c r="I210" s="12">
        <f t="shared" si="42"/>
        <v>0</v>
      </c>
      <c r="J210" s="79">
        <f t="shared" si="43"/>
        <v>0</v>
      </c>
      <c r="K210" s="64">
        <f t="shared" si="44"/>
        <v>3456000</v>
      </c>
      <c r="L210" s="64">
        <f t="shared" si="45"/>
        <v>3750000</v>
      </c>
      <c r="M210">
        <f>IF(COUNTIF(InputOutputData!K$20,"Chlorine"),L210+H210,L210+J210+H210)</f>
        <v>3750000</v>
      </c>
      <c r="N210">
        <f t="shared" si="50"/>
        <v>0.26785714285714285</v>
      </c>
      <c r="O210" t="str">
        <f t="shared" si="46"/>
        <v/>
      </c>
    </row>
    <row r="211" spans="1:15" ht="14.45">
      <c r="A211" s="24">
        <f>'More accurate Energy (Solar)'!A211</f>
        <v>0</v>
      </c>
      <c r="B211" s="24">
        <f t="shared" si="47"/>
        <v>0</v>
      </c>
      <c r="C211" s="13">
        <f t="shared" si="48"/>
        <v>0</v>
      </c>
      <c r="D211" s="12">
        <f t="shared" si="51"/>
        <v>196</v>
      </c>
      <c r="E211" s="12">
        <f t="shared" si="49"/>
        <v>9.3680000000000216</v>
      </c>
      <c r="F211" s="12">
        <f t="shared" si="39"/>
        <v>0</v>
      </c>
      <c r="G211" s="391">
        <f t="shared" si="40"/>
        <v>0</v>
      </c>
      <c r="H211" s="12">
        <f t="shared" si="41"/>
        <v>0</v>
      </c>
      <c r="I211" s="12">
        <f t="shared" si="42"/>
        <v>0</v>
      </c>
      <c r="J211" s="79">
        <f t="shared" si="43"/>
        <v>0</v>
      </c>
      <c r="K211" s="64">
        <f t="shared" si="44"/>
        <v>3456000</v>
      </c>
      <c r="L211" s="64">
        <f t="shared" si="45"/>
        <v>3750000</v>
      </c>
      <c r="M211">
        <f>IF(COUNTIF(InputOutputData!K$20,"Chlorine"),L211+H211,L211+J211+H211)</f>
        <v>3750000</v>
      </c>
      <c r="N211">
        <f t="shared" si="50"/>
        <v>0.26785714285714285</v>
      </c>
      <c r="O211" t="str">
        <f t="shared" si="46"/>
        <v/>
      </c>
    </row>
    <row r="212" spans="1:15" ht="14.45">
      <c r="A212" s="24">
        <f>'More accurate Energy (Solar)'!A212</f>
        <v>0</v>
      </c>
      <c r="B212" s="24">
        <f t="shared" si="47"/>
        <v>0</v>
      </c>
      <c r="C212" s="13">
        <f t="shared" si="48"/>
        <v>0</v>
      </c>
      <c r="D212" s="12">
        <f t="shared" si="51"/>
        <v>197</v>
      </c>
      <c r="E212" s="12">
        <f t="shared" si="49"/>
        <v>8.9360000000000213</v>
      </c>
      <c r="F212" s="12">
        <f t="shared" si="39"/>
        <v>0</v>
      </c>
      <c r="G212" s="391">
        <f t="shared" si="40"/>
        <v>0</v>
      </c>
      <c r="H212" s="12">
        <f t="shared" si="41"/>
        <v>0</v>
      </c>
      <c r="I212" s="12">
        <f t="shared" si="42"/>
        <v>0</v>
      </c>
      <c r="J212" s="79">
        <f t="shared" si="43"/>
        <v>0</v>
      </c>
      <c r="K212" s="64">
        <f t="shared" si="44"/>
        <v>3456000</v>
      </c>
      <c r="L212" s="64">
        <f t="shared" si="45"/>
        <v>3750000</v>
      </c>
      <c r="M212">
        <f>IF(COUNTIF(InputOutputData!K$20,"Chlorine"),L212+H212,L212+J212+H212)</f>
        <v>3750000</v>
      </c>
      <c r="N212">
        <f t="shared" si="50"/>
        <v>0.26785714285714285</v>
      </c>
      <c r="O212" t="str">
        <f t="shared" si="46"/>
        <v/>
      </c>
    </row>
    <row r="213" spans="1:15" ht="14.45">
      <c r="A213" s="24">
        <f>'More accurate Energy (Solar)'!A213</f>
        <v>0</v>
      </c>
      <c r="B213" s="24">
        <f t="shared" si="47"/>
        <v>0</v>
      </c>
      <c r="C213" s="13">
        <f t="shared" si="48"/>
        <v>0</v>
      </c>
      <c r="D213" s="12">
        <f t="shared" si="51"/>
        <v>198</v>
      </c>
      <c r="E213" s="12">
        <f t="shared" si="49"/>
        <v>8.5040000000000209</v>
      </c>
      <c r="F213" s="12">
        <f t="shared" si="39"/>
        <v>0</v>
      </c>
      <c r="G213" s="391">
        <f t="shared" si="40"/>
        <v>0</v>
      </c>
      <c r="H213" s="12">
        <f t="shared" si="41"/>
        <v>0</v>
      </c>
      <c r="I213" s="12">
        <f t="shared" si="42"/>
        <v>0</v>
      </c>
      <c r="J213" s="79">
        <f t="shared" si="43"/>
        <v>0</v>
      </c>
      <c r="K213" s="64">
        <f t="shared" si="44"/>
        <v>3456000</v>
      </c>
      <c r="L213" s="64">
        <f t="shared" si="45"/>
        <v>3750000</v>
      </c>
      <c r="M213">
        <f>IF(COUNTIF(InputOutputData!K$20,"Chlorine"),L213+H213,L213+J213+H213)</f>
        <v>3750000</v>
      </c>
      <c r="N213">
        <f t="shared" si="50"/>
        <v>0.26785714285714285</v>
      </c>
      <c r="O213" t="str">
        <f t="shared" si="46"/>
        <v/>
      </c>
    </row>
    <row r="214" spans="1:15" ht="14.45">
      <c r="A214" s="24">
        <f>'More accurate Energy (Solar)'!A214</f>
        <v>0</v>
      </c>
      <c r="B214" s="24">
        <f t="shared" si="47"/>
        <v>0</v>
      </c>
      <c r="C214" s="13">
        <f t="shared" si="48"/>
        <v>0</v>
      </c>
      <c r="D214" s="12">
        <f t="shared" si="51"/>
        <v>199</v>
      </c>
      <c r="E214" s="12">
        <f t="shared" si="49"/>
        <v>8.0720000000000205</v>
      </c>
      <c r="F214" s="12">
        <f t="shared" si="39"/>
        <v>0</v>
      </c>
      <c r="G214" s="391">
        <f t="shared" si="40"/>
        <v>0</v>
      </c>
      <c r="H214" s="12">
        <f t="shared" si="41"/>
        <v>0</v>
      </c>
      <c r="I214" s="12">
        <f t="shared" si="42"/>
        <v>0</v>
      </c>
      <c r="J214" s="79">
        <f t="shared" si="43"/>
        <v>0</v>
      </c>
      <c r="K214" s="64">
        <f t="shared" si="44"/>
        <v>3456000</v>
      </c>
      <c r="L214" s="64">
        <f t="shared" si="45"/>
        <v>3750000</v>
      </c>
      <c r="M214">
        <f>IF(COUNTIF(InputOutputData!K$20,"Chlorine"),L214+H214,L214+J214+H214)</f>
        <v>3750000</v>
      </c>
      <c r="N214">
        <f t="shared" si="50"/>
        <v>0.26785714285714285</v>
      </c>
      <c r="O214" t="str">
        <f t="shared" si="46"/>
        <v/>
      </c>
    </row>
    <row r="215" spans="1:15" ht="14.45">
      <c r="A215" s="24">
        <f>'More accurate Energy (Solar)'!A215</f>
        <v>0</v>
      </c>
      <c r="B215" s="24">
        <f t="shared" si="47"/>
        <v>0</v>
      </c>
      <c r="C215" s="13">
        <f t="shared" si="48"/>
        <v>0</v>
      </c>
      <c r="D215" s="12">
        <f t="shared" si="51"/>
        <v>200</v>
      </c>
      <c r="E215" s="12">
        <f t="shared" si="49"/>
        <v>7.6400000000000201</v>
      </c>
      <c r="F215" s="12">
        <f t="shared" si="39"/>
        <v>0</v>
      </c>
      <c r="G215" s="391">
        <f t="shared" si="40"/>
        <v>0</v>
      </c>
      <c r="H215" s="12">
        <f t="shared" si="41"/>
        <v>0</v>
      </c>
      <c r="I215" s="12">
        <f t="shared" si="42"/>
        <v>0</v>
      </c>
      <c r="J215" s="79">
        <f t="shared" si="43"/>
        <v>0</v>
      </c>
      <c r="K215" s="64">
        <f t="shared" si="44"/>
        <v>3456000</v>
      </c>
      <c r="L215" s="64">
        <f t="shared" si="45"/>
        <v>3750000</v>
      </c>
      <c r="M215">
        <f>IF(COUNTIF(InputOutputData!K$20,"Chlorine"),L215+H215,L215+J215+H215)</f>
        <v>3750000</v>
      </c>
      <c r="N215">
        <f t="shared" si="50"/>
        <v>0.26785714285714285</v>
      </c>
      <c r="O215" t="str">
        <f t="shared" si="46"/>
        <v/>
      </c>
    </row>
    <row r="216" spans="1:15" ht="14.45">
      <c r="A216" s="24">
        <f>'More accurate Energy (Solar)'!A216</f>
        <v>0.6</v>
      </c>
      <c r="B216" s="24">
        <f t="shared" si="47"/>
        <v>4.1666666666666664E-2</v>
      </c>
      <c r="C216" s="13">
        <f t="shared" si="48"/>
        <v>0.06</v>
      </c>
      <c r="D216" s="12">
        <f t="shared" si="51"/>
        <v>201</v>
      </c>
      <c r="E216" s="12">
        <f t="shared" si="49"/>
        <v>7.2680000000000202</v>
      </c>
      <c r="F216" s="12">
        <f t="shared" si="39"/>
        <v>20194.295504815367</v>
      </c>
      <c r="G216" s="391">
        <f t="shared" si="40"/>
        <v>1.0071891960946849E-2</v>
      </c>
      <c r="H216" s="12">
        <f t="shared" si="41"/>
        <v>2005015.1037280308</v>
      </c>
      <c r="I216" s="12">
        <f t="shared" si="42"/>
        <v>0.3</v>
      </c>
      <c r="J216" s="79">
        <f t="shared" si="43"/>
        <v>600000</v>
      </c>
      <c r="K216" s="64">
        <f t="shared" si="44"/>
        <v>3456000</v>
      </c>
      <c r="L216" s="64">
        <f t="shared" si="45"/>
        <v>3750000</v>
      </c>
      <c r="M216">
        <f>IF(COUNTIF(InputOutputData!K$20,"Chlorine"),L216+H216,L216+J216+H216)</f>
        <v>5755015.1037280308</v>
      </c>
      <c r="N216">
        <f t="shared" si="50"/>
        <v>0.41107250740914508</v>
      </c>
      <c r="O216" t="str">
        <f t="shared" si="46"/>
        <v/>
      </c>
    </row>
    <row r="217" spans="1:15" ht="14.45">
      <c r="A217" s="24">
        <f>'More accurate Energy (Solar)'!A217</f>
        <v>0</v>
      </c>
      <c r="B217" s="24">
        <f t="shared" si="47"/>
        <v>0</v>
      </c>
      <c r="C217" s="13">
        <f t="shared" si="48"/>
        <v>0</v>
      </c>
      <c r="D217" s="12">
        <f t="shared" si="51"/>
        <v>202</v>
      </c>
      <c r="E217" s="12">
        <f t="shared" si="49"/>
        <v>6.8360000000000198</v>
      </c>
      <c r="F217" s="12">
        <f t="shared" si="39"/>
        <v>0</v>
      </c>
      <c r="G217" s="391">
        <f t="shared" si="40"/>
        <v>0</v>
      </c>
      <c r="H217" s="12">
        <f t="shared" si="41"/>
        <v>0</v>
      </c>
      <c r="I217" s="12">
        <f t="shared" si="42"/>
        <v>0</v>
      </c>
      <c r="J217" s="79">
        <f t="shared" si="43"/>
        <v>0</v>
      </c>
      <c r="K217" s="64">
        <f t="shared" si="44"/>
        <v>3456000</v>
      </c>
      <c r="L217" s="64">
        <f t="shared" si="45"/>
        <v>3750000</v>
      </c>
      <c r="M217">
        <f>IF(COUNTIF(InputOutputData!K$20,"Chlorine"),L217+H217,L217+J217+H217)</f>
        <v>3750000</v>
      </c>
      <c r="N217">
        <f t="shared" si="50"/>
        <v>0.26785714285714285</v>
      </c>
      <c r="O217" t="str">
        <f t="shared" si="46"/>
        <v/>
      </c>
    </row>
    <row r="218" spans="1:15" ht="14.45">
      <c r="A218" s="24">
        <f>'More accurate Energy (Solar)'!A218</f>
        <v>0</v>
      </c>
      <c r="B218" s="24">
        <f t="shared" si="47"/>
        <v>0</v>
      </c>
      <c r="C218" s="13">
        <f t="shared" si="48"/>
        <v>0</v>
      </c>
      <c r="D218" s="12">
        <f t="shared" si="51"/>
        <v>203</v>
      </c>
      <c r="E218" s="12">
        <f t="shared" si="49"/>
        <v>6.4040000000000195</v>
      </c>
      <c r="F218" s="12">
        <f t="shared" si="39"/>
        <v>0</v>
      </c>
      <c r="G218" s="391">
        <f t="shared" si="40"/>
        <v>0</v>
      </c>
      <c r="H218" s="12">
        <f t="shared" si="41"/>
        <v>0</v>
      </c>
      <c r="I218" s="12">
        <f t="shared" si="42"/>
        <v>0</v>
      </c>
      <c r="J218" s="79">
        <f t="shared" si="43"/>
        <v>0</v>
      </c>
      <c r="K218" s="64">
        <f t="shared" si="44"/>
        <v>3456000</v>
      </c>
      <c r="L218" s="64">
        <f t="shared" si="45"/>
        <v>3750000</v>
      </c>
      <c r="M218">
        <f>IF(COUNTIF(InputOutputData!K$20,"Chlorine"),L218+H218,L218+J218+H218)</f>
        <v>3750000</v>
      </c>
      <c r="N218">
        <f t="shared" si="50"/>
        <v>0.26785714285714285</v>
      </c>
      <c r="O218" t="str">
        <f t="shared" si="46"/>
        <v/>
      </c>
    </row>
    <row r="219" spans="1:15" ht="14.45">
      <c r="A219" s="24">
        <f>'More accurate Energy (Solar)'!A219</f>
        <v>8.4</v>
      </c>
      <c r="B219" s="24">
        <f t="shared" si="47"/>
        <v>0.58333333333333348</v>
      </c>
      <c r="C219" s="13">
        <f t="shared" si="48"/>
        <v>0.84000000000000008</v>
      </c>
      <c r="D219" s="12">
        <f t="shared" si="51"/>
        <v>204</v>
      </c>
      <c r="E219" s="12">
        <f t="shared" si="49"/>
        <v>6.8120000000000198</v>
      </c>
      <c r="F219" s="12">
        <f t="shared" si="39"/>
        <v>282720.13706741517</v>
      </c>
      <c r="G219" s="391">
        <f t="shared" si="40"/>
        <v>4.3048255778827801E-2</v>
      </c>
      <c r="H219" s="12">
        <f t="shared" si="41"/>
        <v>6567516.6613013847</v>
      </c>
      <c r="I219" s="12">
        <f t="shared" si="42"/>
        <v>4.2</v>
      </c>
      <c r="J219" s="79">
        <f t="shared" si="43"/>
        <v>8400000</v>
      </c>
      <c r="K219" s="64">
        <f t="shared" si="44"/>
        <v>3456000</v>
      </c>
      <c r="L219" s="64">
        <f t="shared" si="45"/>
        <v>3750000</v>
      </c>
      <c r="M219">
        <f>IF(COUNTIF(InputOutputData!K$20,"Chlorine"),L219+H219,L219+J219+H219)</f>
        <v>10317516.661301386</v>
      </c>
      <c r="N219">
        <f t="shared" si="50"/>
        <v>0.73696547580724192</v>
      </c>
      <c r="O219" t="str">
        <f t="shared" si="46"/>
        <v/>
      </c>
    </row>
    <row r="220" spans="1:15" ht="14.45">
      <c r="A220" s="24">
        <f>'More accurate Energy (Solar)'!A220</f>
        <v>4</v>
      </c>
      <c r="B220" s="24">
        <f t="shared" si="47"/>
        <v>0.27777777777777779</v>
      </c>
      <c r="C220" s="13">
        <f t="shared" si="48"/>
        <v>0.4</v>
      </c>
      <c r="D220" s="12">
        <f t="shared" si="51"/>
        <v>205</v>
      </c>
      <c r="E220" s="12">
        <f t="shared" si="49"/>
        <v>6.7800000000000198</v>
      </c>
      <c r="F220" s="12">
        <f t="shared" si="39"/>
        <v>134628.63669876911</v>
      </c>
      <c r="G220" s="391">
        <f t="shared" si="40"/>
        <v>2.8606682038735863E-2</v>
      </c>
      <c r="H220" s="12">
        <f t="shared" si="41"/>
        <v>4706195.4447031152</v>
      </c>
      <c r="I220" s="12">
        <f t="shared" si="42"/>
        <v>2</v>
      </c>
      <c r="J220" s="79">
        <f t="shared" si="43"/>
        <v>4000000</v>
      </c>
      <c r="K220" s="64">
        <f t="shared" si="44"/>
        <v>3456000</v>
      </c>
      <c r="L220" s="64">
        <f t="shared" si="45"/>
        <v>3750000</v>
      </c>
      <c r="M220">
        <f>IF(COUNTIF(InputOutputData!K$20,"Chlorine"),L220+H220,L220+J220+H220)</f>
        <v>8456195.4447031152</v>
      </c>
      <c r="N220">
        <f t="shared" si="50"/>
        <v>0.60401396033593679</v>
      </c>
      <c r="O220" t="str">
        <f t="shared" si="46"/>
        <v/>
      </c>
    </row>
    <row r="221" spans="1:15" ht="14.45">
      <c r="A221" s="24">
        <f>'More accurate Energy (Solar)'!A221</f>
        <v>4.2</v>
      </c>
      <c r="B221" s="24">
        <f t="shared" si="47"/>
        <v>0.29166666666666674</v>
      </c>
      <c r="C221" s="13">
        <f t="shared" si="48"/>
        <v>0.42000000000000004</v>
      </c>
      <c r="D221" s="12">
        <f t="shared" si="51"/>
        <v>206</v>
      </c>
      <c r="E221" s="12">
        <f t="shared" si="49"/>
        <v>6.7680000000000202</v>
      </c>
      <c r="F221" s="12">
        <f t="shared" si="39"/>
        <v>141360.06853370758</v>
      </c>
      <c r="G221" s="391">
        <f t="shared" si="40"/>
        <v>2.938554563262399E-2</v>
      </c>
      <c r="H221" s="12">
        <f t="shared" si="41"/>
        <v>4810530.6704521049</v>
      </c>
      <c r="I221" s="12">
        <f t="shared" si="42"/>
        <v>2.1</v>
      </c>
      <c r="J221" s="79">
        <f t="shared" si="43"/>
        <v>4200000</v>
      </c>
      <c r="K221" s="64">
        <f t="shared" si="44"/>
        <v>3456000</v>
      </c>
      <c r="L221" s="64">
        <f t="shared" si="45"/>
        <v>3750000</v>
      </c>
      <c r="M221">
        <f>IF(COUNTIF(InputOutputData!K$20,"Chlorine"),L221+H221,L221+J221+H221)</f>
        <v>8560530.6704521049</v>
      </c>
      <c r="N221">
        <f t="shared" si="50"/>
        <v>0.61146647646086461</v>
      </c>
      <c r="O221" t="str">
        <f t="shared" si="46"/>
        <v/>
      </c>
    </row>
    <row r="222" spans="1:15" ht="14.45">
      <c r="A222" s="24">
        <f>'More accurate Energy (Solar)'!A222</f>
        <v>0</v>
      </c>
      <c r="B222" s="24">
        <f t="shared" si="47"/>
        <v>0</v>
      </c>
      <c r="C222" s="13">
        <f t="shared" si="48"/>
        <v>0</v>
      </c>
      <c r="D222" s="12">
        <f t="shared" si="51"/>
        <v>207</v>
      </c>
      <c r="E222" s="12">
        <f t="shared" si="49"/>
        <v>6.3360000000000198</v>
      </c>
      <c r="F222" s="12">
        <f t="shared" si="39"/>
        <v>0</v>
      </c>
      <c r="G222" s="391">
        <f t="shared" si="40"/>
        <v>0</v>
      </c>
      <c r="H222" s="12">
        <f t="shared" si="41"/>
        <v>0</v>
      </c>
      <c r="I222" s="12">
        <f t="shared" si="42"/>
        <v>0</v>
      </c>
      <c r="J222" s="79">
        <f t="shared" si="43"/>
        <v>0</v>
      </c>
      <c r="K222" s="64">
        <f t="shared" si="44"/>
        <v>3456000</v>
      </c>
      <c r="L222" s="64">
        <f t="shared" si="45"/>
        <v>3750000</v>
      </c>
      <c r="M222">
        <f>IF(COUNTIF(InputOutputData!K$20,"Chlorine"),L222+H222,L222+J222+H222)</f>
        <v>3750000</v>
      </c>
      <c r="N222">
        <f t="shared" si="50"/>
        <v>0.26785714285714285</v>
      </c>
      <c r="O222" t="str">
        <f t="shared" si="46"/>
        <v/>
      </c>
    </row>
    <row r="223" spans="1:15" ht="14.45">
      <c r="A223" s="24">
        <f>'More accurate Energy (Solar)'!A223</f>
        <v>0</v>
      </c>
      <c r="B223" s="24">
        <f t="shared" si="47"/>
        <v>0</v>
      </c>
      <c r="C223" s="13">
        <f t="shared" si="48"/>
        <v>0</v>
      </c>
      <c r="D223" s="12">
        <f t="shared" si="51"/>
        <v>208</v>
      </c>
      <c r="E223" s="12">
        <f t="shared" si="49"/>
        <v>5.9040000000000195</v>
      </c>
      <c r="F223" s="12">
        <f t="shared" si="39"/>
        <v>0</v>
      </c>
      <c r="G223" s="391">
        <f t="shared" si="40"/>
        <v>0</v>
      </c>
      <c r="H223" s="12">
        <f t="shared" si="41"/>
        <v>0</v>
      </c>
      <c r="I223" s="12">
        <f t="shared" si="42"/>
        <v>0</v>
      </c>
      <c r="J223" s="79">
        <f t="shared" si="43"/>
        <v>0</v>
      </c>
      <c r="K223" s="64">
        <f t="shared" si="44"/>
        <v>3456000</v>
      </c>
      <c r="L223" s="64">
        <f t="shared" si="45"/>
        <v>3750000</v>
      </c>
      <c r="M223">
        <f>IF(COUNTIF(InputOutputData!K$20,"Chlorine"),L223+H223,L223+J223+H223)</f>
        <v>3750000</v>
      </c>
      <c r="N223">
        <f t="shared" si="50"/>
        <v>0.26785714285714285</v>
      </c>
      <c r="O223" t="str">
        <f t="shared" si="46"/>
        <v/>
      </c>
    </row>
    <row r="224" spans="1:15" ht="14.45">
      <c r="A224" s="24">
        <f>'More accurate Energy (Solar)'!A224</f>
        <v>0</v>
      </c>
      <c r="B224" s="24">
        <f t="shared" si="47"/>
        <v>0</v>
      </c>
      <c r="C224" s="13">
        <f t="shared" si="48"/>
        <v>0</v>
      </c>
      <c r="D224" s="12">
        <f t="shared" si="51"/>
        <v>209</v>
      </c>
      <c r="E224" s="12">
        <f t="shared" si="49"/>
        <v>5.4720000000000191</v>
      </c>
      <c r="F224" s="12">
        <f t="shared" si="39"/>
        <v>0</v>
      </c>
      <c r="G224" s="391">
        <f t="shared" si="40"/>
        <v>0</v>
      </c>
      <c r="H224" s="12">
        <f t="shared" si="41"/>
        <v>0</v>
      </c>
      <c r="I224" s="12">
        <f t="shared" si="42"/>
        <v>0</v>
      </c>
      <c r="J224" s="79">
        <f t="shared" si="43"/>
        <v>0</v>
      </c>
      <c r="K224" s="64">
        <f t="shared" si="44"/>
        <v>3456000</v>
      </c>
      <c r="L224" s="64">
        <f t="shared" si="45"/>
        <v>3750000</v>
      </c>
      <c r="M224">
        <f>IF(COUNTIF(InputOutputData!K$20,"Chlorine"),L224+H224,L224+J224+H224)</f>
        <v>3750000</v>
      </c>
      <c r="N224">
        <f t="shared" si="50"/>
        <v>0.26785714285714285</v>
      </c>
      <c r="O224" t="str">
        <f t="shared" si="46"/>
        <v/>
      </c>
    </row>
    <row r="225" spans="1:15" ht="14.45">
      <c r="A225" s="24">
        <f>'More accurate Energy (Solar)'!A225</f>
        <v>0</v>
      </c>
      <c r="B225" s="24">
        <f t="shared" si="47"/>
        <v>0</v>
      </c>
      <c r="C225" s="13">
        <f t="shared" si="48"/>
        <v>0</v>
      </c>
      <c r="D225" s="12">
        <f t="shared" si="51"/>
        <v>210</v>
      </c>
      <c r="E225" s="12">
        <f t="shared" si="49"/>
        <v>5.0400000000000187</v>
      </c>
      <c r="F225" s="12">
        <f t="shared" si="39"/>
        <v>0</v>
      </c>
      <c r="G225" s="391">
        <f t="shared" si="40"/>
        <v>0</v>
      </c>
      <c r="H225" s="12">
        <f t="shared" si="41"/>
        <v>0</v>
      </c>
      <c r="I225" s="12">
        <f t="shared" si="42"/>
        <v>0</v>
      </c>
      <c r="J225" s="79">
        <f t="shared" si="43"/>
        <v>0</v>
      </c>
      <c r="K225" s="64">
        <f t="shared" si="44"/>
        <v>3456000</v>
      </c>
      <c r="L225" s="64">
        <f t="shared" si="45"/>
        <v>3750000</v>
      </c>
      <c r="M225">
        <f>IF(COUNTIF(InputOutputData!K$20,"Chlorine"),L225+H225,L225+J225+H225)</f>
        <v>3750000</v>
      </c>
      <c r="N225">
        <f t="shared" si="50"/>
        <v>0.26785714285714285</v>
      </c>
      <c r="O225" t="str">
        <f t="shared" si="46"/>
        <v/>
      </c>
    </row>
    <row r="226" spans="1:15" ht="14.45">
      <c r="A226" s="24">
        <f>'More accurate Energy (Solar)'!A226</f>
        <v>0</v>
      </c>
      <c r="B226" s="24">
        <f t="shared" si="47"/>
        <v>0</v>
      </c>
      <c r="C226" s="13">
        <f t="shared" si="48"/>
        <v>0</v>
      </c>
      <c r="D226" s="12">
        <f t="shared" si="51"/>
        <v>211</v>
      </c>
      <c r="E226" s="12">
        <f t="shared" si="49"/>
        <v>4.6080000000000183</v>
      </c>
      <c r="F226" s="12">
        <f t="shared" si="39"/>
        <v>0</v>
      </c>
      <c r="G226" s="391">
        <f t="shared" si="40"/>
        <v>0</v>
      </c>
      <c r="H226" s="12">
        <f t="shared" si="41"/>
        <v>0</v>
      </c>
      <c r="I226" s="12">
        <f t="shared" si="42"/>
        <v>0</v>
      </c>
      <c r="J226" s="79">
        <f t="shared" si="43"/>
        <v>0</v>
      </c>
      <c r="K226" s="64">
        <f t="shared" si="44"/>
        <v>3456000</v>
      </c>
      <c r="L226" s="64">
        <f t="shared" si="45"/>
        <v>3750000</v>
      </c>
      <c r="M226">
        <f>IF(COUNTIF(InputOutputData!K$20,"Chlorine"),L226+H226,L226+J226+H226)</f>
        <v>3750000</v>
      </c>
      <c r="N226">
        <f t="shared" si="50"/>
        <v>0.26785714285714285</v>
      </c>
      <c r="O226" t="str">
        <f t="shared" si="46"/>
        <v/>
      </c>
    </row>
    <row r="227" spans="1:15" ht="14.45">
      <c r="A227" s="24">
        <f>'More accurate Energy (Solar)'!A227</f>
        <v>0</v>
      </c>
      <c r="B227" s="24">
        <f t="shared" si="47"/>
        <v>0</v>
      </c>
      <c r="C227" s="13">
        <f t="shared" si="48"/>
        <v>0</v>
      </c>
      <c r="D227" s="12">
        <f t="shared" si="51"/>
        <v>212</v>
      </c>
      <c r="E227" s="12">
        <f t="shared" si="49"/>
        <v>4.1760000000000179</v>
      </c>
      <c r="F227" s="12">
        <f t="shared" si="39"/>
        <v>0</v>
      </c>
      <c r="G227" s="391">
        <f t="shared" si="40"/>
        <v>0</v>
      </c>
      <c r="H227" s="12">
        <f t="shared" si="41"/>
        <v>0</v>
      </c>
      <c r="I227" s="12">
        <f t="shared" si="42"/>
        <v>0</v>
      </c>
      <c r="J227" s="79">
        <f t="shared" si="43"/>
        <v>0</v>
      </c>
      <c r="K227" s="64">
        <f t="shared" si="44"/>
        <v>3456000</v>
      </c>
      <c r="L227" s="64">
        <f t="shared" si="45"/>
        <v>3750000</v>
      </c>
      <c r="M227">
        <f>IF(COUNTIF(InputOutputData!K$20,"Chlorine"),L227+H227,L227+J227+H227)</f>
        <v>3750000</v>
      </c>
      <c r="N227">
        <f t="shared" si="50"/>
        <v>0.26785714285714285</v>
      </c>
      <c r="O227" t="str">
        <f t="shared" si="46"/>
        <v/>
      </c>
    </row>
    <row r="228" spans="1:15" ht="14.45">
      <c r="A228" s="24">
        <f>'More accurate Energy (Solar)'!A228</f>
        <v>0</v>
      </c>
      <c r="B228" s="24">
        <f t="shared" si="47"/>
        <v>0</v>
      </c>
      <c r="C228" s="13">
        <f t="shared" si="48"/>
        <v>0</v>
      </c>
      <c r="D228" s="12">
        <f t="shared" si="51"/>
        <v>213</v>
      </c>
      <c r="E228" s="12">
        <f t="shared" si="49"/>
        <v>3.744000000000018</v>
      </c>
      <c r="F228" s="12">
        <f t="shared" si="39"/>
        <v>0</v>
      </c>
      <c r="G228" s="391">
        <f t="shared" si="40"/>
        <v>0</v>
      </c>
      <c r="H228" s="12">
        <f t="shared" si="41"/>
        <v>0</v>
      </c>
      <c r="I228" s="12">
        <f t="shared" si="42"/>
        <v>0</v>
      </c>
      <c r="J228" s="79">
        <f t="shared" si="43"/>
        <v>0</v>
      </c>
      <c r="K228" s="64">
        <f t="shared" si="44"/>
        <v>3456000</v>
      </c>
      <c r="L228" s="64">
        <f t="shared" si="45"/>
        <v>3750000</v>
      </c>
      <c r="M228">
        <f>IF(COUNTIF(InputOutputData!K$20,"Chlorine"),L228+H228,L228+J228+H228)</f>
        <v>3750000</v>
      </c>
      <c r="N228">
        <f t="shared" si="50"/>
        <v>0.26785714285714285</v>
      </c>
      <c r="O228" t="str">
        <f t="shared" si="46"/>
        <v/>
      </c>
    </row>
    <row r="229" spans="1:15" ht="14.45">
      <c r="A229" s="24">
        <f>'More accurate Energy (Solar)'!A229</f>
        <v>0</v>
      </c>
      <c r="B229" s="24">
        <f t="shared" si="47"/>
        <v>0</v>
      </c>
      <c r="C229" s="13">
        <f t="shared" si="48"/>
        <v>0</v>
      </c>
      <c r="D229" s="12">
        <f t="shared" si="51"/>
        <v>214</v>
      </c>
      <c r="E229" s="12">
        <f t="shared" si="49"/>
        <v>3.312000000000018</v>
      </c>
      <c r="F229" s="12">
        <f t="shared" si="39"/>
        <v>0</v>
      </c>
      <c r="G229" s="391">
        <f t="shared" si="40"/>
        <v>0</v>
      </c>
      <c r="H229" s="12">
        <f t="shared" si="41"/>
        <v>0</v>
      </c>
      <c r="I229" s="12">
        <f t="shared" si="42"/>
        <v>0</v>
      </c>
      <c r="J229" s="79">
        <f t="shared" si="43"/>
        <v>0</v>
      </c>
      <c r="K229" s="64">
        <f t="shared" si="44"/>
        <v>3456000</v>
      </c>
      <c r="L229" s="64">
        <f t="shared" si="45"/>
        <v>3750000</v>
      </c>
      <c r="M229">
        <f>IF(COUNTIF(InputOutputData!K$20,"Chlorine"),L229+H229,L229+J229+H229)</f>
        <v>3750000</v>
      </c>
      <c r="N229">
        <f t="shared" si="50"/>
        <v>0.26785714285714285</v>
      </c>
      <c r="O229" t="str">
        <f t="shared" si="46"/>
        <v/>
      </c>
    </row>
    <row r="230" spans="1:15" ht="14.45">
      <c r="A230" s="24">
        <f>'More accurate Energy (Solar)'!A230</f>
        <v>0</v>
      </c>
      <c r="B230" s="24">
        <f t="shared" si="47"/>
        <v>0</v>
      </c>
      <c r="C230" s="13">
        <f t="shared" si="48"/>
        <v>0</v>
      </c>
      <c r="D230" s="12">
        <f t="shared" si="51"/>
        <v>215</v>
      </c>
      <c r="E230" s="12">
        <f t="shared" si="49"/>
        <v>2.8800000000000181</v>
      </c>
      <c r="F230" s="12">
        <f t="shared" si="39"/>
        <v>0</v>
      </c>
      <c r="G230" s="391">
        <f t="shared" si="40"/>
        <v>0</v>
      </c>
      <c r="H230" s="12">
        <f t="shared" si="41"/>
        <v>0</v>
      </c>
      <c r="I230" s="12">
        <f t="shared" si="42"/>
        <v>0</v>
      </c>
      <c r="J230" s="79">
        <f t="shared" si="43"/>
        <v>0</v>
      </c>
      <c r="K230" s="64">
        <f t="shared" si="44"/>
        <v>3456000</v>
      </c>
      <c r="L230" s="64">
        <f t="shared" si="45"/>
        <v>3750000</v>
      </c>
      <c r="M230">
        <f>IF(COUNTIF(InputOutputData!K$20,"Chlorine"),L230+H230,L230+J230+H230)</f>
        <v>3750000</v>
      </c>
      <c r="N230">
        <f t="shared" si="50"/>
        <v>0.26785714285714285</v>
      </c>
      <c r="O230" t="str">
        <f t="shared" si="46"/>
        <v/>
      </c>
    </row>
    <row r="231" spans="1:15" ht="14.45">
      <c r="A231" s="24">
        <f>'More accurate Energy (Solar)'!A231</f>
        <v>0</v>
      </c>
      <c r="B231" s="24">
        <f t="shared" si="47"/>
        <v>0</v>
      </c>
      <c r="C231" s="13">
        <f t="shared" si="48"/>
        <v>0</v>
      </c>
      <c r="D231" s="12">
        <f t="shared" si="51"/>
        <v>216</v>
      </c>
      <c r="E231" s="12">
        <f t="shared" si="49"/>
        <v>2.4480000000000182</v>
      </c>
      <c r="F231" s="12">
        <f t="shared" si="39"/>
        <v>0</v>
      </c>
      <c r="G231" s="391">
        <f t="shared" si="40"/>
        <v>0</v>
      </c>
      <c r="H231" s="12">
        <f t="shared" si="41"/>
        <v>0</v>
      </c>
      <c r="I231" s="12">
        <f t="shared" si="42"/>
        <v>0</v>
      </c>
      <c r="J231" s="79">
        <f t="shared" si="43"/>
        <v>0</v>
      </c>
      <c r="K231" s="64">
        <f t="shared" si="44"/>
        <v>3456000</v>
      </c>
      <c r="L231" s="64">
        <f t="shared" si="45"/>
        <v>3750000</v>
      </c>
      <c r="M231">
        <f>IF(COUNTIF(InputOutputData!K$20,"Chlorine"),L231+H231,L231+J231+H231)</f>
        <v>3750000</v>
      </c>
      <c r="N231">
        <f t="shared" si="50"/>
        <v>0.26785714285714285</v>
      </c>
      <c r="O231" t="str">
        <f t="shared" si="46"/>
        <v/>
      </c>
    </row>
    <row r="232" spans="1:15" ht="14.45">
      <c r="A232" s="24">
        <f>'More accurate Energy (Solar)'!A232</f>
        <v>0</v>
      </c>
      <c r="B232" s="24">
        <f t="shared" si="47"/>
        <v>0</v>
      </c>
      <c r="C232" s="13">
        <f t="shared" si="48"/>
        <v>0</v>
      </c>
      <c r="D232" s="12">
        <f t="shared" si="51"/>
        <v>217</v>
      </c>
      <c r="E232" s="12">
        <f t="shared" si="49"/>
        <v>2.0160000000000182</v>
      </c>
      <c r="F232" s="12">
        <f t="shared" si="39"/>
        <v>0</v>
      </c>
      <c r="G232" s="391">
        <f t="shared" si="40"/>
        <v>0</v>
      </c>
      <c r="H232" s="12">
        <f t="shared" si="41"/>
        <v>0</v>
      </c>
      <c r="I232" s="12">
        <f t="shared" si="42"/>
        <v>0</v>
      </c>
      <c r="J232" s="79">
        <f t="shared" si="43"/>
        <v>0</v>
      </c>
      <c r="K232" s="64">
        <f t="shared" si="44"/>
        <v>3456000</v>
      </c>
      <c r="L232" s="64">
        <f t="shared" si="45"/>
        <v>3750000</v>
      </c>
      <c r="M232">
        <f>IF(COUNTIF(InputOutputData!K$20,"Chlorine"),L232+H232,L232+J232+H232)</f>
        <v>3750000</v>
      </c>
      <c r="N232">
        <f t="shared" si="50"/>
        <v>0.26785714285714285</v>
      </c>
      <c r="O232" t="str">
        <f t="shared" si="46"/>
        <v/>
      </c>
    </row>
    <row r="233" spans="1:15" ht="14.45">
      <c r="A233" s="24">
        <f>'More accurate Energy (Solar)'!A233</f>
        <v>3.2</v>
      </c>
      <c r="B233" s="24">
        <f t="shared" si="47"/>
        <v>0.22222222222222221</v>
      </c>
      <c r="C233" s="13">
        <f t="shared" si="48"/>
        <v>0.32</v>
      </c>
      <c r="D233" s="12">
        <f t="shared" si="51"/>
        <v>218</v>
      </c>
      <c r="E233" s="12">
        <f t="shared" si="49"/>
        <v>1.9040000000000181</v>
      </c>
      <c r="F233" s="12">
        <f t="shared" si="39"/>
        <v>107702.90935901531</v>
      </c>
      <c r="G233" s="391">
        <f t="shared" si="40"/>
        <v>2.5299874105163656E-2</v>
      </c>
      <c r="H233" s="12">
        <f t="shared" si="41"/>
        <v>4257053.1739141475</v>
      </c>
      <c r="I233" s="12">
        <f t="shared" si="42"/>
        <v>1.6</v>
      </c>
      <c r="J233" s="79">
        <f t="shared" si="43"/>
        <v>3200000</v>
      </c>
      <c r="K233" s="64">
        <f t="shared" si="44"/>
        <v>3456000</v>
      </c>
      <c r="L233" s="64">
        <f t="shared" si="45"/>
        <v>3750000</v>
      </c>
      <c r="M233">
        <f>IF(COUNTIF(InputOutputData!K$20,"Chlorine"),L233+H233,L233+J233+H233)</f>
        <v>8007053.1739141475</v>
      </c>
      <c r="N233">
        <f t="shared" si="50"/>
        <v>0.57193236956529636</v>
      </c>
      <c r="O233" t="str">
        <f t="shared" si="46"/>
        <v/>
      </c>
    </row>
    <row r="234" spans="1:15" ht="14.45">
      <c r="A234" s="24">
        <f>'More accurate Energy (Solar)'!A234</f>
        <v>14.6</v>
      </c>
      <c r="B234" s="24">
        <f t="shared" si="47"/>
        <v>1.0138888888888888</v>
      </c>
      <c r="C234" s="13">
        <f t="shared" si="48"/>
        <v>1.46</v>
      </c>
      <c r="D234" s="12">
        <f t="shared" si="51"/>
        <v>219</v>
      </c>
      <c r="E234" s="12">
        <f t="shared" si="49"/>
        <v>2.9320000000000181</v>
      </c>
      <c r="F234" s="12">
        <f t="shared" si="39"/>
        <v>491394.52395050728</v>
      </c>
      <c r="G234" s="391">
        <f t="shared" si="40"/>
        <v>5.8394637929308296E-2</v>
      </c>
      <c r="H234" s="12">
        <f t="shared" si="41"/>
        <v>8415062.4333929829</v>
      </c>
      <c r="I234" s="12">
        <f t="shared" si="42"/>
        <v>7.3</v>
      </c>
      <c r="J234" s="79">
        <f t="shared" si="43"/>
        <v>14600000</v>
      </c>
      <c r="K234" s="64">
        <f t="shared" si="44"/>
        <v>3456000</v>
      </c>
      <c r="L234" s="64">
        <f t="shared" si="45"/>
        <v>3750000</v>
      </c>
      <c r="M234">
        <f>IF(COUNTIF(InputOutputData!K$20,"Chlorine"),L234+H234,L234+J234+H234)</f>
        <v>12165062.433392983</v>
      </c>
      <c r="N234">
        <f t="shared" si="50"/>
        <v>0.86893303095664176</v>
      </c>
      <c r="O234" t="str">
        <f t="shared" si="46"/>
        <v/>
      </c>
    </row>
    <row r="235" spans="1:15" ht="14.45">
      <c r="A235" s="24">
        <f>'More accurate Energy (Solar)'!A235</f>
        <v>24.4</v>
      </c>
      <c r="B235" s="24">
        <f t="shared" si="47"/>
        <v>1.0416666666666667</v>
      </c>
      <c r="C235" s="13">
        <f t="shared" si="48"/>
        <v>1.5</v>
      </c>
      <c r="D235" s="12">
        <f t="shared" si="51"/>
        <v>220</v>
      </c>
      <c r="E235" s="12">
        <f t="shared" si="49"/>
        <v>4.0000000000000178</v>
      </c>
      <c r="F235" s="12">
        <f t="shared" si="39"/>
        <v>504857.38762038422</v>
      </c>
      <c r="G235" s="391">
        <f t="shared" si="40"/>
        <v>5.9272522795741148E-2</v>
      </c>
      <c r="H235" s="12">
        <f t="shared" si="41"/>
        <v>8517561.9968154822</v>
      </c>
      <c r="I235" s="12">
        <f t="shared" si="42"/>
        <v>7.5</v>
      </c>
      <c r="J235" s="79">
        <f t="shared" si="43"/>
        <v>15000000</v>
      </c>
      <c r="K235" s="64">
        <f t="shared" si="44"/>
        <v>3456000</v>
      </c>
      <c r="L235" s="64">
        <f t="shared" si="45"/>
        <v>3750000</v>
      </c>
      <c r="M235">
        <f>IF(COUNTIF(InputOutputData!K$20,"Chlorine"),L235+H235,L235+J235+H235)</f>
        <v>12267561.996815482</v>
      </c>
      <c r="N235">
        <f t="shared" si="50"/>
        <v>0.87625442834396305</v>
      </c>
      <c r="O235" t="str">
        <f t="shared" si="46"/>
        <v/>
      </c>
    </row>
    <row r="236" spans="1:15" ht="14.45">
      <c r="A236" s="24">
        <f>'More accurate Energy (Solar)'!A236</f>
        <v>1.8</v>
      </c>
      <c r="B236" s="24">
        <f t="shared" si="47"/>
        <v>0.125</v>
      </c>
      <c r="C236" s="13">
        <f t="shared" si="48"/>
        <v>0.18</v>
      </c>
      <c r="D236" s="12">
        <f t="shared" si="51"/>
        <v>221</v>
      </c>
      <c r="E236" s="12">
        <f t="shared" si="49"/>
        <v>3.748000000000018</v>
      </c>
      <c r="F236" s="12">
        <f t="shared" si="39"/>
        <v>60582.886514446102</v>
      </c>
      <c r="G236" s="391">
        <f t="shared" si="40"/>
        <v>1.843319716624707E-2</v>
      </c>
      <c r="H236" s="12">
        <f t="shared" si="41"/>
        <v>3286618.4833838325</v>
      </c>
      <c r="I236" s="12">
        <f t="shared" si="42"/>
        <v>0.89999999999999991</v>
      </c>
      <c r="J236" s="79">
        <f t="shared" si="43"/>
        <v>1799999.9999999998</v>
      </c>
      <c r="K236" s="64">
        <f t="shared" si="44"/>
        <v>3456000</v>
      </c>
      <c r="L236" s="64">
        <f t="shared" si="45"/>
        <v>3750000</v>
      </c>
      <c r="M236">
        <f>IF(COUNTIF(InputOutputData!K$20,"Chlorine"),L236+H236,L236+J236+H236)</f>
        <v>7036618.4833838325</v>
      </c>
      <c r="N236">
        <f t="shared" si="50"/>
        <v>0.50261560595598798</v>
      </c>
      <c r="O236" t="str">
        <f t="shared" si="46"/>
        <v/>
      </c>
    </row>
    <row r="237" spans="1:15" ht="14.45">
      <c r="A237" s="24">
        <f>'More accurate Energy (Solar)'!A237</f>
        <v>0</v>
      </c>
      <c r="B237" s="24">
        <f t="shared" si="47"/>
        <v>0</v>
      </c>
      <c r="C237" s="13">
        <f t="shared" si="48"/>
        <v>0</v>
      </c>
      <c r="D237" s="12">
        <f t="shared" si="51"/>
        <v>222</v>
      </c>
      <c r="E237" s="12">
        <f t="shared" si="49"/>
        <v>3.316000000000018</v>
      </c>
      <c r="F237" s="12">
        <f t="shared" si="39"/>
        <v>0</v>
      </c>
      <c r="G237" s="391">
        <f t="shared" si="40"/>
        <v>0</v>
      </c>
      <c r="H237" s="12">
        <f t="shared" si="41"/>
        <v>0</v>
      </c>
      <c r="I237" s="12">
        <f t="shared" si="42"/>
        <v>0</v>
      </c>
      <c r="J237" s="79">
        <f t="shared" si="43"/>
        <v>0</v>
      </c>
      <c r="K237" s="64">
        <f t="shared" si="44"/>
        <v>3456000</v>
      </c>
      <c r="L237" s="64">
        <f t="shared" si="45"/>
        <v>3750000</v>
      </c>
      <c r="M237">
        <f>IF(COUNTIF(InputOutputData!K$20,"Chlorine"),L237+H237,L237+J237+H237)</f>
        <v>3750000</v>
      </c>
      <c r="N237">
        <f t="shared" si="50"/>
        <v>0.26785714285714285</v>
      </c>
      <c r="O237" t="str">
        <f t="shared" si="46"/>
        <v/>
      </c>
    </row>
    <row r="238" spans="1:15" ht="14.45">
      <c r="A238" s="24">
        <f>'More accurate Energy (Solar)'!A238</f>
        <v>0</v>
      </c>
      <c r="B238" s="24">
        <f t="shared" si="47"/>
        <v>0</v>
      </c>
      <c r="C238" s="13">
        <f t="shared" si="48"/>
        <v>0</v>
      </c>
      <c r="D238" s="12">
        <f t="shared" si="51"/>
        <v>223</v>
      </c>
      <c r="E238" s="12">
        <f t="shared" si="49"/>
        <v>2.8840000000000181</v>
      </c>
      <c r="F238" s="12">
        <f t="shared" si="39"/>
        <v>0</v>
      </c>
      <c r="G238" s="391">
        <f t="shared" si="40"/>
        <v>0</v>
      </c>
      <c r="H238" s="12">
        <f t="shared" si="41"/>
        <v>0</v>
      </c>
      <c r="I238" s="12">
        <f t="shared" si="42"/>
        <v>0</v>
      </c>
      <c r="J238" s="79">
        <f t="shared" si="43"/>
        <v>0</v>
      </c>
      <c r="K238" s="64">
        <f t="shared" si="44"/>
        <v>3456000</v>
      </c>
      <c r="L238" s="64">
        <f t="shared" si="45"/>
        <v>3750000</v>
      </c>
      <c r="M238">
        <f>IF(COUNTIF(InputOutputData!K$20,"Chlorine"),L238+H238,L238+J238+H238)</f>
        <v>3750000</v>
      </c>
      <c r="N238">
        <f t="shared" si="50"/>
        <v>0.26785714285714285</v>
      </c>
      <c r="O238" t="str">
        <f t="shared" si="46"/>
        <v/>
      </c>
    </row>
    <row r="239" spans="1:15" ht="14.45">
      <c r="A239" s="24">
        <f>'More accurate Energy (Solar)'!A239</f>
        <v>0</v>
      </c>
      <c r="B239" s="24">
        <f t="shared" si="47"/>
        <v>0</v>
      </c>
      <c r="C239" s="13">
        <f t="shared" si="48"/>
        <v>0</v>
      </c>
      <c r="D239" s="12">
        <f t="shared" si="51"/>
        <v>224</v>
      </c>
      <c r="E239" s="12">
        <f t="shared" si="49"/>
        <v>2.4520000000000182</v>
      </c>
      <c r="F239" s="12">
        <f t="shared" si="39"/>
        <v>0</v>
      </c>
      <c r="G239" s="391">
        <f t="shared" si="40"/>
        <v>0</v>
      </c>
      <c r="H239" s="12">
        <f t="shared" si="41"/>
        <v>0</v>
      </c>
      <c r="I239" s="12">
        <f t="shared" si="42"/>
        <v>0</v>
      </c>
      <c r="J239" s="79">
        <f t="shared" si="43"/>
        <v>0</v>
      </c>
      <c r="K239" s="64">
        <f t="shared" si="44"/>
        <v>3456000</v>
      </c>
      <c r="L239" s="64">
        <f t="shared" si="45"/>
        <v>3750000</v>
      </c>
      <c r="M239">
        <f>IF(COUNTIF(InputOutputData!K$20,"Chlorine"),L239+H239,L239+J239+H239)</f>
        <v>3750000</v>
      </c>
      <c r="N239">
        <f t="shared" si="50"/>
        <v>0.26785714285714285</v>
      </c>
      <c r="O239" t="str">
        <f t="shared" si="46"/>
        <v/>
      </c>
    </row>
    <row r="240" spans="1:15" ht="14.45">
      <c r="A240" s="24">
        <f>'More accurate Energy (Solar)'!A240</f>
        <v>0</v>
      </c>
      <c r="B240" s="24">
        <f t="shared" si="47"/>
        <v>0</v>
      </c>
      <c r="C240" s="13">
        <f t="shared" si="48"/>
        <v>0</v>
      </c>
      <c r="D240" s="12">
        <f t="shared" si="51"/>
        <v>225</v>
      </c>
      <c r="E240" s="12">
        <f t="shared" si="49"/>
        <v>2.0200000000000182</v>
      </c>
      <c r="F240" s="12">
        <f t="shared" si="39"/>
        <v>0</v>
      </c>
      <c r="G240" s="391">
        <f t="shared" si="40"/>
        <v>0</v>
      </c>
      <c r="H240" s="12">
        <f t="shared" si="41"/>
        <v>0</v>
      </c>
      <c r="I240" s="12">
        <f t="shared" si="42"/>
        <v>0</v>
      </c>
      <c r="J240" s="79">
        <f t="shared" si="43"/>
        <v>0</v>
      </c>
      <c r="K240" s="64">
        <f t="shared" si="44"/>
        <v>3456000</v>
      </c>
      <c r="L240" s="64">
        <f t="shared" si="45"/>
        <v>3750000</v>
      </c>
      <c r="M240">
        <f>IF(COUNTIF(InputOutputData!K$20,"Chlorine"),L240+H240,L240+J240+H240)</f>
        <v>3750000</v>
      </c>
      <c r="N240">
        <f t="shared" si="50"/>
        <v>0.26785714285714285</v>
      </c>
      <c r="O240" t="str">
        <f t="shared" si="46"/>
        <v/>
      </c>
    </row>
    <row r="241" spans="1:15" ht="14.45">
      <c r="A241" s="24">
        <f>'More accurate Energy (Solar)'!A241</f>
        <v>0</v>
      </c>
      <c r="B241" s="24">
        <f t="shared" si="47"/>
        <v>0</v>
      </c>
      <c r="C241" s="13">
        <f t="shared" si="48"/>
        <v>0</v>
      </c>
      <c r="D241" s="12">
        <f t="shared" si="51"/>
        <v>226</v>
      </c>
      <c r="E241" s="12">
        <f t="shared" si="49"/>
        <v>1.5880000000000183</v>
      </c>
      <c r="F241" s="12">
        <f t="shared" si="39"/>
        <v>0</v>
      </c>
      <c r="G241" s="391">
        <f t="shared" si="40"/>
        <v>0</v>
      </c>
      <c r="H241" s="12">
        <f t="shared" si="41"/>
        <v>0</v>
      </c>
      <c r="I241" s="12">
        <f t="shared" si="42"/>
        <v>0</v>
      </c>
      <c r="J241" s="79">
        <f t="shared" si="43"/>
        <v>0</v>
      </c>
      <c r="K241" s="64">
        <f t="shared" si="44"/>
        <v>3456000</v>
      </c>
      <c r="L241" s="64">
        <f t="shared" si="45"/>
        <v>3750000</v>
      </c>
      <c r="M241">
        <f>IF(COUNTIF(InputOutputData!K$20,"Chlorine"),L241+H241,L241+J241+H241)</f>
        <v>3750000</v>
      </c>
      <c r="N241">
        <f t="shared" si="50"/>
        <v>0.26785714285714285</v>
      </c>
      <c r="O241" t="str">
        <f t="shared" si="46"/>
        <v/>
      </c>
    </row>
    <row r="242" spans="1:15" ht="14.45">
      <c r="A242" s="24">
        <f>'More accurate Energy (Solar)'!A242</f>
        <v>0</v>
      </c>
      <c r="B242" s="24">
        <f t="shared" si="47"/>
        <v>0</v>
      </c>
      <c r="C242" s="13">
        <f t="shared" si="48"/>
        <v>0</v>
      </c>
      <c r="D242" s="12">
        <f t="shared" si="51"/>
        <v>227</v>
      </c>
      <c r="E242" s="12">
        <f t="shared" si="49"/>
        <v>1.1560000000000183</v>
      </c>
      <c r="F242" s="12">
        <f t="shared" si="39"/>
        <v>0</v>
      </c>
      <c r="G242" s="391">
        <f t="shared" si="40"/>
        <v>0</v>
      </c>
      <c r="H242" s="12">
        <f t="shared" si="41"/>
        <v>0</v>
      </c>
      <c r="I242" s="12">
        <f t="shared" si="42"/>
        <v>0</v>
      </c>
      <c r="J242" s="79">
        <f t="shared" si="43"/>
        <v>0</v>
      </c>
      <c r="K242" s="64">
        <f t="shared" si="44"/>
        <v>3456000</v>
      </c>
      <c r="L242" s="64">
        <f t="shared" si="45"/>
        <v>3750000</v>
      </c>
      <c r="M242">
        <f>IF(COUNTIF(InputOutputData!K$20,"Chlorine"),L242+H242,L242+J242+H242)</f>
        <v>3750000</v>
      </c>
      <c r="N242">
        <f t="shared" si="50"/>
        <v>0.26785714285714285</v>
      </c>
      <c r="O242" t="str">
        <f t="shared" si="46"/>
        <v/>
      </c>
    </row>
    <row r="243" spans="1:15" ht="14.45">
      <c r="A243" s="24">
        <f>'More accurate Energy (Solar)'!A243</f>
        <v>0</v>
      </c>
      <c r="B243" s="24">
        <f t="shared" si="47"/>
        <v>0</v>
      </c>
      <c r="C243" s="13">
        <f t="shared" si="48"/>
        <v>0</v>
      </c>
      <c r="D243" s="12">
        <f t="shared" si="51"/>
        <v>228</v>
      </c>
      <c r="E243" s="12">
        <f t="shared" si="49"/>
        <v>0.72400000000001841</v>
      </c>
      <c r="F243" s="12">
        <f t="shared" si="39"/>
        <v>0</v>
      </c>
      <c r="G243" s="391">
        <f t="shared" si="40"/>
        <v>0</v>
      </c>
      <c r="H243" s="12">
        <f t="shared" si="41"/>
        <v>0</v>
      </c>
      <c r="I243" s="12">
        <f t="shared" si="42"/>
        <v>0</v>
      </c>
      <c r="J243" s="79">
        <f t="shared" si="43"/>
        <v>0</v>
      </c>
      <c r="K243" s="64">
        <f t="shared" si="44"/>
        <v>3456000</v>
      </c>
      <c r="L243" s="64">
        <f t="shared" si="45"/>
        <v>3750000</v>
      </c>
      <c r="M243">
        <f>IF(COUNTIF(InputOutputData!K$20,"Chlorine"),L243+H243,L243+J243+H243)</f>
        <v>3750000</v>
      </c>
      <c r="N243">
        <f t="shared" si="50"/>
        <v>0.26785714285714285</v>
      </c>
      <c r="O243" t="str">
        <f t="shared" si="46"/>
        <v/>
      </c>
    </row>
    <row r="244" spans="1:15" ht="14.45">
      <c r="A244" s="24">
        <f>'More accurate Energy (Solar)'!A244</f>
        <v>0</v>
      </c>
      <c r="B244" s="24">
        <f t="shared" si="47"/>
        <v>0</v>
      </c>
      <c r="C244" s="13">
        <f t="shared" si="48"/>
        <v>0</v>
      </c>
      <c r="D244" s="12">
        <f t="shared" si="51"/>
        <v>229</v>
      </c>
      <c r="E244" s="12">
        <f t="shared" si="49"/>
        <v>0.29200000000001841</v>
      </c>
      <c r="F244" s="12">
        <f t="shared" si="39"/>
        <v>0</v>
      </c>
      <c r="G244" s="391">
        <f t="shared" si="40"/>
        <v>0</v>
      </c>
      <c r="H244" s="12">
        <f t="shared" si="41"/>
        <v>0</v>
      </c>
      <c r="I244" s="12">
        <f t="shared" si="42"/>
        <v>0</v>
      </c>
      <c r="J244" s="79">
        <f t="shared" si="43"/>
        <v>0</v>
      </c>
      <c r="K244" s="64">
        <f t="shared" si="44"/>
        <v>3456000</v>
      </c>
      <c r="L244" s="64">
        <f t="shared" si="45"/>
        <v>3750000</v>
      </c>
      <c r="M244">
        <f>IF(COUNTIF(InputOutputData!K$20,"Chlorine"),L244+H244,L244+J244+H244)</f>
        <v>3750000</v>
      </c>
      <c r="N244">
        <f t="shared" si="50"/>
        <v>0.26785714285714285</v>
      </c>
      <c r="O244" t="str">
        <f t="shared" si="46"/>
        <v/>
      </c>
    </row>
    <row r="245" spans="1:15" ht="14.45">
      <c r="A245" s="24">
        <f>'More accurate Energy (Solar)'!A245</f>
        <v>0</v>
      </c>
      <c r="B245" s="24">
        <f t="shared" si="47"/>
        <v>0</v>
      </c>
      <c r="C245" s="13">
        <f t="shared" si="48"/>
        <v>0</v>
      </c>
      <c r="D245" s="12">
        <f t="shared" si="51"/>
        <v>230</v>
      </c>
      <c r="E245" s="12">
        <f t="shared" si="49"/>
        <v>0</v>
      </c>
      <c r="F245" s="12">
        <f t="shared" si="39"/>
        <v>0</v>
      </c>
      <c r="G245" s="391">
        <f t="shared" si="40"/>
        <v>0</v>
      </c>
      <c r="H245" s="12">
        <f t="shared" si="41"/>
        <v>0</v>
      </c>
      <c r="I245" s="12">
        <f t="shared" si="42"/>
        <v>0</v>
      </c>
      <c r="J245" s="79">
        <f t="shared" si="43"/>
        <v>0</v>
      </c>
      <c r="K245" s="64">
        <f t="shared" si="44"/>
        <v>3456000</v>
      </c>
      <c r="L245" s="64">
        <f t="shared" si="45"/>
        <v>3750000</v>
      </c>
      <c r="M245">
        <f>IF(COUNTIF(InputOutputData!K$20,"Chlorine"),L245+H245,L245+J245+H245)</f>
        <v>3750000</v>
      </c>
      <c r="N245">
        <f t="shared" si="50"/>
        <v>0.26785714285714285</v>
      </c>
      <c r="O245">
        <f t="shared" si="46"/>
        <v>1</v>
      </c>
    </row>
    <row r="246" spans="1:15" ht="14.45">
      <c r="A246" s="24">
        <f>'More accurate Energy (Solar)'!A246</f>
        <v>0</v>
      </c>
      <c r="B246" s="24">
        <f t="shared" si="47"/>
        <v>0</v>
      </c>
      <c r="C246" s="13">
        <f t="shared" si="48"/>
        <v>0</v>
      </c>
      <c r="D246" s="12">
        <f t="shared" si="51"/>
        <v>231</v>
      </c>
      <c r="E246" s="12">
        <f t="shared" si="49"/>
        <v>0</v>
      </c>
      <c r="F246" s="12">
        <f t="shared" si="39"/>
        <v>0</v>
      </c>
      <c r="G246" s="391">
        <f t="shared" si="40"/>
        <v>0</v>
      </c>
      <c r="H246" s="12">
        <f t="shared" si="41"/>
        <v>0</v>
      </c>
      <c r="I246" s="12">
        <f t="shared" si="42"/>
        <v>0</v>
      </c>
      <c r="J246" s="79">
        <f t="shared" si="43"/>
        <v>0</v>
      </c>
      <c r="K246" s="64">
        <f t="shared" si="44"/>
        <v>3456000</v>
      </c>
      <c r="L246" s="64">
        <f t="shared" si="45"/>
        <v>3750000</v>
      </c>
      <c r="M246">
        <f>IF(COUNTIF(InputOutputData!K$20,"Chlorine"),L246+H246,L246+J246+H246)</f>
        <v>3750000</v>
      </c>
      <c r="N246">
        <f t="shared" si="50"/>
        <v>0.26785714285714285</v>
      </c>
      <c r="O246">
        <f t="shared" si="46"/>
        <v>1</v>
      </c>
    </row>
    <row r="247" spans="1:15" ht="14.45">
      <c r="A247" s="24">
        <f>'More accurate Energy (Solar)'!A247</f>
        <v>0</v>
      </c>
      <c r="B247" s="24">
        <f t="shared" si="47"/>
        <v>0</v>
      </c>
      <c r="C247" s="13">
        <f t="shared" si="48"/>
        <v>0</v>
      </c>
      <c r="D247" s="12">
        <f t="shared" si="51"/>
        <v>232</v>
      </c>
      <c r="E247" s="12">
        <f t="shared" si="49"/>
        <v>0</v>
      </c>
      <c r="F247" s="12">
        <f t="shared" si="39"/>
        <v>0</v>
      </c>
      <c r="G247" s="391">
        <f t="shared" si="40"/>
        <v>0</v>
      </c>
      <c r="H247" s="12">
        <f t="shared" si="41"/>
        <v>0</v>
      </c>
      <c r="I247" s="12">
        <f t="shared" si="42"/>
        <v>0</v>
      </c>
      <c r="J247" s="79">
        <f t="shared" si="43"/>
        <v>0</v>
      </c>
      <c r="K247" s="64">
        <f t="shared" si="44"/>
        <v>3456000</v>
      </c>
      <c r="L247" s="64">
        <f t="shared" si="45"/>
        <v>3750000</v>
      </c>
      <c r="M247">
        <f>IF(COUNTIF(InputOutputData!K$20,"Chlorine"),L247+H247,L247+J247+H247)</f>
        <v>3750000</v>
      </c>
      <c r="N247">
        <f t="shared" si="50"/>
        <v>0.26785714285714285</v>
      </c>
      <c r="O247">
        <f t="shared" si="46"/>
        <v>1</v>
      </c>
    </row>
    <row r="248" spans="1:15" ht="14.45">
      <c r="A248" s="24">
        <f>'More accurate Energy (Solar)'!A248</f>
        <v>0</v>
      </c>
      <c r="B248" s="24">
        <f t="shared" si="47"/>
        <v>0</v>
      </c>
      <c r="C248" s="13">
        <f t="shared" si="48"/>
        <v>0</v>
      </c>
      <c r="D248" s="12">
        <f t="shared" si="51"/>
        <v>233</v>
      </c>
      <c r="E248" s="12">
        <f t="shared" si="49"/>
        <v>0</v>
      </c>
      <c r="F248" s="12">
        <f t="shared" si="39"/>
        <v>0</v>
      </c>
      <c r="G248" s="391">
        <f t="shared" si="40"/>
        <v>0</v>
      </c>
      <c r="H248" s="12">
        <f t="shared" si="41"/>
        <v>0</v>
      </c>
      <c r="I248" s="12">
        <f t="shared" si="42"/>
        <v>0</v>
      </c>
      <c r="J248" s="79">
        <f t="shared" si="43"/>
        <v>0</v>
      </c>
      <c r="K248" s="64">
        <f t="shared" si="44"/>
        <v>3456000</v>
      </c>
      <c r="L248" s="64">
        <f t="shared" si="45"/>
        <v>3750000</v>
      </c>
      <c r="M248">
        <f>IF(COUNTIF(InputOutputData!K$20,"Chlorine"),L248+H248,L248+J248+H248)</f>
        <v>3750000</v>
      </c>
      <c r="N248">
        <f t="shared" si="50"/>
        <v>0.26785714285714285</v>
      </c>
      <c r="O248">
        <f t="shared" si="46"/>
        <v>1</v>
      </c>
    </row>
    <row r="249" spans="1:15" ht="14.45">
      <c r="A249" s="24">
        <f>'More accurate Energy (Solar)'!A249</f>
        <v>0</v>
      </c>
      <c r="B249" s="24">
        <f t="shared" si="47"/>
        <v>0</v>
      </c>
      <c r="C249" s="13">
        <f t="shared" si="48"/>
        <v>0</v>
      </c>
      <c r="D249" s="12">
        <f t="shared" si="51"/>
        <v>234</v>
      </c>
      <c r="E249" s="12">
        <f t="shared" si="49"/>
        <v>0</v>
      </c>
      <c r="F249" s="12">
        <f t="shared" si="39"/>
        <v>0</v>
      </c>
      <c r="G249" s="391">
        <f t="shared" si="40"/>
        <v>0</v>
      </c>
      <c r="H249" s="12">
        <f t="shared" si="41"/>
        <v>0</v>
      </c>
      <c r="I249" s="12">
        <f t="shared" si="42"/>
        <v>0</v>
      </c>
      <c r="J249" s="79">
        <f t="shared" si="43"/>
        <v>0</v>
      </c>
      <c r="K249" s="64">
        <f t="shared" si="44"/>
        <v>3456000</v>
      </c>
      <c r="L249" s="64">
        <f t="shared" si="45"/>
        <v>3750000</v>
      </c>
      <c r="M249">
        <f>IF(COUNTIF(InputOutputData!K$20,"Chlorine"),L249+H249,L249+J249+H249)</f>
        <v>3750000</v>
      </c>
      <c r="N249">
        <f t="shared" si="50"/>
        <v>0.26785714285714285</v>
      </c>
      <c r="O249">
        <f t="shared" si="46"/>
        <v>1</v>
      </c>
    </row>
    <row r="250" spans="1:15" ht="14.45">
      <c r="A250" s="24">
        <f>'More accurate Energy (Solar)'!A250</f>
        <v>0</v>
      </c>
      <c r="B250" s="24">
        <f t="shared" si="47"/>
        <v>0</v>
      </c>
      <c r="C250" s="13">
        <f t="shared" si="48"/>
        <v>0</v>
      </c>
      <c r="D250" s="12">
        <f t="shared" si="51"/>
        <v>235</v>
      </c>
      <c r="E250" s="12">
        <f t="shared" si="49"/>
        <v>0</v>
      </c>
      <c r="F250" s="12">
        <f t="shared" si="39"/>
        <v>0</v>
      </c>
      <c r="G250" s="391">
        <f t="shared" si="40"/>
        <v>0</v>
      </c>
      <c r="H250" s="12">
        <f t="shared" si="41"/>
        <v>0</v>
      </c>
      <c r="I250" s="12">
        <f t="shared" si="42"/>
        <v>0</v>
      </c>
      <c r="J250" s="79">
        <f t="shared" si="43"/>
        <v>0</v>
      </c>
      <c r="K250" s="64">
        <f t="shared" si="44"/>
        <v>3456000</v>
      </c>
      <c r="L250" s="64">
        <f t="shared" si="45"/>
        <v>3750000</v>
      </c>
      <c r="M250">
        <f>IF(COUNTIF(InputOutputData!K$20,"Chlorine"),L250+H250,L250+J250+H250)</f>
        <v>3750000</v>
      </c>
      <c r="N250">
        <f t="shared" si="50"/>
        <v>0.26785714285714285</v>
      </c>
      <c r="O250">
        <f t="shared" si="46"/>
        <v>1</v>
      </c>
    </row>
    <row r="251" spans="1:15" ht="14.45">
      <c r="A251" s="24">
        <f>'More accurate Energy (Solar)'!A251</f>
        <v>0</v>
      </c>
      <c r="B251" s="24">
        <f t="shared" si="47"/>
        <v>0</v>
      </c>
      <c r="C251" s="13">
        <f t="shared" si="48"/>
        <v>0</v>
      </c>
      <c r="D251" s="12">
        <f t="shared" si="51"/>
        <v>236</v>
      </c>
      <c r="E251" s="12">
        <f t="shared" si="49"/>
        <v>0</v>
      </c>
      <c r="F251" s="12">
        <f t="shared" si="39"/>
        <v>0</v>
      </c>
      <c r="G251" s="391">
        <f t="shared" si="40"/>
        <v>0</v>
      </c>
      <c r="H251" s="12">
        <f t="shared" si="41"/>
        <v>0</v>
      </c>
      <c r="I251" s="12">
        <f t="shared" si="42"/>
        <v>0</v>
      </c>
      <c r="J251" s="79">
        <f t="shared" si="43"/>
        <v>0</v>
      </c>
      <c r="K251" s="64">
        <f t="shared" si="44"/>
        <v>3456000</v>
      </c>
      <c r="L251" s="64">
        <f t="shared" si="45"/>
        <v>3750000</v>
      </c>
      <c r="M251">
        <f>IF(COUNTIF(InputOutputData!K$20,"Chlorine"),L251+H251,L251+J251+H251)</f>
        <v>3750000</v>
      </c>
      <c r="N251">
        <f t="shared" si="50"/>
        <v>0.26785714285714285</v>
      </c>
      <c r="O251">
        <f t="shared" si="46"/>
        <v>1</v>
      </c>
    </row>
    <row r="252" spans="1:15" ht="14.45">
      <c r="A252" s="24">
        <f>'More accurate Energy (Solar)'!A252</f>
        <v>0</v>
      </c>
      <c r="B252" s="24">
        <f t="shared" si="47"/>
        <v>0</v>
      </c>
      <c r="C252" s="13">
        <f t="shared" si="48"/>
        <v>0</v>
      </c>
      <c r="D252" s="12">
        <f t="shared" si="51"/>
        <v>237</v>
      </c>
      <c r="E252" s="12">
        <f t="shared" si="49"/>
        <v>0</v>
      </c>
      <c r="F252" s="12">
        <f t="shared" si="39"/>
        <v>0</v>
      </c>
      <c r="G252" s="391">
        <f t="shared" si="40"/>
        <v>0</v>
      </c>
      <c r="H252" s="12">
        <f t="shared" si="41"/>
        <v>0</v>
      </c>
      <c r="I252" s="12">
        <f t="shared" si="42"/>
        <v>0</v>
      </c>
      <c r="J252" s="79">
        <f t="shared" si="43"/>
        <v>0</v>
      </c>
      <c r="K252" s="64">
        <f t="shared" si="44"/>
        <v>3456000</v>
      </c>
      <c r="L252" s="64">
        <f t="shared" si="45"/>
        <v>3750000</v>
      </c>
      <c r="M252">
        <f>IF(COUNTIF(InputOutputData!K$20,"Chlorine"),L252+H252,L252+J252+H252)</f>
        <v>3750000</v>
      </c>
      <c r="N252">
        <f t="shared" si="50"/>
        <v>0.26785714285714285</v>
      </c>
      <c r="O252">
        <f t="shared" si="46"/>
        <v>1</v>
      </c>
    </row>
    <row r="253" spans="1:15" ht="14.45">
      <c r="A253" s="24">
        <f>'More accurate Energy (Solar)'!A253</f>
        <v>0</v>
      </c>
      <c r="B253" s="24">
        <f t="shared" si="47"/>
        <v>0</v>
      </c>
      <c r="C253" s="13">
        <f t="shared" si="48"/>
        <v>0</v>
      </c>
      <c r="D253" s="12">
        <f t="shared" si="51"/>
        <v>238</v>
      </c>
      <c r="E253" s="12">
        <f t="shared" si="49"/>
        <v>0</v>
      </c>
      <c r="F253" s="12">
        <f t="shared" si="39"/>
        <v>0</v>
      </c>
      <c r="G253" s="391">
        <f t="shared" si="40"/>
        <v>0</v>
      </c>
      <c r="H253" s="12">
        <f t="shared" si="41"/>
        <v>0</v>
      </c>
      <c r="I253" s="12">
        <f t="shared" si="42"/>
        <v>0</v>
      </c>
      <c r="J253" s="79">
        <f t="shared" si="43"/>
        <v>0</v>
      </c>
      <c r="K253" s="64">
        <f t="shared" si="44"/>
        <v>3456000</v>
      </c>
      <c r="L253" s="64">
        <f t="shared" si="45"/>
        <v>3750000</v>
      </c>
      <c r="M253">
        <f>IF(COUNTIF(InputOutputData!K$20,"Chlorine"),L253+H253,L253+J253+H253)</f>
        <v>3750000</v>
      </c>
      <c r="N253">
        <f t="shared" si="50"/>
        <v>0.26785714285714285</v>
      </c>
      <c r="O253">
        <f t="shared" si="46"/>
        <v>1</v>
      </c>
    </row>
    <row r="254" spans="1:15" ht="14.45">
      <c r="A254" s="24">
        <f>'More accurate Energy (Solar)'!A254</f>
        <v>2.8</v>
      </c>
      <c r="B254" s="24">
        <f t="shared" si="47"/>
        <v>0.19444444444444442</v>
      </c>
      <c r="C254" s="13">
        <f t="shared" si="48"/>
        <v>0.27999999999999997</v>
      </c>
      <c r="D254" s="12">
        <f t="shared" si="51"/>
        <v>239</v>
      </c>
      <c r="E254" s="12">
        <f t="shared" si="49"/>
        <v>0</v>
      </c>
      <c r="F254" s="12">
        <f t="shared" si="39"/>
        <v>94240.04568913838</v>
      </c>
      <c r="G254" s="391">
        <f t="shared" si="40"/>
        <v>2.3507068854835791E-2</v>
      </c>
      <c r="H254" s="12">
        <f t="shared" si="41"/>
        <v>4009008.7909770021</v>
      </c>
      <c r="I254" s="12">
        <f t="shared" si="42"/>
        <v>1.4</v>
      </c>
      <c r="J254" s="79">
        <f t="shared" si="43"/>
        <v>2800000</v>
      </c>
      <c r="K254" s="64">
        <f t="shared" si="44"/>
        <v>3456000</v>
      </c>
      <c r="L254" s="64">
        <f t="shared" si="45"/>
        <v>3750000</v>
      </c>
      <c r="M254">
        <f>IF(COUNTIF(InputOutputData!K$20,"Chlorine"),L254+H254,L254+J254+H254)</f>
        <v>7759008.7909770021</v>
      </c>
      <c r="N254">
        <f t="shared" si="50"/>
        <v>0.55421491364121445</v>
      </c>
      <c r="O254">
        <f t="shared" si="46"/>
        <v>1</v>
      </c>
    </row>
    <row r="255" spans="1:15" ht="14.45">
      <c r="A255" s="24">
        <f>'More accurate Energy (Solar)'!A255</f>
        <v>10.4</v>
      </c>
      <c r="B255" s="24">
        <f t="shared" si="47"/>
        <v>0.72222222222222221</v>
      </c>
      <c r="C255" s="13">
        <f t="shared" si="48"/>
        <v>1.04</v>
      </c>
      <c r="D255" s="12">
        <f t="shared" si="51"/>
        <v>240</v>
      </c>
      <c r="E255" s="12">
        <f t="shared" si="49"/>
        <v>0.6080000000000001</v>
      </c>
      <c r="F255" s="12">
        <f t="shared" si="39"/>
        <v>350034.45541679976</v>
      </c>
      <c r="G255" s="391">
        <f t="shared" si="40"/>
        <v>4.8427480851001965E-2</v>
      </c>
      <c r="H255" s="12">
        <f t="shared" si="41"/>
        <v>7228012.8816479109</v>
      </c>
      <c r="I255" s="12">
        <f t="shared" si="42"/>
        <v>5.2</v>
      </c>
      <c r="J255" s="79">
        <f t="shared" si="43"/>
        <v>10400000</v>
      </c>
      <c r="K255" s="64">
        <f t="shared" si="44"/>
        <v>3456000</v>
      </c>
      <c r="L255" s="64">
        <f t="shared" si="45"/>
        <v>3750000</v>
      </c>
      <c r="M255">
        <f>IF(COUNTIF(InputOutputData!K$20,"Chlorine"),L255+H255,L255+J255+H255)</f>
        <v>10978012.881647911</v>
      </c>
      <c r="N255">
        <f t="shared" si="50"/>
        <v>0.78414377726056517</v>
      </c>
      <c r="O255" t="str">
        <f t="shared" si="46"/>
        <v/>
      </c>
    </row>
    <row r="256" spans="1:15" ht="14.45">
      <c r="A256" s="24">
        <f>'More accurate Energy (Solar)'!A256</f>
        <v>33.4</v>
      </c>
      <c r="B256" s="24">
        <f t="shared" si="47"/>
        <v>1.0416666666666667</v>
      </c>
      <c r="C256" s="13">
        <f t="shared" si="48"/>
        <v>1.5</v>
      </c>
      <c r="D256" s="12">
        <f t="shared" si="51"/>
        <v>241</v>
      </c>
      <c r="E256" s="12">
        <f t="shared" si="49"/>
        <v>1.6760000000000002</v>
      </c>
      <c r="F256" s="12">
        <f t="shared" si="39"/>
        <v>504857.38762038422</v>
      </c>
      <c r="G256" s="391">
        <f t="shared" si="40"/>
        <v>5.9272522795741148E-2</v>
      </c>
      <c r="H256" s="12">
        <f t="shared" si="41"/>
        <v>8517561.9968154822</v>
      </c>
      <c r="I256" s="12">
        <f t="shared" si="42"/>
        <v>7.5</v>
      </c>
      <c r="J256" s="79">
        <f t="shared" si="43"/>
        <v>15000000</v>
      </c>
      <c r="K256" s="64">
        <f t="shared" si="44"/>
        <v>3456000</v>
      </c>
      <c r="L256" s="64">
        <f t="shared" si="45"/>
        <v>3750000</v>
      </c>
      <c r="M256">
        <f>IF(COUNTIF(InputOutputData!K$20,"Chlorine"),L256+H256,L256+J256+H256)</f>
        <v>12267561.996815482</v>
      </c>
      <c r="N256">
        <f t="shared" si="50"/>
        <v>0.87625442834396305</v>
      </c>
      <c r="O256" t="str">
        <f t="shared" si="46"/>
        <v/>
      </c>
    </row>
    <row r="257" spans="1:15" ht="14.45">
      <c r="A257" s="24">
        <f>'More accurate Energy (Solar)'!A257</f>
        <v>26</v>
      </c>
      <c r="B257" s="24">
        <f t="shared" si="47"/>
        <v>1.0416666666666667</v>
      </c>
      <c r="C257" s="13">
        <f t="shared" si="48"/>
        <v>1.5</v>
      </c>
      <c r="D257" s="12">
        <f t="shared" si="51"/>
        <v>242</v>
      </c>
      <c r="E257" s="12">
        <f t="shared" si="49"/>
        <v>2.7440000000000002</v>
      </c>
      <c r="F257" s="12">
        <f t="shared" si="39"/>
        <v>504857.38762038422</v>
      </c>
      <c r="G257" s="391">
        <f t="shared" si="40"/>
        <v>5.9272522795741148E-2</v>
      </c>
      <c r="H257" s="12">
        <f t="shared" si="41"/>
        <v>8517561.9968154822</v>
      </c>
      <c r="I257" s="12">
        <f t="shared" si="42"/>
        <v>7.5</v>
      </c>
      <c r="J257" s="79">
        <f t="shared" si="43"/>
        <v>15000000</v>
      </c>
      <c r="K257" s="64">
        <f t="shared" si="44"/>
        <v>3456000</v>
      </c>
      <c r="L257" s="64">
        <f t="shared" si="45"/>
        <v>3750000</v>
      </c>
      <c r="M257">
        <f>IF(COUNTIF(InputOutputData!K$20,"Chlorine"),L257+H257,L257+J257+H257)</f>
        <v>12267561.996815482</v>
      </c>
      <c r="N257">
        <f t="shared" si="50"/>
        <v>0.87625442834396305</v>
      </c>
      <c r="O257" t="str">
        <f t="shared" si="46"/>
        <v/>
      </c>
    </row>
    <row r="258" spans="1:15" ht="14.45">
      <c r="A258" s="24">
        <f>'More accurate Energy (Solar)'!A258</f>
        <v>6</v>
      </c>
      <c r="B258" s="24">
        <f t="shared" si="47"/>
        <v>0.41666666666666669</v>
      </c>
      <c r="C258" s="13">
        <f t="shared" si="48"/>
        <v>0.6</v>
      </c>
      <c r="D258" s="12">
        <f t="shared" si="51"/>
        <v>243</v>
      </c>
      <c r="E258" s="12">
        <f t="shared" si="49"/>
        <v>2.9120000000000004</v>
      </c>
      <c r="F258" s="12">
        <f t="shared" si="39"/>
        <v>201942.9550481537</v>
      </c>
      <c r="G258" s="391">
        <f t="shared" si="40"/>
        <v>3.576343669814467E-2</v>
      </c>
      <c r="H258" s="12">
        <f t="shared" si="41"/>
        <v>5646631.6912610941</v>
      </c>
      <c r="I258" s="12">
        <f t="shared" si="42"/>
        <v>3</v>
      </c>
      <c r="J258" s="79">
        <f t="shared" si="43"/>
        <v>6000000</v>
      </c>
      <c r="K258" s="64">
        <f t="shared" si="44"/>
        <v>3456000</v>
      </c>
      <c r="L258" s="64">
        <f t="shared" si="45"/>
        <v>3750000</v>
      </c>
      <c r="M258">
        <f>IF(COUNTIF(InputOutputData!K$20,"Chlorine"),L258+H258,L258+J258+H258)</f>
        <v>9396631.6912610941</v>
      </c>
      <c r="N258">
        <f t="shared" si="50"/>
        <v>0.67118797794722107</v>
      </c>
      <c r="O258" t="str">
        <f t="shared" si="46"/>
        <v/>
      </c>
    </row>
    <row r="259" spans="1:15" ht="14.45">
      <c r="A259" s="24">
        <f>'More accurate Energy (Solar)'!A259</f>
        <v>15.8</v>
      </c>
      <c r="B259" s="24">
        <f t="shared" si="47"/>
        <v>1.0416666666666667</v>
      </c>
      <c r="C259" s="13">
        <f t="shared" si="48"/>
        <v>1.5</v>
      </c>
      <c r="D259" s="12">
        <f t="shared" si="51"/>
        <v>244</v>
      </c>
      <c r="E259" s="12">
        <f t="shared" si="49"/>
        <v>3.9800000000000004</v>
      </c>
      <c r="F259" s="12">
        <f t="shared" si="39"/>
        <v>504857.38762038422</v>
      </c>
      <c r="G259" s="391">
        <f t="shared" si="40"/>
        <v>5.9272522795741148E-2</v>
      </c>
      <c r="H259" s="12">
        <f t="shared" si="41"/>
        <v>8517561.9968154822</v>
      </c>
      <c r="I259" s="12">
        <f t="shared" si="42"/>
        <v>7.5</v>
      </c>
      <c r="J259" s="79">
        <f t="shared" si="43"/>
        <v>15000000</v>
      </c>
      <c r="K259" s="64">
        <f t="shared" si="44"/>
        <v>3456000</v>
      </c>
      <c r="L259" s="64">
        <f t="shared" si="45"/>
        <v>3750000</v>
      </c>
      <c r="M259">
        <f>IF(COUNTIF(InputOutputData!K$20,"Chlorine"),L259+H259,L259+J259+H259)</f>
        <v>12267561.996815482</v>
      </c>
      <c r="N259">
        <f t="shared" si="50"/>
        <v>0.87625442834396305</v>
      </c>
      <c r="O259" t="str">
        <f t="shared" si="46"/>
        <v/>
      </c>
    </row>
    <row r="260" spans="1:15" ht="14.45">
      <c r="A260" s="24">
        <f>'More accurate Energy (Solar)'!A260</f>
        <v>0.8</v>
      </c>
      <c r="B260" s="24">
        <f t="shared" si="47"/>
        <v>5.5555555555555552E-2</v>
      </c>
      <c r="C260" s="13">
        <f t="shared" si="48"/>
        <v>0.08</v>
      </c>
      <c r="D260" s="12">
        <f t="shared" si="51"/>
        <v>245</v>
      </c>
      <c r="E260" s="12">
        <f t="shared" si="49"/>
        <v>3.6280000000000006</v>
      </c>
      <c r="F260" s="12">
        <f t="shared" si="39"/>
        <v>26925.727339753827</v>
      </c>
      <c r="G260" s="391">
        <f t="shared" si="40"/>
        <v>1.1798845559697837E-2</v>
      </c>
      <c r="H260" s="12">
        <f t="shared" si="41"/>
        <v>2282064.5633099871</v>
      </c>
      <c r="I260" s="12">
        <f t="shared" si="42"/>
        <v>0.4</v>
      </c>
      <c r="J260" s="79">
        <f t="shared" si="43"/>
        <v>800000</v>
      </c>
      <c r="K260" s="64">
        <f t="shared" si="44"/>
        <v>3456000</v>
      </c>
      <c r="L260" s="64">
        <f t="shared" si="45"/>
        <v>3750000</v>
      </c>
      <c r="M260">
        <f>IF(COUNTIF(InputOutputData!K$20,"Chlorine"),L260+H260,L260+J260+H260)</f>
        <v>6032064.5633099871</v>
      </c>
      <c r="N260">
        <f t="shared" si="50"/>
        <v>0.43086175452214193</v>
      </c>
      <c r="O260" t="str">
        <f t="shared" si="46"/>
        <v/>
      </c>
    </row>
    <row r="261" spans="1:15" ht="14.45">
      <c r="A261" s="24">
        <f>'More accurate Energy (Solar)'!A261</f>
        <v>2.4</v>
      </c>
      <c r="B261" s="24">
        <f t="shared" si="47"/>
        <v>0.16666666666666666</v>
      </c>
      <c r="C261" s="13">
        <f t="shared" si="48"/>
        <v>0.24</v>
      </c>
      <c r="D261" s="12">
        <f t="shared" si="51"/>
        <v>246</v>
      </c>
      <c r="E261" s="12">
        <f t="shared" si="49"/>
        <v>3.4360000000000004</v>
      </c>
      <c r="F261" s="12">
        <f t="shared" si="39"/>
        <v>80777.182019261469</v>
      </c>
      <c r="G261" s="391">
        <f t="shared" si="40"/>
        <v>2.1595011316909298E-2</v>
      </c>
      <c r="H261" s="12">
        <f t="shared" si="41"/>
        <v>3740548.2606073665</v>
      </c>
      <c r="I261" s="12">
        <f t="shared" si="42"/>
        <v>1.2</v>
      </c>
      <c r="J261" s="79">
        <f t="shared" si="43"/>
        <v>2400000</v>
      </c>
      <c r="K261" s="64">
        <f t="shared" si="44"/>
        <v>3456000</v>
      </c>
      <c r="L261" s="64">
        <f t="shared" si="45"/>
        <v>3750000</v>
      </c>
      <c r="M261">
        <f>IF(COUNTIF(InputOutputData!K$20,"Chlorine"),L261+H261,L261+J261+H261)</f>
        <v>7490548.2606073665</v>
      </c>
      <c r="N261">
        <f t="shared" si="50"/>
        <v>0.53503916147195474</v>
      </c>
      <c r="O261" t="str">
        <f t="shared" si="46"/>
        <v/>
      </c>
    </row>
    <row r="262" spans="1:15" ht="14.45">
      <c r="A262" s="24">
        <f>'More accurate Energy (Solar)'!A262</f>
        <v>0</v>
      </c>
      <c r="B262" s="24">
        <f t="shared" si="47"/>
        <v>0</v>
      </c>
      <c r="C262" s="13">
        <f t="shared" si="48"/>
        <v>0</v>
      </c>
      <c r="D262" s="12">
        <f t="shared" si="51"/>
        <v>247</v>
      </c>
      <c r="E262" s="12">
        <f t="shared" si="49"/>
        <v>3.0040000000000004</v>
      </c>
      <c r="F262" s="12">
        <f t="shared" si="39"/>
        <v>0</v>
      </c>
      <c r="G262" s="391">
        <f t="shared" si="40"/>
        <v>0</v>
      </c>
      <c r="H262" s="12">
        <f t="shared" si="41"/>
        <v>0</v>
      </c>
      <c r="I262" s="12">
        <f t="shared" si="42"/>
        <v>0</v>
      </c>
      <c r="J262" s="79">
        <f t="shared" si="43"/>
        <v>0</v>
      </c>
      <c r="K262" s="64">
        <f t="shared" si="44"/>
        <v>3456000</v>
      </c>
      <c r="L262" s="64">
        <f t="shared" si="45"/>
        <v>3750000</v>
      </c>
      <c r="M262">
        <f>IF(COUNTIF(InputOutputData!K$20,"Chlorine"),L262+H262,L262+J262+H262)</f>
        <v>3750000</v>
      </c>
      <c r="N262">
        <f t="shared" si="50"/>
        <v>0.26785714285714285</v>
      </c>
      <c r="O262" t="str">
        <f t="shared" si="46"/>
        <v/>
      </c>
    </row>
    <row r="263" spans="1:15" ht="14.45">
      <c r="A263" s="24">
        <f>'More accurate Energy (Solar)'!A263</f>
        <v>1.6</v>
      </c>
      <c r="B263" s="24">
        <f t="shared" si="47"/>
        <v>0.1111111111111111</v>
      </c>
      <c r="C263" s="13">
        <f t="shared" si="48"/>
        <v>0.16</v>
      </c>
      <c r="D263" s="12">
        <f t="shared" si="51"/>
        <v>248</v>
      </c>
      <c r="E263" s="12">
        <f t="shared" si="49"/>
        <v>2.7320000000000002</v>
      </c>
      <c r="F263" s="12">
        <f t="shared" si="39"/>
        <v>53851.454679507653</v>
      </c>
      <c r="G263" s="391">
        <f t="shared" si="40"/>
        <v>1.7276454762570417E-2</v>
      </c>
      <c r="H263" s="12">
        <f t="shared" si="41"/>
        <v>3117043.1329567269</v>
      </c>
      <c r="I263" s="12">
        <f t="shared" si="42"/>
        <v>0.8</v>
      </c>
      <c r="J263" s="79">
        <f t="shared" si="43"/>
        <v>1600000</v>
      </c>
      <c r="K263" s="64">
        <f t="shared" si="44"/>
        <v>3456000</v>
      </c>
      <c r="L263" s="64">
        <f t="shared" si="45"/>
        <v>3750000</v>
      </c>
      <c r="M263">
        <f>IF(COUNTIF(InputOutputData!K$20,"Chlorine"),L263+H263,L263+J263+H263)</f>
        <v>6867043.1329567265</v>
      </c>
      <c r="N263">
        <f t="shared" si="50"/>
        <v>0.49050308092548045</v>
      </c>
      <c r="O263" t="str">
        <f t="shared" si="46"/>
        <v/>
      </c>
    </row>
    <row r="264" spans="1:15" ht="14.45">
      <c r="A264" s="24">
        <f>'More accurate Energy (Solar)'!A264</f>
        <v>0</v>
      </c>
      <c r="B264" s="24">
        <f t="shared" si="47"/>
        <v>0</v>
      </c>
      <c r="C264" s="13">
        <f t="shared" si="48"/>
        <v>0</v>
      </c>
      <c r="D264" s="12">
        <f t="shared" si="51"/>
        <v>249</v>
      </c>
      <c r="E264" s="12">
        <f t="shared" si="49"/>
        <v>2.3000000000000003</v>
      </c>
      <c r="F264" s="12">
        <f t="shared" si="39"/>
        <v>0</v>
      </c>
      <c r="G264" s="391">
        <f t="shared" si="40"/>
        <v>0</v>
      </c>
      <c r="H264" s="12">
        <f t="shared" si="41"/>
        <v>0</v>
      </c>
      <c r="I264" s="12">
        <f t="shared" si="42"/>
        <v>0</v>
      </c>
      <c r="J264" s="79">
        <f t="shared" si="43"/>
        <v>0</v>
      </c>
      <c r="K264" s="64">
        <f t="shared" si="44"/>
        <v>3456000</v>
      </c>
      <c r="L264" s="64">
        <f t="shared" si="45"/>
        <v>3750000</v>
      </c>
      <c r="M264">
        <f>IF(COUNTIF(InputOutputData!K$20,"Chlorine"),L264+H264,L264+J264+H264)</f>
        <v>3750000</v>
      </c>
      <c r="N264">
        <f t="shared" si="50"/>
        <v>0.26785714285714285</v>
      </c>
      <c r="O264" t="str">
        <f t="shared" si="46"/>
        <v/>
      </c>
    </row>
    <row r="265" spans="1:15" ht="14.45">
      <c r="A265" s="24">
        <f>'More accurate Energy (Solar)'!A265</f>
        <v>29.6</v>
      </c>
      <c r="B265" s="24">
        <f t="shared" si="47"/>
        <v>1.0416666666666667</v>
      </c>
      <c r="C265" s="13">
        <f t="shared" si="48"/>
        <v>1.5</v>
      </c>
      <c r="D265" s="12">
        <f t="shared" si="51"/>
        <v>250</v>
      </c>
      <c r="E265" s="12">
        <f t="shared" si="49"/>
        <v>3.3680000000000003</v>
      </c>
      <c r="F265" s="12">
        <f t="shared" si="39"/>
        <v>504857.38762038422</v>
      </c>
      <c r="G265" s="391">
        <f t="shared" si="40"/>
        <v>5.9272522795741148E-2</v>
      </c>
      <c r="H265" s="12">
        <f t="shared" si="41"/>
        <v>8517561.9968154822</v>
      </c>
      <c r="I265" s="12">
        <f t="shared" si="42"/>
        <v>7.5</v>
      </c>
      <c r="J265" s="79">
        <f t="shared" si="43"/>
        <v>15000000</v>
      </c>
      <c r="K265" s="64">
        <f t="shared" si="44"/>
        <v>3456000</v>
      </c>
      <c r="L265" s="64">
        <f t="shared" si="45"/>
        <v>3750000</v>
      </c>
      <c r="M265">
        <f>IF(COUNTIF(InputOutputData!K$20,"Chlorine"),L265+H265,L265+J265+H265)</f>
        <v>12267561.996815482</v>
      </c>
      <c r="N265">
        <f t="shared" si="50"/>
        <v>0.87625442834396305</v>
      </c>
      <c r="O265" t="str">
        <f t="shared" si="46"/>
        <v/>
      </c>
    </row>
    <row r="266" spans="1:15" ht="14.45">
      <c r="A266" s="24">
        <f>'More accurate Energy (Solar)'!A266</f>
        <v>13</v>
      </c>
      <c r="B266" s="24">
        <f t="shared" si="47"/>
        <v>0.90277777777777779</v>
      </c>
      <c r="C266" s="13">
        <f t="shared" si="48"/>
        <v>1.3</v>
      </c>
      <c r="D266" s="12">
        <f t="shared" si="51"/>
        <v>251</v>
      </c>
      <c r="E266" s="12">
        <f t="shared" si="49"/>
        <v>4.2360000000000007</v>
      </c>
      <c r="F266" s="12">
        <f t="shared" si="39"/>
        <v>437543.06927099969</v>
      </c>
      <c r="G266" s="391">
        <f t="shared" si="40"/>
        <v>5.4770973691154398E-2</v>
      </c>
      <c r="H266" s="12">
        <f t="shared" si="41"/>
        <v>7988593.9537653979</v>
      </c>
      <c r="I266" s="12">
        <f t="shared" si="42"/>
        <v>6.5</v>
      </c>
      <c r="J266" s="79">
        <f t="shared" si="43"/>
        <v>13000000</v>
      </c>
      <c r="K266" s="64">
        <f t="shared" si="44"/>
        <v>3456000</v>
      </c>
      <c r="L266" s="64">
        <f t="shared" si="45"/>
        <v>3750000</v>
      </c>
      <c r="M266">
        <f>IF(COUNTIF(InputOutputData!K$20,"Chlorine"),L266+H266,L266+J266+H266)</f>
        <v>11738593.953765398</v>
      </c>
      <c r="N266">
        <f t="shared" si="50"/>
        <v>0.83847099669752845</v>
      </c>
      <c r="O266" t="str">
        <f t="shared" si="46"/>
        <v/>
      </c>
    </row>
    <row r="267" spans="1:15" ht="14.45">
      <c r="A267" s="24">
        <f>'More accurate Energy (Solar)'!A267</f>
        <v>1.4</v>
      </c>
      <c r="B267" s="24">
        <f t="shared" si="47"/>
        <v>9.722222222222221E-2</v>
      </c>
      <c r="C267" s="13">
        <f t="shared" si="48"/>
        <v>0.13999999999999999</v>
      </c>
      <c r="D267" s="12">
        <f t="shared" si="51"/>
        <v>252</v>
      </c>
      <c r="E267" s="12">
        <f t="shared" si="49"/>
        <v>3.9440000000000008</v>
      </c>
      <c r="F267" s="12">
        <f t="shared" si="39"/>
        <v>47120.02284456919</v>
      </c>
      <c r="G267" s="391">
        <f t="shared" si="40"/>
        <v>1.6052656140628618E-2</v>
      </c>
      <c r="H267" s="12">
        <f t="shared" si="41"/>
        <v>2935341.194116177</v>
      </c>
      <c r="I267" s="12">
        <f t="shared" si="42"/>
        <v>0.7</v>
      </c>
      <c r="J267" s="79">
        <f t="shared" si="43"/>
        <v>1400000</v>
      </c>
      <c r="K267" s="64">
        <f t="shared" si="44"/>
        <v>3456000</v>
      </c>
      <c r="L267" s="64">
        <f t="shared" si="45"/>
        <v>3750000</v>
      </c>
      <c r="M267">
        <f>IF(COUNTIF(InputOutputData!K$20,"Chlorine"),L267+H267,L267+J267+H267)</f>
        <v>6685341.194116177</v>
      </c>
      <c r="N267">
        <f t="shared" si="50"/>
        <v>0.47752437100829837</v>
      </c>
      <c r="O267" t="str">
        <f t="shared" si="46"/>
        <v/>
      </c>
    </row>
    <row r="268" spans="1:15" ht="14.45">
      <c r="A268" s="24">
        <f>'More accurate Energy (Solar)'!A268</f>
        <v>0</v>
      </c>
      <c r="B268" s="24">
        <f t="shared" si="47"/>
        <v>0</v>
      </c>
      <c r="C268" s="13">
        <f t="shared" si="48"/>
        <v>0</v>
      </c>
      <c r="D268" s="12">
        <f t="shared" si="51"/>
        <v>253</v>
      </c>
      <c r="E268" s="12">
        <f t="shared" si="49"/>
        <v>3.5120000000000009</v>
      </c>
      <c r="F268" s="12">
        <f t="shared" si="39"/>
        <v>0</v>
      </c>
      <c r="G268" s="391">
        <f t="shared" si="40"/>
        <v>0</v>
      </c>
      <c r="H268" s="12">
        <f t="shared" si="41"/>
        <v>0</v>
      </c>
      <c r="I268" s="12">
        <f t="shared" si="42"/>
        <v>0</v>
      </c>
      <c r="J268" s="79">
        <f t="shared" si="43"/>
        <v>0</v>
      </c>
      <c r="K268" s="64">
        <f t="shared" si="44"/>
        <v>3456000</v>
      </c>
      <c r="L268" s="64">
        <f t="shared" si="45"/>
        <v>3750000</v>
      </c>
      <c r="M268">
        <f>IF(COUNTIF(InputOutputData!K$20,"Chlorine"),L268+H268,L268+J268+H268)</f>
        <v>3750000</v>
      </c>
      <c r="N268">
        <f t="shared" si="50"/>
        <v>0.26785714285714285</v>
      </c>
      <c r="O268" t="str">
        <f t="shared" si="46"/>
        <v/>
      </c>
    </row>
    <row r="269" spans="1:15" ht="14.45">
      <c r="A269" s="24">
        <f>'More accurate Energy (Solar)'!A269</f>
        <v>0</v>
      </c>
      <c r="B269" s="24">
        <f t="shared" si="47"/>
        <v>0</v>
      </c>
      <c r="C269" s="13">
        <f t="shared" si="48"/>
        <v>0</v>
      </c>
      <c r="D269" s="12">
        <f t="shared" si="51"/>
        <v>254</v>
      </c>
      <c r="E269" s="12">
        <f t="shared" si="49"/>
        <v>3.080000000000001</v>
      </c>
      <c r="F269" s="12">
        <f t="shared" si="39"/>
        <v>0</v>
      </c>
      <c r="G269" s="391">
        <f t="shared" si="40"/>
        <v>0</v>
      </c>
      <c r="H269" s="12">
        <f t="shared" si="41"/>
        <v>0</v>
      </c>
      <c r="I269" s="12">
        <f t="shared" si="42"/>
        <v>0</v>
      </c>
      <c r="J269" s="79">
        <f t="shared" si="43"/>
        <v>0</v>
      </c>
      <c r="K269" s="64">
        <f t="shared" si="44"/>
        <v>3456000</v>
      </c>
      <c r="L269" s="64">
        <f t="shared" si="45"/>
        <v>3750000</v>
      </c>
      <c r="M269">
        <f>IF(COUNTIF(InputOutputData!K$20,"Chlorine"),L269+H269,L269+J269+H269)</f>
        <v>3750000</v>
      </c>
      <c r="N269">
        <f t="shared" si="50"/>
        <v>0.26785714285714285</v>
      </c>
      <c r="O269" t="str">
        <f t="shared" si="46"/>
        <v/>
      </c>
    </row>
    <row r="270" spans="1:15" ht="14.45">
      <c r="A270" s="24">
        <f>'More accurate Energy (Solar)'!A270</f>
        <v>0</v>
      </c>
      <c r="B270" s="24">
        <f t="shared" si="47"/>
        <v>0</v>
      </c>
      <c r="C270" s="13">
        <f t="shared" si="48"/>
        <v>0</v>
      </c>
      <c r="D270" s="12">
        <f t="shared" si="51"/>
        <v>255</v>
      </c>
      <c r="E270" s="12">
        <f t="shared" si="49"/>
        <v>2.648000000000001</v>
      </c>
      <c r="F270" s="12">
        <f t="shared" si="39"/>
        <v>0</v>
      </c>
      <c r="G270" s="391">
        <f t="shared" si="40"/>
        <v>0</v>
      </c>
      <c r="H270" s="12">
        <f t="shared" si="41"/>
        <v>0</v>
      </c>
      <c r="I270" s="12">
        <f t="shared" si="42"/>
        <v>0</v>
      </c>
      <c r="J270" s="79">
        <f t="shared" si="43"/>
        <v>0</v>
      </c>
      <c r="K270" s="64">
        <f t="shared" si="44"/>
        <v>3456000</v>
      </c>
      <c r="L270" s="64">
        <f t="shared" si="45"/>
        <v>3750000</v>
      </c>
      <c r="M270">
        <f>IF(COUNTIF(InputOutputData!K$20,"Chlorine"),L270+H270,L270+J270+H270)</f>
        <v>3750000</v>
      </c>
      <c r="N270">
        <f t="shared" si="50"/>
        <v>0.26785714285714285</v>
      </c>
      <c r="O270" t="str">
        <f t="shared" si="46"/>
        <v/>
      </c>
    </row>
    <row r="271" spans="1:15" ht="14.45">
      <c r="A271" s="24">
        <f>'More accurate Energy (Solar)'!A271</f>
        <v>0</v>
      </c>
      <c r="B271" s="24">
        <f t="shared" si="47"/>
        <v>0</v>
      </c>
      <c r="C271" s="13">
        <f t="shared" si="48"/>
        <v>0</v>
      </c>
      <c r="D271" s="12">
        <f t="shared" si="51"/>
        <v>256</v>
      </c>
      <c r="E271" s="12">
        <f t="shared" si="49"/>
        <v>2.2160000000000011</v>
      </c>
      <c r="F271" s="12">
        <f t="shared" si="39"/>
        <v>0</v>
      </c>
      <c r="G271" s="391">
        <f t="shared" si="40"/>
        <v>0</v>
      </c>
      <c r="H271" s="12">
        <f t="shared" si="41"/>
        <v>0</v>
      </c>
      <c r="I271" s="12">
        <f t="shared" si="42"/>
        <v>0</v>
      </c>
      <c r="J271" s="79">
        <f t="shared" si="43"/>
        <v>0</v>
      </c>
      <c r="K271" s="64">
        <f t="shared" si="44"/>
        <v>3456000</v>
      </c>
      <c r="L271" s="64">
        <f t="shared" si="45"/>
        <v>3750000</v>
      </c>
      <c r="M271">
        <f>IF(COUNTIF(InputOutputData!K$20,"Chlorine"),L271+H271,L271+J271+H271)</f>
        <v>3750000</v>
      </c>
      <c r="N271">
        <f t="shared" si="50"/>
        <v>0.26785714285714285</v>
      </c>
      <c r="O271" t="str">
        <f t="shared" si="46"/>
        <v/>
      </c>
    </row>
    <row r="272" spans="1:15" ht="14.45">
      <c r="A272" s="24">
        <f>'More accurate Energy (Solar)'!A272</f>
        <v>0</v>
      </c>
      <c r="B272" s="24">
        <f t="shared" si="47"/>
        <v>0</v>
      </c>
      <c r="C272" s="13">
        <f t="shared" si="48"/>
        <v>0</v>
      </c>
      <c r="D272" s="12">
        <f t="shared" si="51"/>
        <v>257</v>
      </c>
      <c r="E272" s="12">
        <f t="shared" si="49"/>
        <v>1.7840000000000011</v>
      </c>
      <c r="F272" s="12">
        <f t="shared" ref="F272:F335" si="52">C272*$L$2*1000</f>
        <v>0</v>
      </c>
      <c r="G272" s="391">
        <f t="shared" ref="G272:G335" si="53">1.2*$U$8*(EXP(B272/$L$3)-1-1.72*(B272/$L$3)^4)^($U$9)</f>
        <v>0</v>
      </c>
      <c r="H272" s="12">
        <f t="shared" ref="H272:H335" si="54">IF(C272 = 0,0,$L$2*C272/G272 * 1000)</f>
        <v>0</v>
      </c>
      <c r="I272" s="12">
        <f t="shared" ref="I272:I335" si="55">($L$7 / $L$6) * C272</f>
        <v>0</v>
      </c>
      <c r="J272" s="79">
        <f t="shared" ref="J272:J335" si="56">$L$8 * 10^6 * I272</f>
        <v>0</v>
      </c>
      <c r="K272" s="64">
        <f t="shared" ref="K272:K335" si="57">$P$6 * 24 * 3600</f>
        <v>3456000</v>
      </c>
      <c r="L272" s="64">
        <f t="shared" ref="L272:L335" si="58">K272/ ($Q$4 / 100)^2</f>
        <v>3750000</v>
      </c>
      <c r="M272">
        <f>IF(COUNTIF(InputOutputData!K$20,"Chlorine"),L272+H272,L272+J272+H272)</f>
        <v>3750000</v>
      </c>
      <c r="N272">
        <f t="shared" si="50"/>
        <v>0.26785714285714285</v>
      </c>
      <c r="O272" t="str">
        <f t="shared" ref="O272:O336" si="59">IF(E272=0,1,"")</f>
        <v/>
      </c>
    </row>
    <row r="273" spans="1:15" ht="14.45">
      <c r="A273" s="24">
        <f>'More accurate Energy (Solar)'!A273</f>
        <v>2</v>
      </c>
      <c r="B273" s="24">
        <f t="shared" ref="B273:B336" si="60">C273*100/144</f>
        <v>0.1388888888888889</v>
      </c>
      <c r="C273" s="13">
        <f t="shared" ref="C273:C336" si="61">MIN((A273/1000)*$E$3,$E$4)</f>
        <v>0.2</v>
      </c>
      <c r="D273" s="12">
        <f t="shared" si="51"/>
        <v>258</v>
      </c>
      <c r="E273" s="12">
        <f t="shared" ref="E273:E336" si="62">MAX(MIN(C273 - (IF(D273 &gt; $E$8, $E$2 / 1000,0)) + E272, $E$5),0)</f>
        <v>1.5520000000000012</v>
      </c>
      <c r="F273" s="12">
        <f t="shared" si="52"/>
        <v>67314.318349384557</v>
      </c>
      <c r="G273" s="391">
        <f t="shared" si="53"/>
        <v>1.953347190413058E-2</v>
      </c>
      <c r="H273" s="12">
        <f t="shared" si="54"/>
        <v>3446101.0658914233</v>
      </c>
      <c r="I273" s="12">
        <f t="shared" si="55"/>
        <v>1</v>
      </c>
      <c r="J273" s="79">
        <f t="shared" si="56"/>
        <v>2000000</v>
      </c>
      <c r="K273" s="64">
        <f t="shared" si="57"/>
        <v>3456000</v>
      </c>
      <c r="L273" s="64">
        <f t="shared" si="58"/>
        <v>3750000</v>
      </c>
      <c r="M273">
        <f>IF(COUNTIF(InputOutputData!K$20,"Chlorine"),L273+H273,L273+J273+H273)</f>
        <v>7196101.0658914233</v>
      </c>
      <c r="N273">
        <f t="shared" ref="N273:N336" si="63">(M273 / (10)^6) / 40 / 0.35</f>
        <v>0.51400721899224455</v>
      </c>
      <c r="O273" t="str">
        <f t="shared" si="59"/>
        <v/>
      </c>
    </row>
    <row r="274" spans="1:15" ht="14.45">
      <c r="A274" s="24">
        <f>'More accurate Energy (Solar)'!A274</f>
        <v>4</v>
      </c>
      <c r="B274" s="24">
        <f t="shared" si="60"/>
        <v>0.27777777777777779</v>
      </c>
      <c r="C274" s="13">
        <f t="shared" si="61"/>
        <v>0.4</v>
      </c>
      <c r="D274" s="12">
        <f t="shared" ref="D274:D337" si="64">D273+1</f>
        <v>259</v>
      </c>
      <c r="E274" s="12">
        <f t="shared" si="62"/>
        <v>1.5200000000000011</v>
      </c>
      <c r="F274" s="12">
        <f t="shared" si="52"/>
        <v>134628.63669876911</v>
      </c>
      <c r="G274" s="391">
        <f t="shared" si="53"/>
        <v>2.8606682038735863E-2</v>
      </c>
      <c r="H274" s="12">
        <f t="shared" si="54"/>
        <v>4706195.4447031152</v>
      </c>
      <c r="I274" s="12">
        <f t="shared" si="55"/>
        <v>2</v>
      </c>
      <c r="J274" s="79">
        <f t="shared" si="56"/>
        <v>4000000</v>
      </c>
      <c r="K274" s="64">
        <f t="shared" si="57"/>
        <v>3456000</v>
      </c>
      <c r="L274" s="64">
        <f t="shared" si="58"/>
        <v>3750000</v>
      </c>
      <c r="M274">
        <f>IF(COUNTIF(InputOutputData!K$20,"Chlorine"),L274+H274,L274+J274+H274)</f>
        <v>8456195.4447031152</v>
      </c>
      <c r="N274">
        <f t="shared" si="63"/>
        <v>0.60401396033593679</v>
      </c>
      <c r="O274" t="str">
        <f t="shared" si="59"/>
        <v/>
      </c>
    </row>
    <row r="275" spans="1:15" ht="14.45">
      <c r="A275" s="24">
        <f>'More accurate Energy (Solar)'!A275</f>
        <v>2.8</v>
      </c>
      <c r="B275" s="24">
        <f t="shared" si="60"/>
        <v>0.19444444444444442</v>
      </c>
      <c r="C275" s="13">
        <f t="shared" si="61"/>
        <v>0.27999999999999997</v>
      </c>
      <c r="D275" s="12">
        <f t="shared" si="64"/>
        <v>260</v>
      </c>
      <c r="E275" s="12">
        <f t="shared" si="62"/>
        <v>1.3680000000000012</v>
      </c>
      <c r="F275" s="12">
        <f t="shared" si="52"/>
        <v>94240.04568913838</v>
      </c>
      <c r="G275" s="391">
        <f t="shared" si="53"/>
        <v>2.3507068854835791E-2</v>
      </c>
      <c r="H275" s="12">
        <f t="shared" si="54"/>
        <v>4009008.7909770021</v>
      </c>
      <c r="I275" s="12">
        <f t="shared" si="55"/>
        <v>1.4</v>
      </c>
      <c r="J275" s="79">
        <f t="shared" si="56"/>
        <v>2800000</v>
      </c>
      <c r="K275" s="64">
        <f t="shared" si="57"/>
        <v>3456000</v>
      </c>
      <c r="L275" s="64">
        <f t="shared" si="58"/>
        <v>3750000</v>
      </c>
      <c r="M275">
        <f>IF(COUNTIF(InputOutputData!K$20,"Chlorine"),L275+H275,L275+J275+H275)</f>
        <v>7759008.7909770021</v>
      </c>
      <c r="N275">
        <f t="shared" si="63"/>
        <v>0.55421491364121445</v>
      </c>
      <c r="O275" t="str">
        <f t="shared" si="59"/>
        <v/>
      </c>
    </row>
    <row r="276" spans="1:15" ht="14.45">
      <c r="A276" s="24">
        <f>'More accurate Energy (Solar)'!A276</f>
        <v>46.4</v>
      </c>
      <c r="B276" s="24">
        <f t="shared" si="60"/>
        <v>1.0416666666666667</v>
      </c>
      <c r="C276" s="13">
        <f t="shared" si="61"/>
        <v>1.5</v>
      </c>
      <c r="D276" s="12">
        <f t="shared" si="64"/>
        <v>261</v>
      </c>
      <c r="E276" s="12">
        <f t="shared" si="62"/>
        <v>2.4360000000000013</v>
      </c>
      <c r="F276" s="12">
        <f t="shared" si="52"/>
        <v>504857.38762038422</v>
      </c>
      <c r="G276" s="391">
        <f t="shared" si="53"/>
        <v>5.9272522795741148E-2</v>
      </c>
      <c r="H276" s="12">
        <f t="shared" si="54"/>
        <v>8517561.9968154822</v>
      </c>
      <c r="I276" s="12">
        <f t="shared" si="55"/>
        <v>7.5</v>
      </c>
      <c r="J276" s="79">
        <f t="shared" si="56"/>
        <v>15000000</v>
      </c>
      <c r="K276" s="64">
        <f t="shared" si="57"/>
        <v>3456000</v>
      </c>
      <c r="L276" s="64">
        <f t="shared" si="58"/>
        <v>3750000</v>
      </c>
      <c r="M276">
        <f>IF(COUNTIF(InputOutputData!K$20,"Chlorine"),L276+H276,L276+J276+H276)</f>
        <v>12267561.996815482</v>
      </c>
      <c r="N276">
        <f t="shared" si="63"/>
        <v>0.87625442834396305</v>
      </c>
      <c r="O276" t="str">
        <f t="shared" si="59"/>
        <v/>
      </c>
    </row>
    <row r="277" spans="1:15" ht="14.45">
      <c r="A277" s="24">
        <f>'More accurate Energy (Solar)'!A277</f>
        <v>86.8</v>
      </c>
      <c r="B277" s="24">
        <f t="shared" si="60"/>
        <v>1.0416666666666667</v>
      </c>
      <c r="C277" s="13">
        <f t="shared" si="61"/>
        <v>1.5</v>
      </c>
      <c r="D277" s="12">
        <f t="shared" si="64"/>
        <v>262</v>
      </c>
      <c r="E277" s="12">
        <f t="shared" si="62"/>
        <v>3.5040000000000013</v>
      </c>
      <c r="F277" s="12">
        <f t="shared" si="52"/>
        <v>504857.38762038422</v>
      </c>
      <c r="G277" s="391">
        <f t="shared" si="53"/>
        <v>5.9272522795741148E-2</v>
      </c>
      <c r="H277" s="12">
        <f t="shared" si="54"/>
        <v>8517561.9968154822</v>
      </c>
      <c r="I277" s="12">
        <f t="shared" si="55"/>
        <v>7.5</v>
      </c>
      <c r="J277" s="79">
        <f t="shared" si="56"/>
        <v>15000000</v>
      </c>
      <c r="K277" s="64">
        <f t="shared" si="57"/>
        <v>3456000</v>
      </c>
      <c r="L277" s="64">
        <f t="shared" si="58"/>
        <v>3750000</v>
      </c>
      <c r="M277">
        <f>IF(COUNTIF(InputOutputData!K$20,"Chlorine"),L277+H277,L277+J277+H277)</f>
        <v>12267561.996815482</v>
      </c>
      <c r="N277">
        <f t="shared" si="63"/>
        <v>0.87625442834396305</v>
      </c>
      <c r="O277" t="str">
        <f t="shared" si="59"/>
        <v/>
      </c>
    </row>
    <row r="278" spans="1:15" ht="14.45">
      <c r="A278" s="24">
        <f>'More accurate Energy (Solar)'!A278</f>
        <v>1.4</v>
      </c>
      <c r="B278" s="24">
        <f t="shared" si="60"/>
        <v>9.722222222222221E-2</v>
      </c>
      <c r="C278" s="13">
        <f t="shared" si="61"/>
        <v>0.13999999999999999</v>
      </c>
      <c r="D278" s="12">
        <f t="shared" si="64"/>
        <v>263</v>
      </c>
      <c r="E278" s="12">
        <f t="shared" si="62"/>
        <v>3.2120000000000015</v>
      </c>
      <c r="F278" s="12">
        <f t="shared" si="52"/>
        <v>47120.02284456919</v>
      </c>
      <c r="G278" s="391">
        <f t="shared" si="53"/>
        <v>1.6052656140628618E-2</v>
      </c>
      <c r="H278" s="12">
        <f t="shared" si="54"/>
        <v>2935341.194116177</v>
      </c>
      <c r="I278" s="12">
        <f t="shared" si="55"/>
        <v>0.7</v>
      </c>
      <c r="J278" s="79">
        <f t="shared" si="56"/>
        <v>1400000</v>
      </c>
      <c r="K278" s="64">
        <f t="shared" si="57"/>
        <v>3456000</v>
      </c>
      <c r="L278" s="64">
        <f t="shared" si="58"/>
        <v>3750000</v>
      </c>
      <c r="M278">
        <f>IF(COUNTIF(InputOutputData!K$20,"Chlorine"),L278+H278,L278+J278+H278)</f>
        <v>6685341.194116177</v>
      </c>
      <c r="N278">
        <f t="shared" si="63"/>
        <v>0.47752437100829837</v>
      </c>
      <c r="O278" t="str">
        <f t="shared" si="59"/>
        <v/>
      </c>
    </row>
    <row r="279" spans="1:15" ht="14.45">
      <c r="A279" s="24">
        <f>'More accurate Energy (Solar)'!A279</f>
        <v>4.2</v>
      </c>
      <c r="B279" s="24">
        <f t="shared" si="60"/>
        <v>0.29166666666666674</v>
      </c>
      <c r="C279" s="13">
        <f t="shared" si="61"/>
        <v>0.42000000000000004</v>
      </c>
      <c r="D279" s="12">
        <f t="shared" si="64"/>
        <v>264</v>
      </c>
      <c r="E279" s="12">
        <f t="shared" si="62"/>
        <v>3.2000000000000015</v>
      </c>
      <c r="F279" s="12">
        <f t="shared" si="52"/>
        <v>141360.06853370758</v>
      </c>
      <c r="G279" s="391">
        <f t="shared" si="53"/>
        <v>2.938554563262399E-2</v>
      </c>
      <c r="H279" s="12">
        <f t="shared" si="54"/>
        <v>4810530.6704521049</v>
      </c>
      <c r="I279" s="12">
        <f t="shared" si="55"/>
        <v>2.1</v>
      </c>
      <c r="J279" s="79">
        <f t="shared" si="56"/>
        <v>4200000</v>
      </c>
      <c r="K279" s="64">
        <f t="shared" si="57"/>
        <v>3456000</v>
      </c>
      <c r="L279" s="64">
        <f t="shared" si="58"/>
        <v>3750000</v>
      </c>
      <c r="M279">
        <f>IF(COUNTIF(InputOutputData!K$20,"Chlorine"),L279+H279,L279+J279+H279)</f>
        <v>8560530.6704521049</v>
      </c>
      <c r="N279">
        <f t="shared" si="63"/>
        <v>0.61146647646086461</v>
      </c>
      <c r="O279" t="str">
        <f t="shared" si="59"/>
        <v/>
      </c>
    </row>
    <row r="280" spans="1:15" ht="14.45">
      <c r="A280" s="24">
        <f>'More accurate Energy (Solar)'!A280</f>
        <v>39.799999999999997</v>
      </c>
      <c r="B280" s="24">
        <f t="shared" si="60"/>
        <v>1.0416666666666667</v>
      </c>
      <c r="C280" s="13">
        <f t="shared" si="61"/>
        <v>1.5</v>
      </c>
      <c r="D280" s="12">
        <f t="shared" si="64"/>
        <v>265</v>
      </c>
      <c r="E280" s="12">
        <f t="shared" si="62"/>
        <v>4.2680000000000016</v>
      </c>
      <c r="F280" s="12">
        <f t="shared" si="52"/>
        <v>504857.38762038422</v>
      </c>
      <c r="G280" s="391">
        <f t="shared" si="53"/>
        <v>5.9272522795741148E-2</v>
      </c>
      <c r="H280" s="12">
        <f t="shared" si="54"/>
        <v>8517561.9968154822</v>
      </c>
      <c r="I280" s="12">
        <f t="shared" si="55"/>
        <v>7.5</v>
      </c>
      <c r="J280" s="79">
        <f t="shared" si="56"/>
        <v>15000000</v>
      </c>
      <c r="K280" s="64">
        <f t="shared" si="57"/>
        <v>3456000</v>
      </c>
      <c r="L280" s="64">
        <f t="shared" si="58"/>
        <v>3750000</v>
      </c>
      <c r="M280">
        <f>IF(COUNTIF(InputOutputData!K$20,"Chlorine"),L280+H280,L280+J280+H280)</f>
        <v>12267561.996815482</v>
      </c>
      <c r="N280">
        <f t="shared" si="63"/>
        <v>0.87625442834396305</v>
      </c>
      <c r="O280" t="str">
        <f t="shared" si="59"/>
        <v/>
      </c>
    </row>
    <row r="281" spans="1:15" ht="14.45">
      <c r="A281" s="24">
        <f>'More accurate Energy (Solar)'!A281</f>
        <v>29.8</v>
      </c>
      <c r="B281" s="24">
        <f t="shared" si="60"/>
        <v>1.0416666666666667</v>
      </c>
      <c r="C281" s="13">
        <f t="shared" si="61"/>
        <v>1.5</v>
      </c>
      <c r="D281" s="12">
        <f t="shared" si="64"/>
        <v>266</v>
      </c>
      <c r="E281" s="12">
        <f t="shared" si="62"/>
        <v>5.3360000000000021</v>
      </c>
      <c r="F281" s="12">
        <f t="shared" si="52"/>
        <v>504857.38762038422</v>
      </c>
      <c r="G281" s="391">
        <f t="shared" si="53"/>
        <v>5.9272522795741148E-2</v>
      </c>
      <c r="H281" s="12">
        <f t="shared" si="54"/>
        <v>8517561.9968154822</v>
      </c>
      <c r="I281" s="12">
        <f t="shared" si="55"/>
        <v>7.5</v>
      </c>
      <c r="J281" s="79">
        <f t="shared" si="56"/>
        <v>15000000</v>
      </c>
      <c r="K281" s="64">
        <f t="shared" si="57"/>
        <v>3456000</v>
      </c>
      <c r="L281" s="64">
        <f t="shared" si="58"/>
        <v>3750000</v>
      </c>
      <c r="M281">
        <f>IF(COUNTIF(InputOutputData!K$20,"Chlorine"),L281+H281,L281+J281+H281)</f>
        <v>12267561.996815482</v>
      </c>
      <c r="N281">
        <f t="shared" si="63"/>
        <v>0.87625442834396305</v>
      </c>
      <c r="O281" t="str">
        <f t="shared" si="59"/>
        <v/>
      </c>
    </row>
    <row r="282" spans="1:15" ht="14.45">
      <c r="A282" s="24">
        <f>'More accurate Energy (Solar)'!A282</f>
        <v>11.8</v>
      </c>
      <c r="B282" s="24">
        <f t="shared" si="60"/>
        <v>0.81944444444444453</v>
      </c>
      <c r="C282" s="13">
        <f t="shared" si="61"/>
        <v>1.1800000000000002</v>
      </c>
      <c r="D282" s="12">
        <f t="shared" si="64"/>
        <v>267</v>
      </c>
      <c r="E282" s="12">
        <f t="shared" si="62"/>
        <v>6.0840000000000023</v>
      </c>
      <c r="F282" s="12">
        <f t="shared" si="52"/>
        <v>397154.47826136899</v>
      </c>
      <c r="G282" s="391">
        <f t="shared" si="53"/>
        <v>5.1921085362336715E-2</v>
      </c>
      <c r="H282" s="12">
        <f t="shared" si="54"/>
        <v>7649194.4551964775</v>
      </c>
      <c r="I282" s="12">
        <f t="shared" si="55"/>
        <v>5.9</v>
      </c>
      <c r="J282" s="79">
        <f t="shared" si="56"/>
        <v>11800000</v>
      </c>
      <c r="K282" s="64">
        <f t="shared" si="57"/>
        <v>3456000</v>
      </c>
      <c r="L282" s="64">
        <f t="shared" si="58"/>
        <v>3750000</v>
      </c>
      <c r="M282">
        <f>IF(COUNTIF(InputOutputData!K$20,"Chlorine"),L282+H282,L282+J282+H282)</f>
        <v>11399194.455196477</v>
      </c>
      <c r="N282">
        <f t="shared" si="63"/>
        <v>0.81422817537117698</v>
      </c>
      <c r="O282" t="str">
        <f t="shared" si="59"/>
        <v/>
      </c>
    </row>
    <row r="283" spans="1:15" ht="14.45">
      <c r="A283" s="24">
        <f>'More accurate Energy (Solar)'!A283</f>
        <v>1.6</v>
      </c>
      <c r="B283" s="24">
        <f t="shared" si="60"/>
        <v>0.1111111111111111</v>
      </c>
      <c r="C283" s="13">
        <f t="shared" si="61"/>
        <v>0.16</v>
      </c>
      <c r="D283" s="12">
        <f t="shared" si="64"/>
        <v>268</v>
      </c>
      <c r="E283" s="12">
        <f t="shared" si="62"/>
        <v>5.8120000000000021</v>
      </c>
      <c r="F283" s="12">
        <f t="shared" si="52"/>
        <v>53851.454679507653</v>
      </c>
      <c r="G283" s="391">
        <f t="shared" si="53"/>
        <v>1.7276454762570417E-2</v>
      </c>
      <c r="H283" s="12">
        <f t="shared" si="54"/>
        <v>3117043.1329567269</v>
      </c>
      <c r="I283" s="12">
        <f t="shared" si="55"/>
        <v>0.8</v>
      </c>
      <c r="J283" s="79">
        <f t="shared" si="56"/>
        <v>1600000</v>
      </c>
      <c r="K283" s="64">
        <f t="shared" si="57"/>
        <v>3456000</v>
      </c>
      <c r="L283" s="64">
        <f t="shared" si="58"/>
        <v>3750000</v>
      </c>
      <c r="M283">
        <f>IF(COUNTIF(InputOutputData!K$20,"Chlorine"),L283+H283,L283+J283+H283)</f>
        <v>6867043.1329567265</v>
      </c>
      <c r="N283">
        <f t="shared" si="63"/>
        <v>0.49050308092548045</v>
      </c>
      <c r="O283" t="str">
        <f t="shared" si="59"/>
        <v/>
      </c>
    </row>
    <row r="284" spans="1:15" ht="14.45">
      <c r="A284" s="24">
        <f>'More accurate Energy (Solar)'!A284</f>
        <v>0</v>
      </c>
      <c r="B284" s="24">
        <f t="shared" si="60"/>
        <v>0</v>
      </c>
      <c r="C284" s="13">
        <f t="shared" si="61"/>
        <v>0</v>
      </c>
      <c r="D284" s="12">
        <f t="shared" si="64"/>
        <v>269</v>
      </c>
      <c r="E284" s="12">
        <f t="shared" si="62"/>
        <v>5.3800000000000017</v>
      </c>
      <c r="F284" s="12">
        <f t="shared" si="52"/>
        <v>0</v>
      </c>
      <c r="G284" s="391">
        <f t="shared" si="53"/>
        <v>0</v>
      </c>
      <c r="H284" s="12">
        <f t="shared" si="54"/>
        <v>0</v>
      </c>
      <c r="I284" s="12">
        <f t="shared" si="55"/>
        <v>0</v>
      </c>
      <c r="J284" s="79">
        <f t="shared" si="56"/>
        <v>0</v>
      </c>
      <c r="K284" s="64">
        <f t="shared" si="57"/>
        <v>3456000</v>
      </c>
      <c r="L284" s="64">
        <f t="shared" si="58"/>
        <v>3750000</v>
      </c>
      <c r="M284">
        <f>IF(COUNTIF(InputOutputData!K$20,"Chlorine"),L284+H284,L284+J284+H284)</f>
        <v>3750000</v>
      </c>
      <c r="N284">
        <f t="shared" si="63"/>
        <v>0.26785714285714285</v>
      </c>
      <c r="O284" t="str">
        <f t="shared" si="59"/>
        <v/>
      </c>
    </row>
    <row r="285" spans="1:15" ht="14.45">
      <c r="A285" s="24">
        <f>'More accurate Energy (Solar)'!A285</f>
        <v>0</v>
      </c>
      <c r="B285" s="24">
        <f t="shared" si="60"/>
        <v>0</v>
      </c>
      <c r="C285" s="13">
        <f t="shared" si="61"/>
        <v>0</v>
      </c>
      <c r="D285" s="12">
        <f t="shared" si="64"/>
        <v>270</v>
      </c>
      <c r="E285" s="12">
        <f t="shared" si="62"/>
        <v>4.9480000000000013</v>
      </c>
      <c r="F285" s="12">
        <f t="shared" si="52"/>
        <v>0</v>
      </c>
      <c r="G285" s="391">
        <f t="shared" si="53"/>
        <v>0</v>
      </c>
      <c r="H285" s="12">
        <f t="shared" si="54"/>
        <v>0</v>
      </c>
      <c r="I285" s="12">
        <f t="shared" si="55"/>
        <v>0</v>
      </c>
      <c r="J285" s="79">
        <f t="shared" si="56"/>
        <v>0</v>
      </c>
      <c r="K285" s="64">
        <f t="shared" si="57"/>
        <v>3456000</v>
      </c>
      <c r="L285" s="64">
        <f t="shared" si="58"/>
        <v>3750000</v>
      </c>
      <c r="M285">
        <f>IF(COUNTIF(InputOutputData!K$20,"Chlorine"),L285+H285,L285+J285+H285)</f>
        <v>3750000</v>
      </c>
      <c r="N285">
        <f t="shared" si="63"/>
        <v>0.26785714285714285</v>
      </c>
      <c r="O285" t="str">
        <f t="shared" si="59"/>
        <v/>
      </c>
    </row>
    <row r="286" spans="1:15" ht="14.45">
      <c r="A286" s="24">
        <f>'More accurate Energy (Solar)'!A286</f>
        <v>0</v>
      </c>
      <c r="B286" s="24">
        <f t="shared" si="60"/>
        <v>0</v>
      </c>
      <c r="C286" s="13">
        <f t="shared" si="61"/>
        <v>0</v>
      </c>
      <c r="D286" s="12">
        <f t="shared" si="64"/>
        <v>271</v>
      </c>
      <c r="E286" s="12">
        <f t="shared" si="62"/>
        <v>4.5160000000000009</v>
      </c>
      <c r="F286" s="12">
        <f t="shared" si="52"/>
        <v>0</v>
      </c>
      <c r="G286" s="391">
        <f t="shared" si="53"/>
        <v>0</v>
      </c>
      <c r="H286" s="12">
        <f t="shared" si="54"/>
        <v>0</v>
      </c>
      <c r="I286" s="12">
        <f t="shared" si="55"/>
        <v>0</v>
      </c>
      <c r="J286" s="79">
        <f t="shared" si="56"/>
        <v>0</v>
      </c>
      <c r="K286" s="64">
        <f t="shared" si="57"/>
        <v>3456000</v>
      </c>
      <c r="L286" s="64">
        <f t="shared" si="58"/>
        <v>3750000</v>
      </c>
      <c r="M286">
        <f>IF(COUNTIF(InputOutputData!K$20,"Chlorine"),L286+H286,L286+J286+H286)</f>
        <v>3750000</v>
      </c>
      <c r="N286">
        <f t="shared" si="63"/>
        <v>0.26785714285714285</v>
      </c>
      <c r="O286" t="str">
        <f t="shared" si="59"/>
        <v/>
      </c>
    </row>
    <row r="287" spans="1:15" ht="14.45">
      <c r="A287" s="24">
        <f>'More accurate Energy (Solar)'!A287</f>
        <v>0</v>
      </c>
      <c r="B287" s="24">
        <f t="shared" si="60"/>
        <v>0</v>
      </c>
      <c r="C287" s="13">
        <f t="shared" si="61"/>
        <v>0</v>
      </c>
      <c r="D287" s="12">
        <f t="shared" si="64"/>
        <v>272</v>
      </c>
      <c r="E287" s="12">
        <f t="shared" si="62"/>
        <v>4.0840000000000005</v>
      </c>
      <c r="F287" s="12">
        <f t="shared" si="52"/>
        <v>0</v>
      </c>
      <c r="G287" s="391">
        <f t="shared" si="53"/>
        <v>0</v>
      </c>
      <c r="H287" s="12">
        <f t="shared" si="54"/>
        <v>0</v>
      </c>
      <c r="I287" s="12">
        <f t="shared" si="55"/>
        <v>0</v>
      </c>
      <c r="J287" s="79">
        <f t="shared" si="56"/>
        <v>0</v>
      </c>
      <c r="K287" s="64">
        <f t="shared" si="57"/>
        <v>3456000</v>
      </c>
      <c r="L287" s="64">
        <f t="shared" si="58"/>
        <v>3750000</v>
      </c>
      <c r="M287">
        <f>IF(COUNTIF(InputOutputData!K$20,"Chlorine"),L287+H287,L287+J287+H287)</f>
        <v>3750000</v>
      </c>
      <c r="N287">
        <f t="shared" si="63"/>
        <v>0.26785714285714285</v>
      </c>
      <c r="O287" t="str">
        <f t="shared" si="59"/>
        <v/>
      </c>
    </row>
    <row r="288" spans="1:15" ht="14.45">
      <c r="A288" s="24">
        <f>'More accurate Energy (Solar)'!A288</f>
        <v>0</v>
      </c>
      <c r="B288" s="24">
        <f t="shared" si="60"/>
        <v>0</v>
      </c>
      <c r="C288" s="13">
        <f t="shared" si="61"/>
        <v>0</v>
      </c>
      <c r="D288" s="12">
        <f t="shared" si="64"/>
        <v>273</v>
      </c>
      <c r="E288" s="12">
        <f t="shared" si="62"/>
        <v>3.6520000000000006</v>
      </c>
      <c r="F288" s="12">
        <f t="shared" si="52"/>
        <v>0</v>
      </c>
      <c r="G288" s="391">
        <f t="shared" si="53"/>
        <v>0</v>
      </c>
      <c r="H288" s="12">
        <f t="shared" si="54"/>
        <v>0</v>
      </c>
      <c r="I288" s="12">
        <f t="shared" si="55"/>
        <v>0</v>
      </c>
      <c r="J288" s="79">
        <f t="shared" si="56"/>
        <v>0</v>
      </c>
      <c r="K288" s="64">
        <f t="shared" si="57"/>
        <v>3456000</v>
      </c>
      <c r="L288" s="64">
        <f t="shared" si="58"/>
        <v>3750000</v>
      </c>
      <c r="M288">
        <f>IF(COUNTIF(InputOutputData!K$20,"Chlorine"),L288+H288,L288+J288+H288)</f>
        <v>3750000</v>
      </c>
      <c r="N288">
        <f t="shared" si="63"/>
        <v>0.26785714285714285</v>
      </c>
      <c r="O288" t="str">
        <f t="shared" si="59"/>
        <v/>
      </c>
    </row>
    <row r="289" spans="1:15" ht="14.45">
      <c r="A289" s="24">
        <f>'More accurate Energy (Solar)'!A289</f>
        <v>0</v>
      </c>
      <c r="B289" s="24">
        <f t="shared" si="60"/>
        <v>0</v>
      </c>
      <c r="C289" s="13">
        <f t="shared" si="61"/>
        <v>0</v>
      </c>
      <c r="D289" s="12">
        <f t="shared" si="64"/>
        <v>274</v>
      </c>
      <c r="E289" s="12">
        <f t="shared" si="62"/>
        <v>3.2200000000000006</v>
      </c>
      <c r="F289" s="12">
        <f t="shared" si="52"/>
        <v>0</v>
      </c>
      <c r="G289" s="391">
        <f t="shared" si="53"/>
        <v>0</v>
      </c>
      <c r="H289" s="12">
        <f t="shared" si="54"/>
        <v>0</v>
      </c>
      <c r="I289" s="12">
        <f t="shared" si="55"/>
        <v>0</v>
      </c>
      <c r="J289" s="79">
        <f t="shared" si="56"/>
        <v>0</v>
      </c>
      <c r="K289" s="64">
        <f t="shared" si="57"/>
        <v>3456000</v>
      </c>
      <c r="L289" s="64">
        <f t="shared" si="58"/>
        <v>3750000</v>
      </c>
      <c r="M289">
        <f>IF(COUNTIF(InputOutputData!K$20,"Chlorine"),L289+H289,L289+J289+H289)</f>
        <v>3750000</v>
      </c>
      <c r="N289">
        <f t="shared" si="63"/>
        <v>0.26785714285714285</v>
      </c>
      <c r="O289" t="str">
        <f t="shared" si="59"/>
        <v/>
      </c>
    </row>
    <row r="290" spans="1:15" ht="14.45">
      <c r="A290" s="24">
        <f>'More accurate Energy (Solar)'!A290</f>
        <v>0</v>
      </c>
      <c r="B290" s="24">
        <f t="shared" si="60"/>
        <v>0</v>
      </c>
      <c r="C290" s="13">
        <f t="shared" si="61"/>
        <v>0</v>
      </c>
      <c r="D290" s="12">
        <f t="shared" si="64"/>
        <v>275</v>
      </c>
      <c r="E290" s="12">
        <f t="shared" si="62"/>
        <v>2.7880000000000007</v>
      </c>
      <c r="F290" s="12">
        <f t="shared" si="52"/>
        <v>0</v>
      </c>
      <c r="G290" s="391">
        <f t="shared" si="53"/>
        <v>0</v>
      </c>
      <c r="H290" s="12">
        <f t="shared" si="54"/>
        <v>0</v>
      </c>
      <c r="I290" s="12">
        <f t="shared" si="55"/>
        <v>0</v>
      </c>
      <c r="J290" s="79">
        <f t="shared" si="56"/>
        <v>0</v>
      </c>
      <c r="K290" s="64">
        <f t="shared" si="57"/>
        <v>3456000</v>
      </c>
      <c r="L290" s="64">
        <f t="shared" si="58"/>
        <v>3750000</v>
      </c>
      <c r="M290">
        <f>IF(COUNTIF(InputOutputData!K$20,"Chlorine"),L290+H290,L290+J290+H290)</f>
        <v>3750000</v>
      </c>
      <c r="N290">
        <f t="shared" si="63"/>
        <v>0.26785714285714285</v>
      </c>
      <c r="O290" t="str">
        <f t="shared" si="59"/>
        <v/>
      </c>
    </row>
    <row r="291" spans="1:15" ht="14.45">
      <c r="A291" s="24">
        <f>'More accurate Energy (Solar)'!A291</f>
        <v>0</v>
      </c>
      <c r="B291" s="24">
        <f t="shared" si="60"/>
        <v>0</v>
      </c>
      <c r="C291" s="13">
        <f t="shared" si="61"/>
        <v>0</v>
      </c>
      <c r="D291" s="12">
        <f t="shared" si="64"/>
        <v>276</v>
      </c>
      <c r="E291" s="12">
        <f t="shared" si="62"/>
        <v>2.3560000000000008</v>
      </c>
      <c r="F291" s="12">
        <f t="shared" si="52"/>
        <v>0</v>
      </c>
      <c r="G291" s="391">
        <f t="shared" si="53"/>
        <v>0</v>
      </c>
      <c r="H291" s="12">
        <f t="shared" si="54"/>
        <v>0</v>
      </c>
      <c r="I291" s="12">
        <f t="shared" si="55"/>
        <v>0</v>
      </c>
      <c r="J291" s="79">
        <f t="shared" si="56"/>
        <v>0</v>
      </c>
      <c r="K291" s="64">
        <f t="shared" si="57"/>
        <v>3456000</v>
      </c>
      <c r="L291" s="64">
        <f t="shared" si="58"/>
        <v>3750000</v>
      </c>
      <c r="M291">
        <f>IF(COUNTIF(InputOutputData!K$20,"Chlorine"),L291+H291,L291+J291+H291)</f>
        <v>3750000</v>
      </c>
      <c r="N291">
        <f t="shared" si="63"/>
        <v>0.26785714285714285</v>
      </c>
      <c r="O291" t="str">
        <f t="shared" si="59"/>
        <v/>
      </c>
    </row>
    <row r="292" spans="1:15" ht="14.45">
      <c r="A292" s="24">
        <f>'More accurate Energy (Solar)'!A292</f>
        <v>0</v>
      </c>
      <c r="B292" s="24">
        <f t="shared" si="60"/>
        <v>0</v>
      </c>
      <c r="C292" s="13">
        <f t="shared" si="61"/>
        <v>0</v>
      </c>
      <c r="D292" s="12">
        <f t="shared" si="64"/>
        <v>277</v>
      </c>
      <c r="E292" s="12">
        <f t="shared" si="62"/>
        <v>1.9240000000000008</v>
      </c>
      <c r="F292" s="12">
        <f t="shared" si="52"/>
        <v>0</v>
      </c>
      <c r="G292" s="391">
        <f t="shared" si="53"/>
        <v>0</v>
      </c>
      <c r="H292" s="12">
        <f t="shared" si="54"/>
        <v>0</v>
      </c>
      <c r="I292" s="12">
        <f t="shared" si="55"/>
        <v>0</v>
      </c>
      <c r="J292" s="79">
        <f t="shared" si="56"/>
        <v>0</v>
      </c>
      <c r="K292" s="64">
        <f t="shared" si="57"/>
        <v>3456000</v>
      </c>
      <c r="L292" s="64">
        <f t="shared" si="58"/>
        <v>3750000</v>
      </c>
      <c r="M292">
        <f>IF(COUNTIF(InputOutputData!K$20,"Chlorine"),L292+H292,L292+J292+H292)</f>
        <v>3750000</v>
      </c>
      <c r="N292">
        <f t="shared" si="63"/>
        <v>0.26785714285714285</v>
      </c>
      <c r="O292" t="str">
        <f t="shared" si="59"/>
        <v/>
      </c>
    </row>
    <row r="293" spans="1:15" ht="14.45">
      <c r="A293" s="24">
        <f>'More accurate Energy (Solar)'!A293</f>
        <v>0</v>
      </c>
      <c r="B293" s="24">
        <f t="shared" si="60"/>
        <v>0</v>
      </c>
      <c r="C293" s="13">
        <f t="shared" si="61"/>
        <v>0</v>
      </c>
      <c r="D293" s="12">
        <f t="shared" si="64"/>
        <v>278</v>
      </c>
      <c r="E293" s="12">
        <f t="shared" si="62"/>
        <v>1.4920000000000009</v>
      </c>
      <c r="F293" s="12">
        <f t="shared" si="52"/>
        <v>0</v>
      </c>
      <c r="G293" s="391">
        <f t="shared" si="53"/>
        <v>0</v>
      </c>
      <c r="H293" s="12">
        <f t="shared" si="54"/>
        <v>0</v>
      </c>
      <c r="I293" s="12">
        <f t="shared" si="55"/>
        <v>0</v>
      </c>
      <c r="J293" s="79">
        <f t="shared" si="56"/>
        <v>0</v>
      </c>
      <c r="K293" s="64">
        <f t="shared" si="57"/>
        <v>3456000</v>
      </c>
      <c r="L293" s="64">
        <f t="shared" si="58"/>
        <v>3750000</v>
      </c>
      <c r="M293">
        <f>IF(COUNTIF(InputOutputData!K$20,"Chlorine"),L293+H293,L293+J293+H293)</f>
        <v>3750000</v>
      </c>
      <c r="N293">
        <f t="shared" si="63"/>
        <v>0.26785714285714285</v>
      </c>
      <c r="O293" t="str">
        <f t="shared" si="59"/>
        <v/>
      </c>
    </row>
    <row r="294" spans="1:15" ht="14.45">
      <c r="A294" s="24">
        <f>'More accurate Energy (Solar)'!A294</f>
        <v>4</v>
      </c>
      <c r="B294" s="24">
        <f t="shared" si="60"/>
        <v>0.27777777777777779</v>
      </c>
      <c r="C294" s="13">
        <f t="shared" si="61"/>
        <v>0.4</v>
      </c>
      <c r="D294" s="12">
        <f t="shared" si="64"/>
        <v>279</v>
      </c>
      <c r="E294" s="12">
        <f t="shared" si="62"/>
        <v>1.4600000000000009</v>
      </c>
      <c r="F294" s="12">
        <f t="shared" si="52"/>
        <v>134628.63669876911</v>
      </c>
      <c r="G294" s="391">
        <f t="shared" si="53"/>
        <v>2.8606682038735863E-2</v>
      </c>
      <c r="H294" s="12">
        <f t="shared" si="54"/>
        <v>4706195.4447031152</v>
      </c>
      <c r="I294" s="12">
        <f t="shared" si="55"/>
        <v>2</v>
      </c>
      <c r="J294" s="79">
        <f t="shared" si="56"/>
        <v>4000000</v>
      </c>
      <c r="K294" s="64">
        <f t="shared" si="57"/>
        <v>3456000</v>
      </c>
      <c r="L294" s="64">
        <f t="shared" si="58"/>
        <v>3750000</v>
      </c>
      <c r="M294">
        <f>IF(COUNTIF(InputOutputData!K$20,"Chlorine"),L294+H294,L294+J294+H294)</f>
        <v>8456195.4447031152</v>
      </c>
      <c r="N294">
        <f t="shared" si="63"/>
        <v>0.60401396033593679</v>
      </c>
      <c r="O294" t="str">
        <f t="shared" si="59"/>
        <v/>
      </c>
    </row>
    <row r="295" spans="1:15" ht="14.45">
      <c r="A295" s="24">
        <f>'More accurate Energy (Solar)'!A295</f>
        <v>15.6</v>
      </c>
      <c r="B295" s="24">
        <f t="shared" si="60"/>
        <v>1.0416666666666667</v>
      </c>
      <c r="C295" s="13">
        <f t="shared" si="61"/>
        <v>1.5</v>
      </c>
      <c r="D295" s="12">
        <f t="shared" si="64"/>
        <v>280</v>
      </c>
      <c r="E295" s="12">
        <f t="shared" si="62"/>
        <v>2.5280000000000009</v>
      </c>
      <c r="F295" s="12">
        <f t="shared" si="52"/>
        <v>504857.38762038422</v>
      </c>
      <c r="G295" s="391">
        <f t="shared" si="53"/>
        <v>5.9272522795741148E-2</v>
      </c>
      <c r="H295" s="12">
        <f t="shared" si="54"/>
        <v>8517561.9968154822</v>
      </c>
      <c r="I295" s="12">
        <f t="shared" si="55"/>
        <v>7.5</v>
      </c>
      <c r="J295" s="79">
        <f t="shared" si="56"/>
        <v>15000000</v>
      </c>
      <c r="K295" s="64">
        <f t="shared" si="57"/>
        <v>3456000</v>
      </c>
      <c r="L295" s="64">
        <f t="shared" si="58"/>
        <v>3750000</v>
      </c>
      <c r="M295">
        <f>IF(COUNTIF(InputOutputData!K$20,"Chlorine"),L295+H295,L295+J295+H295)</f>
        <v>12267561.996815482</v>
      </c>
      <c r="N295">
        <f t="shared" si="63"/>
        <v>0.87625442834396305</v>
      </c>
      <c r="O295" t="str">
        <f t="shared" si="59"/>
        <v/>
      </c>
    </row>
    <row r="296" spans="1:15" ht="14.45">
      <c r="A296" s="24">
        <f>'More accurate Energy (Solar)'!A296</f>
        <v>9.1999999999999993</v>
      </c>
      <c r="B296" s="24">
        <f t="shared" si="60"/>
        <v>0.63888888888888884</v>
      </c>
      <c r="C296" s="13">
        <f t="shared" si="61"/>
        <v>0.91999999999999993</v>
      </c>
      <c r="D296" s="12">
        <f t="shared" si="64"/>
        <v>281</v>
      </c>
      <c r="E296" s="12">
        <f t="shared" si="62"/>
        <v>3.0160000000000009</v>
      </c>
      <c r="F296" s="12">
        <f t="shared" si="52"/>
        <v>309645.86440716899</v>
      </c>
      <c r="G296" s="391">
        <f t="shared" si="53"/>
        <v>4.5262015799365396E-2</v>
      </c>
      <c r="H296" s="12">
        <f t="shared" si="54"/>
        <v>6841185.9025401697</v>
      </c>
      <c r="I296" s="12">
        <f t="shared" si="55"/>
        <v>4.5999999999999996</v>
      </c>
      <c r="J296" s="79">
        <f t="shared" si="56"/>
        <v>9200000</v>
      </c>
      <c r="K296" s="64">
        <f t="shared" si="57"/>
        <v>3456000</v>
      </c>
      <c r="L296" s="64">
        <f t="shared" si="58"/>
        <v>3750000</v>
      </c>
      <c r="M296">
        <f>IF(COUNTIF(InputOutputData!K$20,"Chlorine"),L296+H296,L296+J296+H296)</f>
        <v>10591185.90254017</v>
      </c>
      <c r="N296">
        <f t="shared" si="63"/>
        <v>0.75651327875286933</v>
      </c>
      <c r="O296" t="str">
        <f t="shared" si="59"/>
        <v/>
      </c>
    </row>
    <row r="297" spans="1:15" ht="14.45">
      <c r="A297" s="24">
        <f>'More accurate Energy (Solar)'!A297</f>
        <v>26.4</v>
      </c>
      <c r="B297" s="24">
        <f t="shared" si="60"/>
        <v>1.0416666666666667</v>
      </c>
      <c r="C297" s="13">
        <f t="shared" si="61"/>
        <v>1.5</v>
      </c>
      <c r="D297" s="12">
        <f t="shared" si="64"/>
        <v>282</v>
      </c>
      <c r="E297" s="12">
        <f t="shared" si="62"/>
        <v>4.0840000000000014</v>
      </c>
      <c r="F297" s="12">
        <f t="shared" si="52"/>
        <v>504857.38762038422</v>
      </c>
      <c r="G297" s="391">
        <f t="shared" si="53"/>
        <v>5.9272522795741148E-2</v>
      </c>
      <c r="H297" s="12">
        <f t="shared" si="54"/>
        <v>8517561.9968154822</v>
      </c>
      <c r="I297" s="12">
        <f t="shared" si="55"/>
        <v>7.5</v>
      </c>
      <c r="J297" s="79">
        <f t="shared" si="56"/>
        <v>15000000</v>
      </c>
      <c r="K297" s="64">
        <f t="shared" si="57"/>
        <v>3456000</v>
      </c>
      <c r="L297" s="64">
        <f t="shared" si="58"/>
        <v>3750000</v>
      </c>
      <c r="M297">
        <f>IF(COUNTIF(InputOutputData!K$20,"Chlorine"),L297+H297,L297+J297+H297)</f>
        <v>12267561.996815482</v>
      </c>
      <c r="N297">
        <f t="shared" si="63"/>
        <v>0.87625442834396305</v>
      </c>
      <c r="O297" t="str">
        <f t="shared" si="59"/>
        <v/>
      </c>
    </row>
    <row r="298" spans="1:15" ht="14.45">
      <c r="A298" s="24">
        <f>'More accurate Energy (Solar)'!A298</f>
        <v>27</v>
      </c>
      <c r="B298" s="24">
        <f t="shared" si="60"/>
        <v>1.0416666666666667</v>
      </c>
      <c r="C298" s="13">
        <f t="shared" si="61"/>
        <v>1.5</v>
      </c>
      <c r="D298" s="12">
        <f t="shared" si="64"/>
        <v>283</v>
      </c>
      <c r="E298" s="12">
        <f t="shared" si="62"/>
        <v>5.152000000000001</v>
      </c>
      <c r="F298" s="12">
        <f t="shared" si="52"/>
        <v>504857.38762038422</v>
      </c>
      <c r="G298" s="391">
        <f t="shared" si="53"/>
        <v>5.9272522795741148E-2</v>
      </c>
      <c r="H298" s="12">
        <f t="shared" si="54"/>
        <v>8517561.9968154822</v>
      </c>
      <c r="I298" s="12">
        <f t="shared" si="55"/>
        <v>7.5</v>
      </c>
      <c r="J298" s="79">
        <f t="shared" si="56"/>
        <v>15000000</v>
      </c>
      <c r="K298" s="64">
        <f t="shared" si="57"/>
        <v>3456000</v>
      </c>
      <c r="L298" s="64">
        <f t="shared" si="58"/>
        <v>3750000</v>
      </c>
      <c r="M298">
        <f>IF(COUNTIF(InputOutputData!K$20,"Chlorine"),L298+H298,L298+J298+H298)</f>
        <v>12267561.996815482</v>
      </c>
      <c r="N298">
        <f t="shared" si="63"/>
        <v>0.87625442834396305</v>
      </c>
      <c r="O298" t="str">
        <f t="shared" si="59"/>
        <v/>
      </c>
    </row>
    <row r="299" spans="1:15" ht="14.45">
      <c r="A299" s="24">
        <f>'More accurate Energy (Solar)'!A299</f>
        <v>37.6</v>
      </c>
      <c r="B299" s="24">
        <f t="shared" si="60"/>
        <v>1.0416666666666667</v>
      </c>
      <c r="C299" s="13">
        <f t="shared" si="61"/>
        <v>1.5</v>
      </c>
      <c r="D299" s="12">
        <f t="shared" si="64"/>
        <v>284</v>
      </c>
      <c r="E299" s="12">
        <f t="shared" si="62"/>
        <v>6.2200000000000006</v>
      </c>
      <c r="F299" s="12">
        <f t="shared" si="52"/>
        <v>504857.38762038422</v>
      </c>
      <c r="G299" s="391">
        <f t="shared" si="53"/>
        <v>5.9272522795741148E-2</v>
      </c>
      <c r="H299" s="12">
        <f t="shared" si="54"/>
        <v>8517561.9968154822</v>
      </c>
      <c r="I299" s="12">
        <f t="shared" si="55"/>
        <v>7.5</v>
      </c>
      <c r="J299" s="79">
        <f t="shared" si="56"/>
        <v>15000000</v>
      </c>
      <c r="K299" s="64">
        <f t="shared" si="57"/>
        <v>3456000</v>
      </c>
      <c r="L299" s="64">
        <f t="shared" si="58"/>
        <v>3750000</v>
      </c>
      <c r="M299">
        <f>IF(COUNTIF(InputOutputData!K$20,"Chlorine"),L299+H299,L299+J299+H299)</f>
        <v>12267561.996815482</v>
      </c>
      <c r="N299">
        <f t="shared" si="63"/>
        <v>0.87625442834396305</v>
      </c>
      <c r="O299" t="str">
        <f t="shared" si="59"/>
        <v/>
      </c>
    </row>
    <row r="300" spans="1:15" ht="14.45">
      <c r="A300" s="24">
        <f>'More accurate Energy (Solar)'!A300</f>
        <v>0.8</v>
      </c>
      <c r="B300" s="24">
        <f t="shared" si="60"/>
        <v>5.5555555555555552E-2</v>
      </c>
      <c r="C300" s="13">
        <f t="shared" si="61"/>
        <v>0.08</v>
      </c>
      <c r="D300" s="12">
        <f t="shared" si="64"/>
        <v>285</v>
      </c>
      <c r="E300" s="12">
        <f t="shared" si="62"/>
        <v>5.8680000000000003</v>
      </c>
      <c r="F300" s="12">
        <f t="shared" si="52"/>
        <v>26925.727339753827</v>
      </c>
      <c r="G300" s="391">
        <f t="shared" si="53"/>
        <v>1.1798845559697837E-2</v>
      </c>
      <c r="H300" s="12">
        <f t="shared" si="54"/>
        <v>2282064.5633099871</v>
      </c>
      <c r="I300" s="12">
        <f t="shared" si="55"/>
        <v>0.4</v>
      </c>
      <c r="J300" s="79">
        <f t="shared" si="56"/>
        <v>800000</v>
      </c>
      <c r="K300" s="64">
        <f t="shared" si="57"/>
        <v>3456000</v>
      </c>
      <c r="L300" s="64">
        <f t="shared" si="58"/>
        <v>3750000</v>
      </c>
      <c r="M300">
        <f>IF(COUNTIF(InputOutputData!K$20,"Chlorine"),L300+H300,L300+J300+H300)</f>
        <v>6032064.5633099871</v>
      </c>
      <c r="N300">
        <f t="shared" si="63"/>
        <v>0.43086175452214193</v>
      </c>
      <c r="O300" t="str">
        <f t="shared" si="59"/>
        <v/>
      </c>
    </row>
    <row r="301" spans="1:15" ht="14.45">
      <c r="A301" s="24">
        <f>'More accurate Energy (Solar)'!A301</f>
        <v>0.6</v>
      </c>
      <c r="B301" s="24">
        <f t="shared" si="60"/>
        <v>4.1666666666666664E-2</v>
      </c>
      <c r="C301" s="13">
        <f t="shared" si="61"/>
        <v>0.06</v>
      </c>
      <c r="D301" s="12">
        <f t="shared" si="64"/>
        <v>286</v>
      </c>
      <c r="E301" s="12">
        <f t="shared" si="62"/>
        <v>5.4960000000000004</v>
      </c>
      <c r="F301" s="12">
        <f t="shared" si="52"/>
        <v>20194.295504815367</v>
      </c>
      <c r="G301" s="391">
        <f t="shared" si="53"/>
        <v>1.0071891960946849E-2</v>
      </c>
      <c r="H301" s="12">
        <f t="shared" si="54"/>
        <v>2005015.1037280308</v>
      </c>
      <c r="I301" s="12">
        <f t="shared" si="55"/>
        <v>0.3</v>
      </c>
      <c r="J301" s="79">
        <f t="shared" si="56"/>
        <v>600000</v>
      </c>
      <c r="K301" s="64">
        <f t="shared" si="57"/>
        <v>3456000</v>
      </c>
      <c r="L301" s="64">
        <f t="shared" si="58"/>
        <v>3750000</v>
      </c>
      <c r="M301">
        <f>IF(COUNTIF(InputOutputData!K$20,"Chlorine"),L301+H301,L301+J301+H301)</f>
        <v>5755015.1037280308</v>
      </c>
      <c r="N301">
        <f t="shared" si="63"/>
        <v>0.41107250740914508</v>
      </c>
      <c r="O301" t="str">
        <f t="shared" si="59"/>
        <v/>
      </c>
    </row>
    <row r="302" spans="1:15" ht="14.45">
      <c r="A302" s="24">
        <f>'More accurate Energy (Solar)'!A302</f>
        <v>0</v>
      </c>
      <c r="B302" s="24">
        <f t="shared" si="60"/>
        <v>0</v>
      </c>
      <c r="C302" s="13">
        <f t="shared" si="61"/>
        <v>0</v>
      </c>
      <c r="D302" s="12">
        <f t="shared" si="64"/>
        <v>287</v>
      </c>
      <c r="E302" s="12">
        <f t="shared" si="62"/>
        <v>5.0640000000000001</v>
      </c>
      <c r="F302" s="12">
        <f t="shared" si="52"/>
        <v>0</v>
      </c>
      <c r="G302" s="391">
        <f t="shared" si="53"/>
        <v>0</v>
      </c>
      <c r="H302" s="12">
        <f t="shared" si="54"/>
        <v>0</v>
      </c>
      <c r="I302" s="12">
        <f t="shared" si="55"/>
        <v>0</v>
      </c>
      <c r="J302" s="79">
        <f t="shared" si="56"/>
        <v>0</v>
      </c>
      <c r="K302" s="64">
        <f t="shared" si="57"/>
        <v>3456000</v>
      </c>
      <c r="L302" s="64">
        <f t="shared" si="58"/>
        <v>3750000</v>
      </c>
      <c r="M302">
        <f>IF(COUNTIF(InputOutputData!K$20,"Chlorine"),L302+H302,L302+J302+H302)</f>
        <v>3750000</v>
      </c>
      <c r="N302">
        <f t="shared" si="63"/>
        <v>0.26785714285714285</v>
      </c>
      <c r="O302" t="str">
        <f t="shared" si="59"/>
        <v/>
      </c>
    </row>
    <row r="303" spans="1:15" ht="14.45">
      <c r="A303" s="24">
        <f>'More accurate Energy (Solar)'!A303</f>
        <v>0</v>
      </c>
      <c r="B303" s="24">
        <f t="shared" si="60"/>
        <v>0</v>
      </c>
      <c r="C303" s="13">
        <f t="shared" si="61"/>
        <v>0</v>
      </c>
      <c r="D303" s="12">
        <f t="shared" si="64"/>
        <v>288</v>
      </c>
      <c r="E303" s="12">
        <f t="shared" si="62"/>
        <v>4.6319999999999997</v>
      </c>
      <c r="F303" s="12">
        <f t="shared" si="52"/>
        <v>0</v>
      </c>
      <c r="G303" s="391">
        <f t="shared" si="53"/>
        <v>0</v>
      </c>
      <c r="H303" s="12">
        <f t="shared" si="54"/>
        <v>0</v>
      </c>
      <c r="I303" s="12">
        <f t="shared" si="55"/>
        <v>0</v>
      </c>
      <c r="J303" s="79">
        <f t="shared" si="56"/>
        <v>0</v>
      </c>
      <c r="K303" s="64">
        <f t="shared" si="57"/>
        <v>3456000</v>
      </c>
      <c r="L303" s="64">
        <f t="shared" si="58"/>
        <v>3750000</v>
      </c>
      <c r="M303">
        <f>IF(COUNTIF(InputOutputData!K$20,"Chlorine"),L303+H303,L303+J303+H303)</f>
        <v>3750000</v>
      </c>
      <c r="N303">
        <f t="shared" si="63"/>
        <v>0.26785714285714285</v>
      </c>
      <c r="O303" t="str">
        <f t="shared" si="59"/>
        <v/>
      </c>
    </row>
    <row r="304" spans="1:15" ht="14.45">
      <c r="A304" s="24">
        <f>'More accurate Energy (Solar)'!A304</f>
        <v>14.2</v>
      </c>
      <c r="B304" s="24">
        <f t="shared" si="60"/>
        <v>0.98611111111111116</v>
      </c>
      <c r="C304" s="13">
        <f t="shared" si="61"/>
        <v>1.42</v>
      </c>
      <c r="D304" s="12">
        <f t="shared" si="64"/>
        <v>289</v>
      </c>
      <c r="E304" s="12">
        <f t="shared" si="62"/>
        <v>5.6199999999999992</v>
      </c>
      <c r="F304" s="12">
        <f t="shared" si="52"/>
        <v>477931.66028063034</v>
      </c>
      <c r="G304" s="391">
        <f t="shared" si="53"/>
        <v>5.7506001084358813E-2</v>
      </c>
      <c r="H304" s="12">
        <f t="shared" si="54"/>
        <v>8310987.5711845327</v>
      </c>
      <c r="I304" s="12">
        <f t="shared" si="55"/>
        <v>7.1</v>
      </c>
      <c r="J304" s="79">
        <f t="shared" si="56"/>
        <v>14200000</v>
      </c>
      <c r="K304" s="64">
        <f t="shared" si="57"/>
        <v>3456000</v>
      </c>
      <c r="L304" s="64">
        <f t="shared" si="58"/>
        <v>3750000</v>
      </c>
      <c r="M304">
        <f>IF(COUNTIF(InputOutputData!K$20,"Chlorine"),L304+H304,L304+J304+H304)</f>
        <v>12060987.571184533</v>
      </c>
      <c r="N304">
        <f t="shared" si="63"/>
        <v>0.86149911222746678</v>
      </c>
      <c r="O304" t="str">
        <f t="shared" si="59"/>
        <v/>
      </c>
    </row>
    <row r="305" spans="1:15" ht="14.45">
      <c r="A305" s="24">
        <f>'More accurate Energy (Solar)'!A305</f>
        <v>6.4</v>
      </c>
      <c r="B305" s="24">
        <f t="shared" si="60"/>
        <v>0.44444444444444442</v>
      </c>
      <c r="C305" s="13">
        <f t="shared" si="61"/>
        <v>0.64</v>
      </c>
      <c r="D305" s="12">
        <f t="shared" si="64"/>
        <v>290</v>
      </c>
      <c r="E305" s="12">
        <f t="shared" si="62"/>
        <v>5.8279999999999994</v>
      </c>
      <c r="F305" s="12">
        <f t="shared" si="52"/>
        <v>215405.81871803061</v>
      </c>
      <c r="G305" s="391">
        <f t="shared" si="53"/>
        <v>3.7057776549355513E-2</v>
      </c>
      <c r="H305" s="12">
        <f t="shared" si="54"/>
        <v>5812702.1849554768</v>
      </c>
      <c r="I305" s="12">
        <f t="shared" si="55"/>
        <v>3.2</v>
      </c>
      <c r="J305" s="79">
        <f t="shared" si="56"/>
        <v>6400000</v>
      </c>
      <c r="K305" s="64">
        <f t="shared" si="57"/>
        <v>3456000</v>
      </c>
      <c r="L305" s="64">
        <f t="shared" si="58"/>
        <v>3750000</v>
      </c>
      <c r="M305">
        <f>IF(COUNTIF(InputOutputData!K$20,"Chlorine"),L305+H305,L305+J305+H305)</f>
        <v>9562702.1849554777</v>
      </c>
      <c r="N305">
        <f t="shared" si="63"/>
        <v>0.68305015606824848</v>
      </c>
      <c r="O305" t="str">
        <f t="shared" si="59"/>
        <v/>
      </c>
    </row>
    <row r="306" spans="1:15" ht="14.45">
      <c r="A306" s="24">
        <f>'More accurate Energy (Solar)'!A306</f>
        <v>23.4</v>
      </c>
      <c r="B306" s="24">
        <f t="shared" si="60"/>
        <v>1.0416666666666667</v>
      </c>
      <c r="C306" s="13">
        <f t="shared" si="61"/>
        <v>1.5</v>
      </c>
      <c r="D306" s="12">
        <f t="shared" si="64"/>
        <v>291</v>
      </c>
      <c r="E306" s="12">
        <f t="shared" si="62"/>
        <v>6.895999999999999</v>
      </c>
      <c r="F306" s="12">
        <f t="shared" si="52"/>
        <v>504857.38762038422</v>
      </c>
      <c r="G306" s="391">
        <f t="shared" si="53"/>
        <v>5.9272522795741148E-2</v>
      </c>
      <c r="H306" s="12">
        <f t="shared" si="54"/>
        <v>8517561.9968154822</v>
      </c>
      <c r="I306" s="12">
        <f t="shared" si="55"/>
        <v>7.5</v>
      </c>
      <c r="J306" s="79">
        <f t="shared" si="56"/>
        <v>15000000</v>
      </c>
      <c r="K306" s="64">
        <f t="shared" si="57"/>
        <v>3456000</v>
      </c>
      <c r="L306" s="64">
        <f t="shared" si="58"/>
        <v>3750000</v>
      </c>
      <c r="M306">
        <f>IF(COUNTIF(InputOutputData!K$20,"Chlorine"),L306+H306,L306+J306+H306)</f>
        <v>12267561.996815482</v>
      </c>
      <c r="N306">
        <f t="shared" si="63"/>
        <v>0.87625442834396305</v>
      </c>
      <c r="O306" t="str">
        <f t="shared" si="59"/>
        <v/>
      </c>
    </row>
    <row r="307" spans="1:15" ht="14.45">
      <c r="A307" s="24">
        <f>'More accurate Energy (Solar)'!A307</f>
        <v>0.6</v>
      </c>
      <c r="B307" s="24">
        <f t="shared" si="60"/>
        <v>4.1666666666666664E-2</v>
      </c>
      <c r="C307" s="13">
        <f t="shared" si="61"/>
        <v>0.06</v>
      </c>
      <c r="D307" s="12">
        <f t="shared" si="64"/>
        <v>292</v>
      </c>
      <c r="E307" s="12">
        <f t="shared" si="62"/>
        <v>6.5239999999999991</v>
      </c>
      <c r="F307" s="12">
        <f t="shared" si="52"/>
        <v>20194.295504815367</v>
      </c>
      <c r="G307" s="391">
        <f t="shared" si="53"/>
        <v>1.0071891960946849E-2</v>
      </c>
      <c r="H307" s="12">
        <f t="shared" si="54"/>
        <v>2005015.1037280308</v>
      </c>
      <c r="I307" s="12">
        <f t="shared" si="55"/>
        <v>0.3</v>
      </c>
      <c r="J307" s="79">
        <f t="shared" si="56"/>
        <v>600000</v>
      </c>
      <c r="K307" s="64">
        <f t="shared" si="57"/>
        <v>3456000</v>
      </c>
      <c r="L307" s="64">
        <f t="shared" si="58"/>
        <v>3750000</v>
      </c>
      <c r="M307">
        <f>IF(COUNTIF(InputOutputData!K$20,"Chlorine"),L307+H307,L307+J307+H307)</f>
        <v>5755015.1037280308</v>
      </c>
      <c r="N307">
        <f t="shared" si="63"/>
        <v>0.41107250740914508</v>
      </c>
      <c r="O307" t="str">
        <f t="shared" si="59"/>
        <v/>
      </c>
    </row>
    <row r="308" spans="1:15" ht="14.45">
      <c r="A308" s="24">
        <f>'More accurate Energy (Solar)'!A308</f>
        <v>10.199999999999999</v>
      </c>
      <c r="B308" s="24">
        <f t="shared" si="60"/>
        <v>0.70833333333333326</v>
      </c>
      <c r="C308" s="13">
        <f t="shared" si="61"/>
        <v>1.0199999999999998</v>
      </c>
      <c r="D308" s="12">
        <f t="shared" si="64"/>
        <v>293</v>
      </c>
      <c r="E308" s="12">
        <f t="shared" si="62"/>
        <v>7.1119999999999992</v>
      </c>
      <c r="F308" s="12">
        <f t="shared" si="52"/>
        <v>343303.02358186123</v>
      </c>
      <c r="G308" s="391">
        <f t="shared" si="53"/>
        <v>4.7911688514244183E-2</v>
      </c>
      <c r="H308" s="12">
        <f t="shared" si="54"/>
        <v>7165329.2594728097</v>
      </c>
      <c r="I308" s="12">
        <f t="shared" si="55"/>
        <v>5.0999999999999988</v>
      </c>
      <c r="J308" s="79">
        <f t="shared" si="56"/>
        <v>10199999.999999998</v>
      </c>
      <c r="K308" s="64">
        <f t="shared" si="57"/>
        <v>3456000</v>
      </c>
      <c r="L308" s="64">
        <f t="shared" si="58"/>
        <v>3750000</v>
      </c>
      <c r="M308">
        <f>IF(COUNTIF(InputOutputData!K$20,"Chlorine"),L308+H308,L308+J308+H308)</f>
        <v>10915329.25947281</v>
      </c>
      <c r="N308">
        <f t="shared" si="63"/>
        <v>0.77966637567662933</v>
      </c>
      <c r="O308" t="str">
        <f t="shared" si="59"/>
        <v/>
      </c>
    </row>
    <row r="309" spans="1:15" ht="14.45">
      <c r="A309" s="24">
        <f>'More accurate Energy (Solar)'!A309</f>
        <v>4</v>
      </c>
      <c r="B309" s="24">
        <f t="shared" si="60"/>
        <v>0.27777777777777779</v>
      </c>
      <c r="C309" s="13">
        <f t="shared" si="61"/>
        <v>0.4</v>
      </c>
      <c r="D309" s="12">
        <f t="shared" si="64"/>
        <v>294</v>
      </c>
      <c r="E309" s="12">
        <f t="shared" si="62"/>
        <v>7.0799999999999992</v>
      </c>
      <c r="F309" s="12">
        <f t="shared" si="52"/>
        <v>134628.63669876911</v>
      </c>
      <c r="G309" s="391">
        <f t="shared" si="53"/>
        <v>2.8606682038735863E-2</v>
      </c>
      <c r="H309" s="12">
        <f t="shared" si="54"/>
        <v>4706195.4447031152</v>
      </c>
      <c r="I309" s="12">
        <f t="shared" si="55"/>
        <v>2</v>
      </c>
      <c r="J309" s="79">
        <f t="shared" si="56"/>
        <v>4000000</v>
      </c>
      <c r="K309" s="64">
        <f t="shared" si="57"/>
        <v>3456000</v>
      </c>
      <c r="L309" s="64">
        <f t="shared" si="58"/>
        <v>3750000</v>
      </c>
      <c r="M309">
        <f>IF(COUNTIF(InputOutputData!K$20,"Chlorine"),L309+H309,L309+J309+H309)</f>
        <v>8456195.4447031152</v>
      </c>
      <c r="N309">
        <f t="shared" si="63"/>
        <v>0.60401396033593679</v>
      </c>
      <c r="O309" t="str">
        <f t="shared" si="59"/>
        <v/>
      </c>
    </row>
    <row r="310" spans="1:15" ht="14.45">
      <c r="A310" s="24">
        <f>'More accurate Energy (Solar)'!A310</f>
        <v>9.8000000000000007</v>
      </c>
      <c r="B310" s="24">
        <f t="shared" si="60"/>
        <v>0.68055555555555569</v>
      </c>
      <c r="C310" s="13">
        <f t="shared" si="61"/>
        <v>0.98000000000000009</v>
      </c>
      <c r="D310" s="12">
        <f t="shared" si="64"/>
        <v>295</v>
      </c>
      <c r="E310" s="12">
        <f t="shared" si="62"/>
        <v>7.6279999999999992</v>
      </c>
      <c r="F310" s="12">
        <f t="shared" si="52"/>
        <v>329840.1599119844</v>
      </c>
      <c r="G310" s="391">
        <f t="shared" si="53"/>
        <v>4.6866379556791737E-2</v>
      </c>
      <c r="H310" s="12">
        <f t="shared" si="54"/>
        <v>7037884.3646817375</v>
      </c>
      <c r="I310" s="12">
        <f t="shared" si="55"/>
        <v>4.9000000000000004</v>
      </c>
      <c r="J310" s="79">
        <f t="shared" si="56"/>
        <v>9800000</v>
      </c>
      <c r="K310" s="64">
        <f t="shared" si="57"/>
        <v>3456000</v>
      </c>
      <c r="L310" s="64">
        <f t="shared" si="58"/>
        <v>3750000</v>
      </c>
      <c r="M310">
        <f>IF(COUNTIF(InputOutputData!K$20,"Chlorine"),L310+H310,L310+J310+H310)</f>
        <v>10787884.364681737</v>
      </c>
      <c r="N310">
        <f t="shared" si="63"/>
        <v>0.77056316890583842</v>
      </c>
      <c r="O310" t="str">
        <f t="shared" si="59"/>
        <v/>
      </c>
    </row>
    <row r="311" spans="1:15" ht="14.45">
      <c r="A311" s="24">
        <f>'More accurate Energy (Solar)'!A311</f>
        <v>0</v>
      </c>
      <c r="B311" s="24">
        <f t="shared" si="60"/>
        <v>0</v>
      </c>
      <c r="C311" s="13">
        <f t="shared" si="61"/>
        <v>0</v>
      </c>
      <c r="D311" s="12">
        <f t="shared" si="64"/>
        <v>296</v>
      </c>
      <c r="E311" s="12">
        <f t="shared" si="62"/>
        <v>7.1959999999999988</v>
      </c>
      <c r="F311" s="12">
        <f t="shared" si="52"/>
        <v>0</v>
      </c>
      <c r="G311" s="391">
        <f t="shared" si="53"/>
        <v>0</v>
      </c>
      <c r="H311" s="12">
        <f t="shared" si="54"/>
        <v>0</v>
      </c>
      <c r="I311" s="12">
        <f t="shared" si="55"/>
        <v>0</v>
      </c>
      <c r="J311" s="79">
        <f t="shared" si="56"/>
        <v>0</v>
      </c>
      <c r="K311" s="64">
        <f t="shared" si="57"/>
        <v>3456000</v>
      </c>
      <c r="L311" s="64">
        <f t="shared" si="58"/>
        <v>3750000</v>
      </c>
      <c r="M311">
        <f>IF(COUNTIF(InputOutputData!K$20,"Chlorine"),L311+H311,L311+J311+H311)</f>
        <v>3750000</v>
      </c>
      <c r="N311">
        <f t="shared" si="63"/>
        <v>0.26785714285714285</v>
      </c>
      <c r="O311" t="str">
        <f t="shared" si="59"/>
        <v/>
      </c>
    </row>
    <row r="312" spans="1:15" ht="14.45">
      <c r="A312" s="24">
        <f>'More accurate Energy (Solar)'!A312</f>
        <v>5.8</v>
      </c>
      <c r="B312" s="24">
        <f t="shared" si="60"/>
        <v>0.40277777777777773</v>
      </c>
      <c r="C312" s="13">
        <f t="shared" si="61"/>
        <v>0.57999999999999996</v>
      </c>
      <c r="D312" s="12">
        <f t="shared" si="64"/>
        <v>297</v>
      </c>
      <c r="E312" s="12">
        <f t="shared" si="62"/>
        <v>7.3439999999999985</v>
      </c>
      <c r="F312" s="12">
        <f t="shared" si="52"/>
        <v>195211.52321321523</v>
      </c>
      <c r="G312" s="391">
        <f t="shared" si="53"/>
        <v>3.5101792730858464E-2</v>
      </c>
      <c r="H312" s="12">
        <f t="shared" si="54"/>
        <v>5561297.814900551</v>
      </c>
      <c r="I312" s="12">
        <f t="shared" si="55"/>
        <v>2.9</v>
      </c>
      <c r="J312" s="79">
        <f t="shared" si="56"/>
        <v>5800000</v>
      </c>
      <c r="K312" s="64">
        <f t="shared" si="57"/>
        <v>3456000</v>
      </c>
      <c r="L312" s="64">
        <f t="shared" si="58"/>
        <v>3750000</v>
      </c>
      <c r="M312">
        <f>IF(COUNTIF(InputOutputData!K$20,"Chlorine"),L312+H312,L312+J312+H312)</f>
        <v>9311297.814900551</v>
      </c>
      <c r="N312">
        <f t="shared" si="63"/>
        <v>0.66509270106432505</v>
      </c>
      <c r="O312" t="str">
        <f t="shared" si="59"/>
        <v/>
      </c>
    </row>
    <row r="313" spans="1:15" ht="14.45">
      <c r="A313" s="24">
        <f>'More accurate Energy (Solar)'!A313</f>
        <v>4</v>
      </c>
      <c r="B313" s="24">
        <f t="shared" si="60"/>
        <v>0.27777777777777779</v>
      </c>
      <c r="C313" s="13">
        <f t="shared" si="61"/>
        <v>0.4</v>
      </c>
      <c r="D313" s="12">
        <f t="shared" si="64"/>
        <v>298</v>
      </c>
      <c r="E313" s="12">
        <f t="shared" si="62"/>
        <v>7.3119999999999985</v>
      </c>
      <c r="F313" s="12">
        <f t="shared" si="52"/>
        <v>134628.63669876911</v>
      </c>
      <c r="G313" s="391">
        <f t="shared" si="53"/>
        <v>2.8606682038735863E-2</v>
      </c>
      <c r="H313" s="12">
        <f t="shared" si="54"/>
        <v>4706195.4447031152</v>
      </c>
      <c r="I313" s="12">
        <f t="shared" si="55"/>
        <v>2</v>
      </c>
      <c r="J313" s="79">
        <f t="shared" si="56"/>
        <v>4000000</v>
      </c>
      <c r="K313" s="64">
        <f t="shared" si="57"/>
        <v>3456000</v>
      </c>
      <c r="L313" s="64">
        <f t="shared" si="58"/>
        <v>3750000</v>
      </c>
      <c r="M313">
        <f>IF(COUNTIF(InputOutputData!K$20,"Chlorine"),L313+H313,L313+J313+H313)</f>
        <v>8456195.4447031152</v>
      </c>
      <c r="N313">
        <f t="shared" si="63"/>
        <v>0.60401396033593679</v>
      </c>
      <c r="O313" t="str">
        <f t="shared" si="59"/>
        <v/>
      </c>
    </row>
    <row r="314" spans="1:15" ht="14.45">
      <c r="A314" s="24">
        <f>'More accurate Energy (Solar)'!A314</f>
        <v>0</v>
      </c>
      <c r="B314" s="24">
        <f t="shared" si="60"/>
        <v>0</v>
      </c>
      <c r="C314" s="13">
        <f t="shared" si="61"/>
        <v>0</v>
      </c>
      <c r="D314" s="12">
        <f t="shared" si="64"/>
        <v>299</v>
      </c>
      <c r="E314" s="12">
        <f t="shared" si="62"/>
        <v>6.8799999999999981</v>
      </c>
      <c r="F314" s="12">
        <f t="shared" si="52"/>
        <v>0</v>
      </c>
      <c r="G314" s="391">
        <f t="shared" si="53"/>
        <v>0</v>
      </c>
      <c r="H314" s="12">
        <f t="shared" si="54"/>
        <v>0</v>
      </c>
      <c r="I314" s="12">
        <f t="shared" si="55"/>
        <v>0</v>
      </c>
      <c r="J314" s="79">
        <f t="shared" si="56"/>
        <v>0</v>
      </c>
      <c r="K314" s="64">
        <f t="shared" si="57"/>
        <v>3456000</v>
      </c>
      <c r="L314" s="64">
        <f t="shared" si="58"/>
        <v>3750000</v>
      </c>
      <c r="M314">
        <f>IF(COUNTIF(InputOutputData!K$20,"Chlorine"),L314+H314,L314+J314+H314)</f>
        <v>3750000</v>
      </c>
      <c r="N314">
        <f t="shared" si="63"/>
        <v>0.26785714285714285</v>
      </c>
      <c r="O314" t="str">
        <f t="shared" si="59"/>
        <v/>
      </c>
    </row>
    <row r="315" spans="1:15" ht="14.45">
      <c r="A315" s="24">
        <f>'More accurate Energy (Solar)'!A315</f>
        <v>6.8</v>
      </c>
      <c r="B315" s="24">
        <f t="shared" si="60"/>
        <v>0.47222222222222221</v>
      </c>
      <c r="C315" s="13">
        <f t="shared" si="61"/>
        <v>0.67999999999999994</v>
      </c>
      <c r="D315" s="12">
        <f t="shared" si="64"/>
        <v>300</v>
      </c>
      <c r="E315" s="12">
        <f t="shared" si="62"/>
        <v>7.1279999999999983</v>
      </c>
      <c r="F315" s="12">
        <f t="shared" si="52"/>
        <v>228868.68238790749</v>
      </c>
      <c r="G315" s="391">
        <f t="shared" si="53"/>
        <v>3.8316390401455125E-2</v>
      </c>
      <c r="H315" s="12">
        <f t="shared" si="54"/>
        <v>5973127.4264085125</v>
      </c>
      <c r="I315" s="12">
        <f t="shared" si="55"/>
        <v>3.3999999999999995</v>
      </c>
      <c r="J315" s="79">
        <f t="shared" si="56"/>
        <v>6799999.9999999991</v>
      </c>
      <c r="K315" s="64">
        <f t="shared" si="57"/>
        <v>3456000</v>
      </c>
      <c r="L315" s="64">
        <f t="shared" si="58"/>
        <v>3750000</v>
      </c>
      <c r="M315">
        <f>IF(COUNTIF(InputOutputData!K$20,"Chlorine"),L315+H315,L315+J315+H315)</f>
        <v>9723127.4264085125</v>
      </c>
      <c r="N315">
        <f t="shared" si="63"/>
        <v>0.69450910188632231</v>
      </c>
      <c r="O315" t="str">
        <f t="shared" si="59"/>
        <v/>
      </c>
    </row>
    <row r="316" spans="1:15" ht="14.45">
      <c r="A316" s="24">
        <f>'More accurate Energy (Solar)'!A316</f>
        <v>39</v>
      </c>
      <c r="B316" s="24">
        <f t="shared" si="60"/>
        <v>1.0416666666666667</v>
      </c>
      <c r="C316" s="13">
        <f t="shared" si="61"/>
        <v>1.5</v>
      </c>
      <c r="D316" s="12">
        <f t="shared" si="64"/>
        <v>301</v>
      </c>
      <c r="E316" s="12">
        <f t="shared" si="62"/>
        <v>8.195999999999998</v>
      </c>
      <c r="F316" s="12">
        <f t="shared" si="52"/>
        <v>504857.38762038422</v>
      </c>
      <c r="G316" s="391">
        <f t="shared" si="53"/>
        <v>5.9272522795741148E-2</v>
      </c>
      <c r="H316" s="12">
        <f t="shared" si="54"/>
        <v>8517561.9968154822</v>
      </c>
      <c r="I316" s="12">
        <f t="shared" si="55"/>
        <v>7.5</v>
      </c>
      <c r="J316" s="79">
        <f t="shared" si="56"/>
        <v>15000000</v>
      </c>
      <c r="K316" s="64">
        <f t="shared" si="57"/>
        <v>3456000</v>
      </c>
      <c r="L316" s="64">
        <f t="shared" si="58"/>
        <v>3750000</v>
      </c>
      <c r="M316">
        <f>IF(COUNTIF(InputOutputData!K$20,"Chlorine"),L316+H316,L316+J316+H316)</f>
        <v>12267561.996815482</v>
      </c>
      <c r="N316">
        <f t="shared" si="63"/>
        <v>0.87625442834396305</v>
      </c>
      <c r="O316" t="str">
        <f t="shared" si="59"/>
        <v/>
      </c>
    </row>
    <row r="317" spans="1:15" ht="14.45">
      <c r="A317" s="24">
        <f>'More accurate Energy (Solar)'!A317</f>
        <v>40.6</v>
      </c>
      <c r="B317" s="24">
        <f t="shared" si="60"/>
        <v>1.0416666666666667</v>
      </c>
      <c r="C317" s="13">
        <f t="shared" si="61"/>
        <v>1.5</v>
      </c>
      <c r="D317" s="12">
        <f t="shared" si="64"/>
        <v>302</v>
      </c>
      <c r="E317" s="12">
        <f t="shared" si="62"/>
        <v>9.2639999999999976</v>
      </c>
      <c r="F317" s="12">
        <f t="shared" si="52"/>
        <v>504857.38762038422</v>
      </c>
      <c r="G317" s="391">
        <f t="shared" si="53"/>
        <v>5.9272522795741148E-2</v>
      </c>
      <c r="H317" s="12">
        <f t="shared" si="54"/>
        <v>8517561.9968154822</v>
      </c>
      <c r="I317" s="12">
        <f t="shared" si="55"/>
        <v>7.5</v>
      </c>
      <c r="J317" s="79">
        <f t="shared" si="56"/>
        <v>15000000</v>
      </c>
      <c r="K317" s="64">
        <f t="shared" si="57"/>
        <v>3456000</v>
      </c>
      <c r="L317" s="64">
        <f t="shared" si="58"/>
        <v>3750000</v>
      </c>
      <c r="M317">
        <f>IF(COUNTIF(InputOutputData!K$20,"Chlorine"),L317+H317,L317+J317+H317)</f>
        <v>12267561.996815482</v>
      </c>
      <c r="N317">
        <f t="shared" si="63"/>
        <v>0.87625442834396305</v>
      </c>
      <c r="O317" t="str">
        <f t="shared" si="59"/>
        <v/>
      </c>
    </row>
    <row r="318" spans="1:15" ht="14.45">
      <c r="A318" s="24">
        <f>'More accurate Energy (Solar)'!A318</f>
        <v>35.4</v>
      </c>
      <c r="B318" s="24">
        <f t="shared" si="60"/>
        <v>1.0416666666666667</v>
      </c>
      <c r="C318" s="13">
        <f t="shared" si="61"/>
        <v>1.5</v>
      </c>
      <c r="D318" s="12">
        <f t="shared" si="64"/>
        <v>303</v>
      </c>
      <c r="E318" s="12">
        <f t="shared" si="62"/>
        <v>10.331999999999997</v>
      </c>
      <c r="F318" s="12">
        <f t="shared" si="52"/>
        <v>504857.38762038422</v>
      </c>
      <c r="G318" s="391">
        <f t="shared" si="53"/>
        <v>5.9272522795741148E-2</v>
      </c>
      <c r="H318" s="12">
        <f t="shared" si="54"/>
        <v>8517561.9968154822</v>
      </c>
      <c r="I318" s="12">
        <f t="shared" si="55"/>
        <v>7.5</v>
      </c>
      <c r="J318" s="79">
        <f t="shared" si="56"/>
        <v>15000000</v>
      </c>
      <c r="K318" s="64">
        <f t="shared" si="57"/>
        <v>3456000</v>
      </c>
      <c r="L318" s="64">
        <f t="shared" si="58"/>
        <v>3750000</v>
      </c>
      <c r="M318">
        <f>IF(COUNTIF(InputOutputData!K$20,"Chlorine"),L318+H318,L318+J318+H318)</f>
        <v>12267561.996815482</v>
      </c>
      <c r="N318">
        <f t="shared" si="63"/>
        <v>0.87625442834396305</v>
      </c>
      <c r="O318" t="str">
        <f t="shared" si="59"/>
        <v/>
      </c>
    </row>
    <row r="319" spans="1:15" ht="14.45">
      <c r="A319" s="24">
        <f>'More accurate Energy (Solar)'!A319</f>
        <v>21.2</v>
      </c>
      <c r="B319" s="24">
        <f t="shared" si="60"/>
        <v>1.0416666666666667</v>
      </c>
      <c r="C319" s="13">
        <f t="shared" si="61"/>
        <v>1.5</v>
      </c>
      <c r="D319" s="12">
        <f t="shared" si="64"/>
        <v>304</v>
      </c>
      <c r="E319" s="12">
        <f t="shared" si="62"/>
        <v>11.399999999999997</v>
      </c>
      <c r="F319" s="12">
        <f t="shared" si="52"/>
        <v>504857.38762038422</v>
      </c>
      <c r="G319" s="391">
        <f t="shared" si="53"/>
        <v>5.9272522795741148E-2</v>
      </c>
      <c r="H319" s="12">
        <f t="shared" si="54"/>
        <v>8517561.9968154822</v>
      </c>
      <c r="I319" s="12">
        <f t="shared" si="55"/>
        <v>7.5</v>
      </c>
      <c r="J319" s="79">
        <f t="shared" si="56"/>
        <v>15000000</v>
      </c>
      <c r="K319" s="64">
        <f t="shared" si="57"/>
        <v>3456000</v>
      </c>
      <c r="L319" s="64">
        <f t="shared" si="58"/>
        <v>3750000</v>
      </c>
      <c r="M319">
        <f>IF(COUNTIF(InputOutputData!K$20,"Chlorine"),L319+H319,L319+J319+H319)</f>
        <v>12267561.996815482</v>
      </c>
      <c r="N319">
        <f t="shared" si="63"/>
        <v>0.87625442834396305</v>
      </c>
      <c r="O319" t="str">
        <f t="shared" si="59"/>
        <v/>
      </c>
    </row>
    <row r="320" spans="1:15" ht="14.45">
      <c r="A320" s="24">
        <f>'More accurate Energy (Solar)'!A320</f>
        <v>1.2</v>
      </c>
      <c r="B320" s="24">
        <f t="shared" si="60"/>
        <v>8.3333333333333329E-2</v>
      </c>
      <c r="C320" s="13">
        <f t="shared" si="61"/>
        <v>0.12</v>
      </c>
      <c r="D320" s="12">
        <f t="shared" si="64"/>
        <v>305</v>
      </c>
      <c r="E320" s="12">
        <f t="shared" si="62"/>
        <v>11.087999999999997</v>
      </c>
      <c r="F320" s="12">
        <f t="shared" si="52"/>
        <v>40388.591009630734</v>
      </c>
      <c r="G320" s="391">
        <f t="shared" si="53"/>
        <v>1.4747350940040569E-2</v>
      </c>
      <c r="H320" s="12">
        <f t="shared" si="54"/>
        <v>2738701.4233160731</v>
      </c>
      <c r="I320" s="12">
        <f t="shared" si="55"/>
        <v>0.6</v>
      </c>
      <c r="J320" s="79">
        <f t="shared" si="56"/>
        <v>1200000</v>
      </c>
      <c r="K320" s="64">
        <f t="shared" si="57"/>
        <v>3456000</v>
      </c>
      <c r="L320" s="64">
        <f t="shared" si="58"/>
        <v>3750000</v>
      </c>
      <c r="M320">
        <f>IF(COUNTIF(InputOutputData!K$20,"Chlorine"),L320+H320,L320+J320+H320)</f>
        <v>6488701.4233160727</v>
      </c>
      <c r="N320">
        <f t="shared" si="63"/>
        <v>0.4634786730940052</v>
      </c>
      <c r="O320" t="str">
        <f t="shared" si="59"/>
        <v/>
      </c>
    </row>
    <row r="321" spans="1:15" ht="14.45">
      <c r="A321" s="24">
        <f>'More accurate Energy (Solar)'!A321</f>
        <v>0</v>
      </c>
      <c r="B321" s="24">
        <f t="shared" si="60"/>
        <v>0</v>
      </c>
      <c r="C321" s="13">
        <f t="shared" si="61"/>
        <v>0</v>
      </c>
      <c r="D321" s="12">
        <f t="shared" si="64"/>
        <v>306</v>
      </c>
      <c r="E321" s="12">
        <f t="shared" si="62"/>
        <v>10.655999999999997</v>
      </c>
      <c r="F321" s="12">
        <f t="shared" si="52"/>
        <v>0</v>
      </c>
      <c r="G321" s="391">
        <f t="shared" si="53"/>
        <v>0</v>
      </c>
      <c r="H321" s="12">
        <f t="shared" si="54"/>
        <v>0</v>
      </c>
      <c r="I321" s="12">
        <f t="shared" si="55"/>
        <v>0</v>
      </c>
      <c r="J321" s="79">
        <f t="shared" si="56"/>
        <v>0</v>
      </c>
      <c r="K321" s="64">
        <f t="shared" si="57"/>
        <v>3456000</v>
      </c>
      <c r="L321" s="64">
        <f t="shared" si="58"/>
        <v>3750000</v>
      </c>
      <c r="M321">
        <f>IF(COUNTIF(InputOutputData!K$20,"Chlorine"),L321+H321,L321+J321+H321)</f>
        <v>3750000</v>
      </c>
      <c r="N321">
        <f t="shared" si="63"/>
        <v>0.26785714285714285</v>
      </c>
      <c r="O321" t="str">
        <f t="shared" si="59"/>
        <v/>
      </c>
    </row>
    <row r="322" spans="1:15" ht="14.45">
      <c r="A322" s="24">
        <f>'More accurate Energy (Solar)'!A322</f>
        <v>0</v>
      </c>
      <c r="B322" s="24">
        <f t="shared" si="60"/>
        <v>0</v>
      </c>
      <c r="C322" s="13">
        <f t="shared" si="61"/>
        <v>0</v>
      </c>
      <c r="D322" s="12">
        <f t="shared" si="64"/>
        <v>307</v>
      </c>
      <c r="E322" s="12">
        <f t="shared" si="62"/>
        <v>10.223999999999997</v>
      </c>
      <c r="F322" s="12">
        <f t="shared" si="52"/>
        <v>0</v>
      </c>
      <c r="G322" s="391">
        <f t="shared" si="53"/>
        <v>0</v>
      </c>
      <c r="H322" s="12">
        <f t="shared" si="54"/>
        <v>0</v>
      </c>
      <c r="I322" s="12">
        <f t="shared" si="55"/>
        <v>0</v>
      </c>
      <c r="J322" s="79">
        <f t="shared" si="56"/>
        <v>0</v>
      </c>
      <c r="K322" s="64">
        <f t="shared" si="57"/>
        <v>3456000</v>
      </c>
      <c r="L322" s="64">
        <f t="shared" si="58"/>
        <v>3750000</v>
      </c>
      <c r="M322">
        <f>IF(COUNTIF(InputOutputData!K$20,"Chlorine"),L322+H322,L322+J322+H322)</f>
        <v>3750000</v>
      </c>
      <c r="N322">
        <f t="shared" si="63"/>
        <v>0.26785714285714285</v>
      </c>
      <c r="O322" t="str">
        <f t="shared" si="59"/>
        <v/>
      </c>
    </row>
    <row r="323" spans="1:15" ht="14.45">
      <c r="A323" s="24">
        <f>'More accurate Energy (Solar)'!A323</f>
        <v>3.4</v>
      </c>
      <c r="B323" s="24">
        <f t="shared" si="60"/>
        <v>0.2361111111111111</v>
      </c>
      <c r="C323" s="13">
        <f t="shared" si="61"/>
        <v>0.33999999999999997</v>
      </c>
      <c r="D323" s="12">
        <f t="shared" si="64"/>
        <v>308</v>
      </c>
      <c r="E323" s="12">
        <f t="shared" si="62"/>
        <v>10.131999999999996</v>
      </c>
      <c r="F323" s="12">
        <f t="shared" si="52"/>
        <v>114434.34119395375</v>
      </c>
      <c r="G323" s="391">
        <f t="shared" si="53"/>
        <v>2.6158415362698681E-2</v>
      </c>
      <c r="H323" s="12">
        <f t="shared" si="54"/>
        <v>4374666.4164196495</v>
      </c>
      <c r="I323" s="12">
        <f t="shared" si="55"/>
        <v>1.6999999999999997</v>
      </c>
      <c r="J323" s="79">
        <f t="shared" si="56"/>
        <v>3399999.9999999995</v>
      </c>
      <c r="K323" s="64">
        <f t="shared" si="57"/>
        <v>3456000</v>
      </c>
      <c r="L323" s="64">
        <f t="shared" si="58"/>
        <v>3750000</v>
      </c>
      <c r="M323">
        <f>IF(COUNTIF(InputOutputData!K$20,"Chlorine"),L323+H323,L323+J323+H323)</f>
        <v>8124666.4164196495</v>
      </c>
      <c r="N323">
        <f t="shared" si="63"/>
        <v>0.58033331545854649</v>
      </c>
      <c r="O323" t="str">
        <f t="shared" si="59"/>
        <v/>
      </c>
    </row>
    <row r="324" spans="1:15" ht="14.45">
      <c r="A324" s="24">
        <f>'More accurate Energy (Solar)'!A324</f>
        <v>6</v>
      </c>
      <c r="B324" s="24">
        <f t="shared" si="60"/>
        <v>0.41666666666666669</v>
      </c>
      <c r="C324" s="13">
        <f t="shared" si="61"/>
        <v>0.6</v>
      </c>
      <c r="D324" s="12">
        <f t="shared" si="64"/>
        <v>309</v>
      </c>
      <c r="E324" s="12">
        <f t="shared" si="62"/>
        <v>10.299999999999995</v>
      </c>
      <c r="F324" s="12">
        <f t="shared" si="52"/>
        <v>201942.9550481537</v>
      </c>
      <c r="G324" s="391">
        <f t="shared" si="53"/>
        <v>3.576343669814467E-2</v>
      </c>
      <c r="H324" s="12">
        <f t="shared" si="54"/>
        <v>5646631.6912610941</v>
      </c>
      <c r="I324" s="12">
        <f t="shared" si="55"/>
        <v>3</v>
      </c>
      <c r="J324" s="79">
        <f t="shared" si="56"/>
        <v>6000000</v>
      </c>
      <c r="K324" s="64">
        <f t="shared" si="57"/>
        <v>3456000</v>
      </c>
      <c r="L324" s="64">
        <f t="shared" si="58"/>
        <v>3750000</v>
      </c>
      <c r="M324">
        <f>IF(COUNTIF(InputOutputData!K$20,"Chlorine"),L324+H324,L324+J324+H324)</f>
        <v>9396631.6912610941</v>
      </c>
      <c r="N324">
        <f t="shared" si="63"/>
        <v>0.67118797794722107</v>
      </c>
      <c r="O324" t="str">
        <f t="shared" si="59"/>
        <v/>
      </c>
    </row>
    <row r="325" spans="1:15" ht="14.45">
      <c r="A325" s="24">
        <f>'More accurate Energy (Solar)'!A325</f>
        <v>44.2</v>
      </c>
      <c r="B325" s="24">
        <f t="shared" si="60"/>
        <v>1.0416666666666667</v>
      </c>
      <c r="C325" s="13">
        <f t="shared" si="61"/>
        <v>1.5</v>
      </c>
      <c r="D325" s="12">
        <f t="shared" si="64"/>
        <v>310</v>
      </c>
      <c r="E325" s="12">
        <f t="shared" si="62"/>
        <v>11.367999999999995</v>
      </c>
      <c r="F325" s="12">
        <f t="shared" si="52"/>
        <v>504857.38762038422</v>
      </c>
      <c r="G325" s="391">
        <f t="shared" si="53"/>
        <v>5.9272522795741148E-2</v>
      </c>
      <c r="H325" s="12">
        <f t="shared" si="54"/>
        <v>8517561.9968154822</v>
      </c>
      <c r="I325" s="12">
        <f t="shared" si="55"/>
        <v>7.5</v>
      </c>
      <c r="J325" s="79">
        <f t="shared" si="56"/>
        <v>15000000</v>
      </c>
      <c r="K325" s="64">
        <f t="shared" si="57"/>
        <v>3456000</v>
      </c>
      <c r="L325" s="64">
        <f t="shared" si="58"/>
        <v>3750000</v>
      </c>
      <c r="M325">
        <f>IF(COUNTIF(InputOutputData!K$20,"Chlorine"),L325+H325,L325+J325+H325)</f>
        <v>12267561.996815482</v>
      </c>
      <c r="N325">
        <f t="shared" si="63"/>
        <v>0.87625442834396305</v>
      </c>
      <c r="O325" t="str">
        <f t="shared" si="59"/>
        <v/>
      </c>
    </row>
    <row r="326" spans="1:15" ht="14.45">
      <c r="A326" s="24">
        <f>'More accurate Energy (Solar)'!A326</f>
        <v>2.2000000000000002</v>
      </c>
      <c r="B326" s="24">
        <f t="shared" si="60"/>
        <v>0.15277777777777779</v>
      </c>
      <c r="C326" s="13">
        <f t="shared" si="61"/>
        <v>0.22</v>
      </c>
      <c r="D326" s="12">
        <f t="shared" si="64"/>
        <v>311</v>
      </c>
      <c r="E326" s="12">
        <f t="shared" si="62"/>
        <v>11.155999999999995</v>
      </c>
      <c r="F326" s="12">
        <f t="shared" si="52"/>
        <v>74045.750184323027</v>
      </c>
      <c r="G326" s="391">
        <f t="shared" si="53"/>
        <v>2.0585317661094952E-2</v>
      </c>
      <c r="H326" s="12">
        <f t="shared" si="54"/>
        <v>3597017.6124250526</v>
      </c>
      <c r="I326" s="12">
        <f t="shared" si="55"/>
        <v>1.1000000000000001</v>
      </c>
      <c r="J326" s="79">
        <f t="shared" si="56"/>
        <v>2200000</v>
      </c>
      <c r="K326" s="64">
        <f t="shared" si="57"/>
        <v>3456000</v>
      </c>
      <c r="L326" s="64">
        <f t="shared" si="58"/>
        <v>3750000</v>
      </c>
      <c r="M326">
        <f>IF(COUNTIF(InputOutputData!K$20,"Chlorine"),L326+H326,L326+J326+H326)</f>
        <v>7347017.6124250526</v>
      </c>
      <c r="N326">
        <f t="shared" si="63"/>
        <v>0.52478697231607518</v>
      </c>
      <c r="O326" t="str">
        <f t="shared" si="59"/>
        <v/>
      </c>
    </row>
    <row r="327" spans="1:15" ht="14.45">
      <c r="A327" s="24">
        <f>'More accurate Energy (Solar)'!A327</f>
        <v>1.6</v>
      </c>
      <c r="B327" s="24">
        <f t="shared" si="60"/>
        <v>0.1111111111111111</v>
      </c>
      <c r="C327" s="13">
        <f t="shared" si="61"/>
        <v>0.16</v>
      </c>
      <c r="D327" s="12">
        <f t="shared" si="64"/>
        <v>312</v>
      </c>
      <c r="E327" s="12">
        <f t="shared" si="62"/>
        <v>10.883999999999995</v>
      </c>
      <c r="F327" s="12">
        <f t="shared" si="52"/>
        <v>53851.454679507653</v>
      </c>
      <c r="G327" s="391">
        <f t="shared" si="53"/>
        <v>1.7276454762570417E-2</v>
      </c>
      <c r="H327" s="12">
        <f t="shared" si="54"/>
        <v>3117043.1329567269</v>
      </c>
      <c r="I327" s="12">
        <f t="shared" si="55"/>
        <v>0.8</v>
      </c>
      <c r="J327" s="79">
        <f t="shared" si="56"/>
        <v>1600000</v>
      </c>
      <c r="K327" s="64">
        <f t="shared" si="57"/>
        <v>3456000</v>
      </c>
      <c r="L327" s="64">
        <f t="shared" si="58"/>
        <v>3750000</v>
      </c>
      <c r="M327">
        <f>IF(COUNTIF(InputOutputData!K$20,"Chlorine"),L327+H327,L327+J327+H327)</f>
        <v>6867043.1329567265</v>
      </c>
      <c r="N327">
        <f t="shared" si="63"/>
        <v>0.49050308092548045</v>
      </c>
      <c r="O327" t="str">
        <f t="shared" si="59"/>
        <v/>
      </c>
    </row>
    <row r="328" spans="1:15" ht="14.45">
      <c r="A328" s="24">
        <f>'More accurate Energy (Solar)'!A328</f>
        <v>0</v>
      </c>
      <c r="B328" s="24">
        <f t="shared" si="60"/>
        <v>0</v>
      </c>
      <c r="C328" s="13">
        <f t="shared" si="61"/>
        <v>0</v>
      </c>
      <c r="D328" s="12">
        <f t="shared" si="64"/>
        <v>313</v>
      </c>
      <c r="E328" s="12">
        <f t="shared" si="62"/>
        <v>10.451999999999995</v>
      </c>
      <c r="F328" s="12">
        <f t="shared" si="52"/>
        <v>0</v>
      </c>
      <c r="G328" s="391">
        <f t="shared" si="53"/>
        <v>0</v>
      </c>
      <c r="H328" s="12">
        <f t="shared" si="54"/>
        <v>0</v>
      </c>
      <c r="I328" s="12">
        <f t="shared" si="55"/>
        <v>0</v>
      </c>
      <c r="J328" s="79">
        <f t="shared" si="56"/>
        <v>0</v>
      </c>
      <c r="K328" s="64">
        <f t="shared" si="57"/>
        <v>3456000</v>
      </c>
      <c r="L328" s="64">
        <f t="shared" si="58"/>
        <v>3750000</v>
      </c>
      <c r="M328">
        <f>IF(COUNTIF(InputOutputData!K$20,"Chlorine"),L328+H328,L328+J328+H328)</f>
        <v>3750000</v>
      </c>
      <c r="N328">
        <f t="shared" si="63"/>
        <v>0.26785714285714285</v>
      </c>
      <c r="O328" t="str">
        <f t="shared" si="59"/>
        <v/>
      </c>
    </row>
    <row r="329" spans="1:15" ht="14.45">
      <c r="A329" s="24">
        <f>'More accurate Energy (Solar)'!A329</f>
        <v>20.5</v>
      </c>
      <c r="B329" s="24">
        <f t="shared" si="60"/>
        <v>1.0416666666666667</v>
      </c>
      <c r="C329" s="13">
        <f t="shared" si="61"/>
        <v>1.5</v>
      </c>
      <c r="D329" s="12">
        <f t="shared" si="64"/>
        <v>314</v>
      </c>
      <c r="E329" s="12">
        <f t="shared" si="62"/>
        <v>11.519999999999994</v>
      </c>
      <c r="F329" s="12">
        <f t="shared" si="52"/>
        <v>504857.38762038422</v>
      </c>
      <c r="G329" s="391">
        <f t="shared" si="53"/>
        <v>5.9272522795741148E-2</v>
      </c>
      <c r="H329" s="12">
        <f t="shared" si="54"/>
        <v>8517561.9968154822</v>
      </c>
      <c r="I329" s="12">
        <f t="shared" si="55"/>
        <v>7.5</v>
      </c>
      <c r="J329" s="79">
        <f t="shared" si="56"/>
        <v>15000000</v>
      </c>
      <c r="K329" s="64">
        <f t="shared" si="57"/>
        <v>3456000</v>
      </c>
      <c r="L329" s="64">
        <f t="shared" si="58"/>
        <v>3750000</v>
      </c>
      <c r="M329">
        <f>IF(COUNTIF(InputOutputData!K$20,"Chlorine"),L329+H329,L329+J329+H329)</f>
        <v>12267561.996815482</v>
      </c>
      <c r="N329">
        <f t="shared" si="63"/>
        <v>0.87625442834396305</v>
      </c>
      <c r="O329" t="str">
        <f t="shared" si="59"/>
        <v/>
      </c>
    </row>
    <row r="330" spans="1:15" ht="14.45">
      <c r="A330" s="24">
        <f>'More accurate Energy (Solar)'!A330</f>
        <v>18.8</v>
      </c>
      <c r="B330" s="24">
        <f t="shared" si="60"/>
        <v>1.0416666666666667</v>
      </c>
      <c r="C330" s="13">
        <f t="shared" si="61"/>
        <v>1.5</v>
      </c>
      <c r="D330" s="12">
        <f t="shared" si="64"/>
        <v>315</v>
      </c>
      <c r="E330" s="12">
        <f t="shared" si="62"/>
        <v>12.587999999999994</v>
      </c>
      <c r="F330" s="12">
        <f t="shared" si="52"/>
        <v>504857.38762038422</v>
      </c>
      <c r="G330" s="391">
        <f t="shared" si="53"/>
        <v>5.9272522795741148E-2</v>
      </c>
      <c r="H330" s="12">
        <f t="shared" si="54"/>
        <v>8517561.9968154822</v>
      </c>
      <c r="I330" s="12">
        <f t="shared" si="55"/>
        <v>7.5</v>
      </c>
      <c r="J330" s="79">
        <f t="shared" si="56"/>
        <v>15000000</v>
      </c>
      <c r="K330" s="64">
        <f t="shared" si="57"/>
        <v>3456000</v>
      </c>
      <c r="L330" s="64">
        <f t="shared" si="58"/>
        <v>3750000</v>
      </c>
      <c r="M330">
        <f>IF(COUNTIF(InputOutputData!K$20,"Chlorine"),L330+H330,L330+J330+H330)</f>
        <v>12267561.996815482</v>
      </c>
      <c r="N330">
        <f t="shared" si="63"/>
        <v>0.87625442834396305</v>
      </c>
      <c r="O330" t="str">
        <f t="shared" si="59"/>
        <v/>
      </c>
    </row>
    <row r="331" spans="1:15" ht="14.45">
      <c r="A331" s="24">
        <f>'More accurate Energy (Solar)'!A331</f>
        <v>59</v>
      </c>
      <c r="B331" s="24">
        <f t="shared" si="60"/>
        <v>1.0416666666666667</v>
      </c>
      <c r="C331" s="13">
        <f t="shared" si="61"/>
        <v>1.5</v>
      </c>
      <c r="D331" s="12">
        <f t="shared" si="64"/>
        <v>316</v>
      </c>
      <c r="E331" s="12">
        <f t="shared" si="62"/>
        <v>13.655999999999993</v>
      </c>
      <c r="F331" s="12">
        <f t="shared" si="52"/>
        <v>504857.38762038422</v>
      </c>
      <c r="G331" s="391">
        <f t="shared" si="53"/>
        <v>5.9272522795741148E-2</v>
      </c>
      <c r="H331" s="12">
        <f t="shared" si="54"/>
        <v>8517561.9968154822</v>
      </c>
      <c r="I331" s="12">
        <f t="shared" si="55"/>
        <v>7.5</v>
      </c>
      <c r="J331" s="79">
        <f t="shared" si="56"/>
        <v>15000000</v>
      </c>
      <c r="K331" s="64">
        <f t="shared" si="57"/>
        <v>3456000</v>
      </c>
      <c r="L331" s="64">
        <f t="shared" si="58"/>
        <v>3750000</v>
      </c>
      <c r="M331">
        <f>IF(COUNTIF(InputOutputData!K$20,"Chlorine"),L331+H331,L331+J331+H331)</f>
        <v>12267561.996815482</v>
      </c>
      <c r="N331">
        <f t="shared" si="63"/>
        <v>0.87625442834396305</v>
      </c>
      <c r="O331" t="str">
        <f t="shared" si="59"/>
        <v/>
      </c>
    </row>
    <row r="332" spans="1:15" ht="14.45">
      <c r="A332" s="24">
        <f>'More accurate Energy (Solar)'!A332</f>
        <v>11.4</v>
      </c>
      <c r="B332" s="24">
        <f t="shared" si="60"/>
        <v>0.79166666666666674</v>
      </c>
      <c r="C332" s="13">
        <f t="shared" si="61"/>
        <v>1.1400000000000001</v>
      </c>
      <c r="D332" s="12">
        <f t="shared" si="64"/>
        <v>317</v>
      </c>
      <c r="E332" s="12">
        <f t="shared" si="62"/>
        <v>14.363999999999994</v>
      </c>
      <c r="F332" s="12">
        <f t="shared" si="52"/>
        <v>383691.61459149205</v>
      </c>
      <c r="G332" s="391">
        <f t="shared" si="53"/>
        <v>5.0942705634705189E-2</v>
      </c>
      <c r="H332" s="12">
        <f t="shared" si="54"/>
        <v>7531826.3883121787</v>
      </c>
      <c r="I332" s="12">
        <f t="shared" si="55"/>
        <v>5.7000000000000011</v>
      </c>
      <c r="J332" s="79">
        <f t="shared" si="56"/>
        <v>11400000.000000002</v>
      </c>
      <c r="K332" s="64">
        <f t="shared" si="57"/>
        <v>3456000</v>
      </c>
      <c r="L332" s="64">
        <f t="shared" si="58"/>
        <v>3750000</v>
      </c>
      <c r="M332">
        <f>IF(COUNTIF(InputOutputData!K$20,"Chlorine"),L332+H332,L332+J332+H332)</f>
        <v>11281826.38831218</v>
      </c>
      <c r="N332">
        <f t="shared" si="63"/>
        <v>0.80584474202229861</v>
      </c>
      <c r="O332" t="str">
        <f t="shared" si="59"/>
        <v/>
      </c>
    </row>
    <row r="333" spans="1:15" ht="14.45">
      <c r="A333" s="24">
        <f>'More accurate Energy (Solar)'!A333</f>
        <v>0.6</v>
      </c>
      <c r="B333" s="24">
        <f t="shared" si="60"/>
        <v>4.1666666666666664E-2</v>
      </c>
      <c r="C333" s="13">
        <f t="shared" si="61"/>
        <v>0.06</v>
      </c>
      <c r="D333" s="12">
        <f t="shared" si="64"/>
        <v>318</v>
      </c>
      <c r="E333" s="12">
        <f t="shared" si="62"/>
        <v>13.991999999999994</v>
      </c>
      <c r="F333" s="12">
        <f t="shared" si="52"/>
        <v>20194.295504815367</v>
      </c>
      <c r="G333" s="391">
        <f t="shared" si="53"/>
        <v>1.0071891960946849E-2</v>
      </c>
      <c r="H333" s="12">
        <f t="shared" si="54"/>
        <v>2005015.1037280308</v>
      </c>
      <c r="I333" s="12">
        <f t="shared" si="55"/>
        <v>0.3</v>
      </c>
      <c r="J333" s="79">
        <f t="shared" si="56"/>
        <v>600000</v>
      </c>
      <c r="K333" s="64">
        <f t="shared" si="57"/>
        <v>3456000</v>
      </c>
      <c r="L333" s="64">
        <f t="shared" si="58"/>
        <v>3750000</v>
      </c>
      <c r="M333">
        <f>IF(COUNTIF(InputOutputData!K$20,"Chlorine"),L333+H333,L333+J333+H333)</f>
        <v>5755015.1037280308</v>
      </c>
      <c r="N333">
        <f t="shared" si="63"/>
        <v>0.41107250740914508</v>
      </c>
      <c r="O333" t="str">
        <f t="shared" si="59"/>
        <v/>
      </c>
    </row>
    <row r="334" spans="1:15" ht="14.45">
      <c r="A334" s="24">
        <f>'More accurate Energy (Solar)'!A334</f>
        <v>6</v>
      </c>
      <c r="B334" s="24">
        <f t="shared" si="60"/>
        <v>0.41666666666666669</v>
      </c>
      <c r="C334" s="13">
        <f t="shared" si="61"/>
        <v>0.6</v>
      </c>
      <c r="D334" s="12">
        <f t="shared" si="64"/>
        <v>319</v>
      </c>
      <c r="E334" s="12">
        <f t="shared" si="62"/>
        <v>14.159999999999993</v>
      </c>
      <c r="F334" s="12">
        <f t="shared" si="52"/>
        <v>201942.9550481537</v>
      </c>
      <c r="G334" s="391">
        <f t="shared" si="53"/>
        <v>3.576343669814467E-2</v>
      </c>
      <c r="H334" s="12">
        <f t="shared" si="54"/>
        <v>5646631.6912610941</v>
      </c>
      <c r="I334" s="12">
        <f t="shared" si="55"/>
        <v>3</v>
      </c>
      <c r="J334" s="79">
        <f t="shared" si="56"/>
        <v>6000000</v>
      </c>
      <c r="K334" s="64">
        <f t="shared" si="57"/>
        <v>3456000</v>
      </c>
      <c r="L334" s="64">
        <f t="shared" si="58"/>
        <v>3750000</v>
      </c>
      <c r="M334">
        <f>IF(COUNTIF(InputOutputData!K$20,"Chlorine"),L334+H334,L334+J334+H334)</f>
        <v>9396631.6912610941</v>
      </c>
      <c r="N334">
        <f t="shared" si="63"/>
        <v>0.67118797794722107</v>
      </c>
      <c r="O334" t="str">
        <f t="shared" si="59"/>
        <v/>
      </c>
    </row>
    <row r="335" spans="1:15" ht="14.45">
      <c r="A335" s="24">
        <f>'More accurate Energy (Solar)'!A335</f>
        <v>55.4</v>
      </c>
      <c r="B335" s="24">
        <f t="shared" si="60"/>
        <v>1.0416666666666667</v>
      </c>
      <c r="C335" s="13">
        <f t="shared" si="61"/>
        <v>1.5</v>
      </c>
      <c r="D335" s="12">
        <f t="shared" si="64"/>
        <v>320</v>
      </c>
      <c r="E335" s="12">
        <f t="shared" si="62"/>
        <v>15.227999999999993</v>
      </c>
      <c r="F335" s="12">
        <f t="shared" si="52"/>
        <v>504857.38762038422</v>
      </c>
      <c r="G335" s="391">
        <f t="shared" si="53"/>
        <v>5.9272522795741148E-2</v>
      </c>
      <c r="H335" s="12">
        <f t="shared" si="54"/>
        <v>8517561.9968154822</v>
      </c>
      <c r="I335" s="12">
        <f t="shared" si="55"/>
        <v>7.5</v>
      </c>
      <c r="J335" s="79">
        <f t="shared" si="56"/>
        <v>15000000</v>
      </c>
      <c r="K335" s="64">
        <f t="shared" si="57"/>
        <v>3456000</v>
      </c>
      <c r="L335" s="64">
        <f t="shared" si="58"/>
        <v>3750000</v>
      </c>
      <c r="M335">
        <f>IF(COUNTIF(InputOutputData!K$20,"Chlorine"),L335+H335,L335+J335+H335)</f>
        <v>12267561.996815482</v>
      </c>
      <c r="N335">
        <f t="shared" si="63"/>
        <v>0.87625442834396305</v>
      </c>
      <c r="O335" t="str">
        <f t="shared" si="59"/>
        <v/>
      </c>
    </row>
    <row r="336" spans="1:15" ht="14.45">
      <c r="A336" s="24">
        <f>'More accurate Energy (Solar)'!A336</f>
        <v>6.2</v>
      </c>
      <c r="B336" s="24">
        <f t="shared" si="60"/>
        <v>0.43055555555555558</v>
      </c>
      <c r="C336" s="13">
        <f t="shared" si="61"/>
        <v>0.62</v>
      </c>
      <c r="D336" s="12">
        <f t="shared" si="64"/>
        <v>321</v>
      </c>
      <c r="E336" s="12">
        <f t="shared" si="62"/>
        <v>15.415999999999993</v>
      </c>
      <c r="F336" s="12">
        <f t="shared" ref="F336:F380" si="65">C336*$L$2*1000</f>
        <v>208674.38688309214</v>
      </c>
      <c r="G336" s="391">
        <f t="shared" ref="G336:G380" si="66">1.2*$U$8*(EXP(B336/$L$3)-1-1.72*(B336/$L$3)^4)^($U$9)</f>
        <v>3.6415279234193028E-2</v>
      </c>
      <c r="H336" s="12">
        <f t="shared" ref="H336:H380" si="67">IF(C336 = 0,0,$L$2*C336/G336 * 1000)</f>
        <v>5730407.4353259988</v>
      </c>
      <c r="I336" s="12">
        <f t="shared" ref="I336:I380" si="68">($L$7 / $L$6) * C336</f>
        <v>3.1</v>
      </c>
      <c r="J336" s="79">
        <f t="shared" ref="J336:J380" si="69">$L$8 * 10^6 * I336</f>
        <v>6200000</v>
      </c>
      <c r="K336" s="64">
        <f t="shared" ref="K336:K380" si="70">$P$6 * 24 * 3600</f>
        <v>3456000</v>
      </c>
      <c r="L336" s="64">
        <f t="shared" ref="L336:L380" si="71">K336/ ($Q$4 / 100)^2</f>
        <v>3750000</v>
      </c>
      <c r="M336">
        <f>IF(COUNTIF(InputOutputData!K$20,"Chlorine"),L336+H336,L336+J336+H336)</f>
        <v>9480407.4353259988</v>
      </c>
      <c r="N336">
        <f t="shared" si="63"/>
        <v>0.67717195966614285</v>
      </c>
      <c r="O336" t="str">
        <f t="shared" si="59"/>
        <v/>
      </c>
    </row>
    <row r="337" spans="1:15" ht="14.45">
      <c r="A337" s="24">
        <f>'More accurate Energy (Solar)'!A337</f>
        <v>0</v>
      </c>
      <c r="B337" s="24">
        <f t="shared" ref="B337:B380" si="72">C337*100/144</f>
        <v>0</v>
      </c>
      <c r="C337" s="13">
        <f t="shared" ref="C337:C380" si="73">MIN((A337/1000)*$E$3,$E$4)</f>
        <v>0</v>
      </c>
      <c r="D337" s="12">
        <f t="shared" si="64"/>
        <v>322</v>
      </c>
      <c r="E337" s="12">
        <f t="shared" ref="E337:E380" si="74">MAX(MIN(C337 - (IF(D337 &gt; $E$8, $E$2 / 1000,0)) + E336, $E$5),0)</f>
        <v>14.983999999999993</v>
      </c>
      <c r="F337" s="12">
        <f t="shared" si="65"/>
        <v>0</v>
      </c>
      <c r="G337" s="391">
        <f t="shared" si="66"/>
        <v>0</v>
      </c>
      <c r="H337" s="12">
        <f t="shared" si="67"/>
        <v>0</v>
      </c>
      <c r="I337" s="12">
        <f t="shared" si="68"/>
        <v>0</v>
      </c>
      <c r="J337" s="79">
        <f t="shared" si="69"/>
        <v>0</v>
      </c>
      <c r="K337" s="64">
        <f t="shared" si="70"/>
        <v>3456000</v>
      </c>
      <c r="L337" s="64">
        <f t="shared" si="71"/>
        <v>3750000</v>
      </c>
      <c r="M337">
        <f>IF(COUNTIF(InputOutputData!K$20,"Chlorine"),L337+H337,L337+J337+H337)</f>
        <v>3750000</v>
      </c>
      <c r="N337">
        <f t="shared" ref="N337:N380" si="75">(M337 / (10)^6) / 40 / 0.35</f>
        <v>0.26785714285714285</v>
      </c>
      <c r="O337" t="str">
        <f t="shared" ref="O337:O380" si="76">IF(E337=0,1,"")</f>
        <v/>
      </c>
    </row>
    <row r="338" spans="1:15" ht="14.45">
      <c r="A338" s="24">
        <f>'More accurate Energy (Solar)'!A338</f>
        <v>0</v>
      </c>
      <c r="B338" s="24">
        <f t="shared" si="72"/>
        <v>0</v>
      </c>
      <c r="C338" s="13">
        <f t="shared" si="73"/>
        <v>0</v>
      </c>
      <c r="D338" s="12">
        <f t="shared" ref="D338:D380" si="77">D337+1</f>
        <v>323</v>
      </c>
      <c r="E338" s="12">
        <f t="shared" si="74"/>
        <v>14.551999999999992</v>
      </c>
      <c r="F338" s="12">
        <f t="shared" si="65"/>
        <v>0</v>
      </c>
      <c r="G338" s="391">
        <f t="shared" si="66"/>
        <v>0</v>
      </c>
      <c r="H338" s="12">
        <f t="shared" si="67"/>
        <v>0</v>
      </c>
      <c r="I338" s="12">
        <f t="shared" si="68"/>
        <v>0</v>
      </c>
      <c r="J338" s="79">
        <f t="shared" si="69"/>
        <v>0</v>
      </c>
      <c r="K338" s="64">
        <f t="shared" si="70"/>
        <v>3456000</v>
      </c>
      <c r="L338" s="64">
        <f t="shared" si="71"/>
        <v>3750000</v>
      </c>
      <c r="M338">
        <f>IF(COUNTIF(InputOutputData!K$20,"Chlorine"),L338+H338,L338+J338+H338)</f>
        <v>3750000</v>
      </c>
      <c r="N338">
        <f t="shared" si="75"/>
        <v>0.26785714285714285</v>
      </c>
      <c r="O338" t="str">
        <f t="shared" si="76"/>
        <v/>
      </c>
    </row>
    <row r="339" spans="1:15" ht="14.45">
      <c r="A339" s="24">
        <f>'More accurate Energy (Solar)'!A339</f>
        <v>0</v>
      </c>
      <c r="B339" s="24">
        <f t="shared" si="72"/>
        <v>0</v>
      </c>
      <c r="C339" s="13">
        <f t="shared" si="73"/>
        <v>0</v>
      </c>
      <c r="D339" s="12">
        <f t="shared" si="77"/>
        <v>324</v>
      </c>
      <c r="E339" s="12">
        <f t="shared" si="74"/>
        <v>14.119999999999992</v>
      </c>
      <c r="F339" s="12">
        <f t="shared" si="65"/>
        <v>0</v>
      </c>
      <c r="G339" s="391">
        <f t="shared" si="66"/>
        <v>0</v>
      </c>
      <c r="H339" s="12">
        <f t="shared" si="67"/>
        <v>0</v>
      </c>
      <c r="I339" s="12">
        <f t="shared" si="68"/>
        <v>0</v>
      </c>
      <c r="J339" s="79">
        <f t="shared" si="69"/>
        <v>0</v>
      </c>
      <c r="K339" s="64">
        <f t="shared" si="70"/>
        <v>3456000</v>
      </c>
      <c r="L339" s="64">
        <f t="shared" si="71"/>
        <v>3750000</v>
      </c>
      <c r="M339">
        <f>IF(COUNTIF(InputOutputData!K$20,"Chlorine"),L339+H339,L339+J339+H339)</f>
        <v>3750000</v>
      </c>
      <c r="N339">
        <f t="shared" si="75"/>
        <v>0.26785714285714285</v>
      </c>
      <c r="O339" t="str">
        <f t="shared" si="76"/>
        <v/>
      </c>
    </row>
    <row r="340" spans="1:15" ht="14.45">
      <c r="A340" s="24">
        <f>'More accurate Energy (Solar)'!A340</f>
        <v>0</v>
      </c>
      <c r="B340" s="24">
        <f t="shared" si="72"/>
        <v>0</v>
      </c>
      <c r="C340" s="13">
        <f t="shared" si="73"/>
        <v>0</v>
      </c>
      <c r="D340" s="12">
        <f t="shared" si="77"/>
        <v>325</v>
      </c>
      <c r="E340" s="12">
        <f t="shared" si="74"/>
        <v>13.687999999999992</v>
      </c>
      <c r="F340" s="12">
        <f t="shared" si="65"/>
        <v>0</v>
      </c>
      <c r="G340" s="391">
        <f t="shared" si="66"/>
        <v>0</v>
      </c>
      <c r="H340" s="12">
        <f t="shared" si="67"/>
        <v>0</v>
      </c>
      <c r="I340" s="12">
        <f t="shared" si="68"/>
        <v>0</v>
      </c>
      <c r="J340" s="79">
        <f t="shared" si="69"/>
        <v>0</v>
      </c>
      <c r="K340" s="64">
        <f t="shared" si="70"/>
        <v>3456000</v>
      </c>
      <c r="L340" s="64">
        <f t="shared" si="71"/>
        <v>3750000</v>
      </c>
      <c r="M340">
        <f>IF(COUNTIF(InputOutputData!K$20,"Chlorine"),L340+H340,L340+J340+H340)</f>
        <v>3750000</v>
      </c>
      <c r="N340">
        <f t="shared" si="75"/>
        <v>0.26785714285714285</v>
      </c>
      <c r="O340" t="str">
        <f t="shared" si="76"/>
        <v/>
      </c>
    </row>
    <row r="341" spans="1:15" ht="14.45">
      <c r="A341" s="24">
        <f>'More accurate Energy (Solar)'!A341</f>
        <v>0</v>
      </c>
      <c r="B341" s="24">
        <f t="shared" si="72"/>
        <v>0</v>
      </c>
      <c r="C341" s="13">
        <f t="shared" si="73"/>
        <v>0</v>
      </c>
      <c r="D341" s="12">
        <f t="shared" si="77"/>
        <v>326</v>
      </c>
      <c r="E341" s="12">
        <f t="shared" si="74"/>
        <v>13.255999999999991</v>
      </c>
      <c r="F341" s="12">
        <f t="shared" si="65"/>
        <v>0</v>
      </c>
      <c r="G341" s="391">
        <f t="shared" si="66"/>
        <v>0</v>
      </c>
      <c r="H341" s="12">
        <f t="shared" si="67"/>
        <v>0</v>
      </c>
      <c r="I341" s="12">
        <f t="shared" si="68"/>
        <v>0</v>
      </c>
      <c r="J341" s="79">
        <f t="shared" si="69"/>
        <v>0</v>
      </c>
      <c r="K341" s="64">
        <f t="shared" si="70"/>
        <v>3456000</v>
      </c>
      <c r="L341" s="64">
        <f t="shared" si="71"/>
        <v>3750000</v>
      </c>
      <c r="M341">
        <f>IF(COUNTIF(InputOutputData!K$20,"Chlorine"),L341+H341,L341+J341+H341)</f>
        <v>3750000</v>
      </c>
      <c r="N341">
        <f t="shared" si="75"/>
        <v>0.26785714285714285</v>
      </c>
      <c r="O341" t="str">
        <f t="shared" si="76"/>
        <v/>
      </c>
    </row>
    <row r="342" spans="1:15" ht="14.45">
      <c r="A342" s="24">
        <f>'More accurate Energy (Solar)'!A342</f>
        <v>0</v>
      </c>
      <c r="B342" s="24">
        <f t="shared" si="72"/>
        <v>0</v>
      </c>
      <c r="C342" s="13">
        <f t="shared" si="73"/>
        <v>0</v>
      </c>
      <c r="D342" s="12">
        <f t="shared" si="77"/>
        <v>327</v>
      </c>
      <c r="E342" s="12">
        <f t="shared" si="74"/>
        <v>12.823999999999991</v>
      </c>
      <c r="F342" s="12">
        <f t="shared" si="65"/>
        <v>0</v>
      </c>
      <c r="G342" s="391">
        <f t="shared" si="66"/>
        <v>0</v>
      </c>
      <c r="H342" s="12">
        <f t="shared" si="67"/>
        <v>0</v>
      </c>
      <c r="I342" s="12">
        <f t="shared" si="68"/>
        <v>0</v>
      </c>
      <c r="J342" s="79">
        <f t="shared" si="69"/>
        <v>0</v>
      </c>
      <c r="K342" s="64">
        <f t="shared" si="70"/>
        <v>3456000</v>
      </c>
      <c r="L342" s="64">
        <f t="shared" si="71"/>
        <v>3750000</v>
      </c>
      <c r="M342">
        <f>IF(COUNTIF(InputOutputData!K$20,"Chlorine"),L342+H342,L342+J342+H342)</f>
        <v>3750000</v>
      </c>
      <c r="N342">
        <f t="shared" si="75"/>
        <v>0.26785714285714285</v>
      </c>
      <c r="O342" t="str">
        <f t="shared" si="76"/>
        <v/>
      </c>
    </row>
    <row r="343" spans="1:15" ht="14.45">
      <c r="A343" s="24">
        <f>'More accurate Energy (Solar)'!A343</f>
        <v>0</v>
      </c>
      <c r="B343" s="24">
        <f t="shared" si="72"/>
        <v>0</v>
      </c>
      <c r="C343" s="13">
        <f t="shared" si="73"/>
        <v>0</v>
      </c>
      <c r="D343" s="12">
        <f t="shared" si="77"/>
        <v>328</v>
      </c>
      <c r="E343" s="12">
        <f t="shared" si="74"/>
        <v>12.391999999999991</v>
      </c>
      <c r="F343" s="12">
        <f t="shared" si="65"/>
        <v>0</v>
      </c>
      <c r="G343" s="391">
        <f t="shared" si="66"/>
        <v>0</v>
      </c>
      <c r="H343" s="12">
        <f t="shared" si="67"/>
        <v>0</v>
      </c>
      <c r="I343" s="12">
        <f t="shared" si="68"/>
        <v>0</v>
      </c>
      <c r="J343" s="79">
        <f t="shared" si="69"/>
        <v>0</v>
      </c>
      <c r="K343" s="64">
        <f t="shared" si="70"/>
        <v>3456000</v>
      </c>
      <c r="L343" s="64">
        <f t="shared" si="71"/>
        <v>3750000</v>
      </c>
      <c r="M343">
        <f>IF(COUNTIF(InputOutputData!K$20,"Chlorine"),L343+H343,L343+J343+H343)</f>
        <v>3750000</v>
      </c>
      <c r="N343">
        <f t="shared" si="75"/>
        <v>0.26785714285714285</v>
      </c>
      <c r="O343" t="str">
        <f t="shared" si="76"/>
        <v/>
      </c>
    </row>
    <row r="344" spans="1:15" ht="14.45">
      <c r="A344" s="24">
        <f>'More accurate Energy (Solar)'!A344</f>
        <v>0</v>
      </c>
      <c r="B344" s="24">
        <f t="shared" si="72"/>
        <v>0</v>
      </c>
      <c r="C344" s="13">
        <f t="shared" si="73"/>
        <v>0</v>
      </c>
      <c r="D344" s="12">
        <f t="shared" si="77"/>
        <v>329</v>
      </c>
      <c r="E344" s="12">
        <f t="shared" si="74"/>
        <v>11.95999999999999</v>
      </c>
      <c r="F344" s="12">
        <f t="shared" si="65"/>
        <v>0</v>
      </c>
      <c r="G344" s="391">
        <f t="shared" si="66"/>
        <v>0</v>
      </c>
      <c r="H344" s="12">
        <f t="shared" si="67"/>
        <v>0</v>
      </c>
      <c r="I344" s="12">
        <f t="shared" si="68"/>
        <v>0</v>
      </c>
      <c r="J344" s="79">
        <f t="shared" si="69"/>
        <v>0</v>
      </c>
      <c r="K344" s="64">
        <f t="shared" si="70"/>
        <v>3456000</v>
      </c>
      <c r="L344" s="64">
        <f t="shared" si="71"/>
        <v>3750000</v>
      </c>
      <c r="M344">
        <f>IF(COUNTIF(InputOutputData!K$20,"Chlorine"),L344+H344,L344+J344+H344)</f>
        <v>3750000</v>
      </c>
      <c r="N344">
        <f t="shared" si="75"/>
        <v>0.26785714285714285</v>
      </c>
      <c r="O344" t="str">
        <f t="shared" si="76"/>
        <v/>
      </c>
    </row>
    <row r="345" spans="1:15" ht="14.45">
      <c r="A345" s="24">
        <f>'More accurate Energy (Solar)'!A345</f>
        <v>0</v>
      </c>
      <c r="B345" s="24">
        <f t="shared" si="72"/>
        <v>0</v>
      </c>
      <c r="C345" s="13">
        <f t="shared" si="73"/>
        <v>0</v>
      </c>
      <c r="D345" s="12">
        <f t="shared" si="77"/>
        <v>330</v>
      </c>
      <c r="E345" s="12">
        <f t="shared" si="74"/>
        <v>11.52799999999999</v>
      </c>
      <c r="F345" s="12">
        <f t="shared" si="65"/>
        <v>0</v>
      </c>
      <c r="G345" s="391">
        <f t="shared" si="66"/>
        <v>0</v>
      </c>
      <c r="H345" s="12">
        <f t="shared" si="67"/>
        <v>0</v>
      </c>
      <c r="I345" s="12">
        <f t="shared" si="68"/>
        <v>0</v>
      </c>
      <c r="J345" s="79">
        <f t="shared" si="69"/>
        <v>0</v>
      </c>
      <c r="K345" s="64">
        <f t="shared" si="70"/>
        <v>3456000</v>
      </c>
      <c r="L345" s="64">
        <f t="shared" si="71"/>
        <v>3750000</v>
      </c>
      <c r="M345">
        <f>IF(COUNTIF(InputOutputData!K$20,"Chlorine"),L345+H345,L345+J345+H345)</f>
        <v>3750000</v>
      </c>
      <c r="N345">
        <f t="shared" si="75"/>
        <v>0.26785714285714285</v>
      </c>
      <c r="O345" t="str">
        <f t="shared" si="76"/>
        <v/>
      </c>
    </row>
    <row r="346" spans="1:15" ht="14.45">
      <c r="A346" s="24">
        <f>'More accurate Energy (Solar)'!A346</f>
        <v>0</v>
      </c>
      <c r="B346" s="24">
        <f t="shared" si="72"/>
        <v>0</v>
      </c>
      <c r="C346" s="13">
        <f t="shared" si="73"/>
        <v>0</v>
      </c>
      <c r="D346" s="12">
        <f t="shared" si="77"/>
        <v>331</v>
      </c>
      <c r="E346" s="12">
        <f t="shared" si="74"/>
        <v>11.095999999999989</v>
      </c>
      <c r="F346" s="12">
        <f t="shared" si="65"/>
        <v>0</v>
      </c>
      <c r="G346" s="391">
        <f t="shared" si="66"/>
        <v>0</v>
      </c>
      <c r="H346" s="12">
        <f t="shared" si="67"/>
        <v>0</v>
      </c>
      <c r="I346" s="12">
        <f t="shared" si="68"/>
        <v>0</v>
      </c>
      <c r="J346" s="79">
        <f t="shared" si="69"/>
        <v>0</v>
      </c>
      <c r="K346" s="64">
        <f t="shared" si="70"/>
        <v>3456000</v>
      </c>
      <c r="L346" s="64">
        <f t="shared" si="71"/>
        <v>3750000</v>
      </c>
      <c r="M346">
        <f>IF(COUNTIF(InputOutputData!K$20,"Chlorine"),L346+H346,L346+J346+H346)</f>
        <v>3750000</v>
      </c>
      <c r="N346">
        <f t="shared" si="75"/>
        <v>0.26785714285714285</v>
      </c>
      <c r="O346" t="str">
        <f t="shared" si="76"/>
        <v/>
      </c>
    </row>
    <row r="347" spans="1:15" ht="14.45">
      <c r="A347" s="24">
        <f>'More accurate Energy (Solar)'!A347</f>
        <v>0</v>
      </c>
      <c r="B347" s="24">
        <f t="shared" si="72"/>
        <v>0</v>
      </c>
      <c r="C347" s="13">
        <f t="shared" si="73"/>
        <v>0</v>
      </c>
      <c r="D347" s="12">
        <f t="shared" si="77"/>
        <v>332</v>
      </c>
      <c r="E347" s="12">
        <f t="shared" si="74"/>
        <v>10.663999999999989</v>
      </c>
      <c r="F347" s="12">
        <f t="shared" si="65"/>
        <v>0</v>
      </c>
      <c r="G347" s="391">
        <f t="shared" si="66"/>
        <v>0</v>
      </c>
      <c r="H347" s="12">
        <f t="shared" si="67"/>
        <v>0</v>
      </c>
      <c r="I347" s="12">
        <f t="shared" si="68"/>
        <v>0</v>
      </c>
      <c r="J347" s="79">
        <f t="shared" si="69"/>
        <v>0</v>
      </c>
      <c r="K347" s="64">
        <f t="shared" si="70"/>
        <v>3456000</v>
      </c>
      <c r="L347" s="64">
        <f t="shared" si="71"/>
        <v>3750000</v>
      </c>
      <c r="M347">
        <f>IF(COUNTIF(InputOutputData!K$20,"Chlorine"),L347+H347,L347+J347+H347)</f>
        <v>3750000</v>
      </c>
      <c r="N347">
        <f t="shared" si="75"/>
        <v>0.26785714285714285</v>
      </c>
      <c r="O347" t="str">
        <f t="shared" si="76"/>
        <v/>
      </c>
    </row>
    <row r="348" spans="1:15" ht="14.45">
      <c r="A348" s="24">
        <f>'More accurate Energy (Solar)'!A348</f>
        <v>0</v>
      </c>
      <c r="B348" s="24">
        <f t="shared" si="72"/>
        <v>0</v>
      </c>
      <c r="C348" s="13">
        <f t="shared" si="73"/>
        <v>0</v>
      </c>
      <c r="D348" s="12">
        <f t="shared" si="77"/>
        <v>333</v>
      </c>
      <c r="E348" s="12">
        <f t="shared" si="74"/>
        <v>10.231999999999989</v>
      </c>
      <c r="F348" s="12">
        <f t="shared" si="65"/>
        <v>0</v>
      </c>
      <c r="G348" s="391">
        <f t="shared" si="66"/>
        <v>0</v>
      </c>
      <c r="H348" s="12">
        <f t="shared" si="67"/>
        <v>0</v>
      </c>
      <c r="I348" s="12">
        <f t="shared" si="68"/>
        <v>0</v>
      </c>
      <c r="J348" s="79">
        <f t="shared" si="69"/>
        <v>0</v>
      </c>
      <c r="K348" s="64">
        <f t="shared" si="70"/>
        <v>3456000</v>
      </c>
      <c r="L348" s="64">
        <f t="shared" si="71"/>
        <v>3750000</v>
      </c>
      <c r="M348">
        <f>IF(COUNTIF(InputOutputData!K$20,"Chlorine"),L348+H348,L348+J348+H348)</f>
        <v>3750000</v>
      </c>
      <c r="N348">
        <f t="shared" si="75"/>
        <v>0.26785714285714285</v>
      </c>
      <c r="O348" t="str">
        <f t="shared" si="76"/>
        <v/>
      </c>
    </row>
    <row r="349" spans="1:15" ht="14.45">
      <c r="A349" s="24">
        <f>'More accurate Energy (Solar)'!A349</f>
        <v>13</v>
      </c>
      <c r="B349" s="24">
        <f t="shared" si="72"/>
        <v>0.90277777777777779</v>
      </c>
      <c r="C349" s="13">
        <f t="shared" si="73"/>
        <v>1.3</v>
      </c>
      <c r="D349" s="12">
        <f t="shared" si="77"/>
        <v>334</v>
      </c>
      <c r="E349" s="12">
        <f t="shared" si="74"/>
        <v>11.099999999999989</v>
      </c>
      <c r="F349" s="12">
        <f t="shared" si="65"/>
        <v>437543.06927099969</v>
      </c>
      <c r="G349" s="391">
        <f t="shared" si="66"/>
        <v>5.4770973691154398E-2</v>
      </c>
      <c r="H349" s="12">
        <f t="shared" si="67"/>
        <v>7988593.9537653979</v>
      </c>
      <c r="I349" s="12">
        <f t="shared" si="68"/>
        <v>6.5</v>
      </c>
      <c r="J349" s="79">
        <f t="shared" si="69"/>
        <v>13000000</v>
      </c>
      <c r="K349" s="64">
        <f t="shared" si="70"/>
        <v>3456000</v>
      </c>
      <c r="L349" s="64">
        <f t="shared" si="71"/>
        <v>3750000</v>
      </c>
      <c r="M349">
        <f>IF(COUNTIF(InputOutputData!K$20,"Chlorine"),L349+H349,L349+J349+H349)</f>
        <v>11738593.953765398</v>
      </c>
      <c r="N349">
        <f t="shared" si="75"/>
        <v>0.83847099669752845</v>
      </c>
      <c r="O349" t="str">
        <f t="shared" si="76"/>
        <v/>
      </c>
    </row>
    <row r="350" spans="1:15" ht="14.45">
      <c r="A350" s="24">
        <f>'More accurate Energy (Solar)'!A350</f>
        <v>34.6</v>
      </c>
      <c r="B350" s="24">
        <f t="shared" si="72"/>
        <v>1.0416666666666667</v>
      </c>
      <c r="C350" s="13">
        <f t="shared" si="73"/>
        <v>1.5</v>
      </c>
      <c r="D350" s="12">
        <f t="shared" si="77"/>
        <v>335</v>
      </c>
      <c r="E350" s="12">
        <f t="shared" si="74"/>
        <v>12.167999999999989</v>
      </c>
      <c r="F350" s="12">
        <f t="shared" si="65"/>
        <v>504857.38762038422</v>
      </c>
      <c r="G350" s="391">
        <f t="shared" si="66"/>
        <v>5.9272522795741148E-2</v>
      </c>
      <c r="H350" s="12">
        <f t="shared" si="67"/>
        <v>8517561.9968154822</v>
      </c>
      <c r="I350" s="12">
        <f t="shared" si="68"/>
        <v>7.5</v>
      </c>
      <c r="J350" s="79">
        <f t="shared" si="69"/>
        <v>15000000</v>
      </c>
      <c r="K350" s="64">
        <f t="shared" si="70"/>
        <v>3456000</v>
      </c>
      <c r="L350" s="64">
        <f t="shared" si="71"/>
        <v>3750000</v>
      </c>
      <c r="M350">
        <f>IF(COUNTIF(InputOutputData!K$20,"Chlorine"),L350+H350,L350+J350+H350)</f>
        <v>12267561.996815482</v>
      </c>
      <c r="N350">
        <f t="shared" si="75"/>
        <v>0.87625442834396305</v>
      </c>
      <c r="O350" t="str">
        <f t="shared" si="76"/>
        <v/>
      </c>
    </row>
    <row r="351" spans="1:15" ht="14.45">
      <c r="A351" s="24">
        <f>'More accurate Energy (Solar)'!A351</f>
        <v>27.4</v>
      </c>
      <c r="B351" s="24">
        <f t="shared" si="72"/>
        <v>1.0416666666666667</v>
      </c>
      <c r="C351" s="13">
        <f t="shared" si="73"/>
        <v>1.5</v>
      </c>
      <c r="D351" s="12">
        <f t="shared" si="77"/>
        <v>336</v>
      </c>
      <c r="E351" s="12">
        <f t="shared" si="74"/>
        <v>13.235999999999988</v>
      </c>
      <c r="F351" s="12">
        <f t="shared" si="65"/>
        <v>504857.38762038422</v>
      </c>
      <c r="G351" s="391">
        <f t="shared" si="66"/>
        <v>5.9272522795741148E-2</v>
      </c>
      <c r="H351" s="12">
        <f t="shared" si="67"/>
        <v>8517561.9968154822</v>
      </c>
      <c r="I351" s="12">
        <f t="shared" si="68"/>
        <v>7.5</v>
      </c>
      <c r="J351" s="79">
        <f t="shared" si="69"/>
        <v>15000000</v>
      </c>
      <c r="K351" s="64">
        <f t="shared" si="70"/>
        <v>3456000</v>
      </c>
      <c r="L351" s="64">
        <f t="shared" si="71"/>
        <v>3750000</v>
      </c>
      <c r="M351">
        <f>IF(COUNTIF(InputOutputData!K$20,"Chlorine"),L351+H351,L351+J351+H351)</f>
        <v>12267561.996815482</v>
      </c>
      <c r="N351">
        <f t="shared" si="75"/>
        <v>0.87625442834396305</v>
      </c>
      <c r="O351" t="str">
        <f t="shared" si="76"/>
        <v/>
      </c>
    </row>
    <row r="352" spans="1:15" ht="14.45">
      <c r="A352" s="24">
        <f>'More accurate Energy (Solar)'!A352</f>
        <v>32.6</v>
      </c>
      <c r="B352" s="24">
        <f t="shared" si="72"/>
        <v>1.0416666666666667</v>
      </c>
      <c r="C352" s="13">
        <f t="shared" si="73"/>
        <v>1.5</v>
      </c>
      <c r="D352" s="12">
        <f t="shared" si="77"/>
        <v>337</v>
      </c>
      <c r="E352" s="12">
        <f t="shared" si="74"/>
        <v>14.303999999999988</v>
      </c>
      <c r="F352" s="12">
        <f t="shared" si="65"/>
        <v>504857.38762038422</v>
      </c>
      <c r="G352" s="391">
        <f t="shared" si="66"/>
        <v>5.9272522795741148E-2</v>
      </c>
      <c r="H352" s="12">
        <f t="shared" si="67"/>
        <v>8517561.9968154822</v>
      </c>
      <c r="I352" s="12">
        <f t="shared" si="68"/>
        <v>7.5</v>
      </c>
      <c r="J352" s="79">
        <f t="shared" si="69"/>
        <v>15000000</v>
      </c>
      <c r="K352" s="64">
        <f t="shared" si="70"/>
        <v>3456000</v>
      </c>
      <c r="L352" s="64">
        <f t="shared" si="71"/>
        <v>3750000</v>
      </c>
      <c r="M352">
        <f>IF(COUNTIF(InputOutputData!K$20,"Chlorine"),L352+H352,L352+J352+H352)</f>
        <v>12267561.996815482</v>
      </c>
      <c r="N352">
        <f t="shared" si="75"/>
        <v>0.87625442834396305</v>
      </c>
      <c r="O352" t="str">
        <f t="shared" si="76"/>
        <v/>
      </c>
    </row>
    <row r="353" spans="1:15" ht="14.45">
      <c r="A353" s="24">
        <f>'More accurate Energy (Solar)'!A353</f>
        <v>27.2</v>
      </c>
      <c r="B353" s="24">
        <f t="shared" si="72"/>
        <v>1.0416666666666667</v>
      </c>
      <c r="C353" s="13">
        <f t="shared" si="73"/>
        <v>1.5</v>
      </c>
      <c r="D353" s="12">
        <f t="shared" si="77"/>
        <v>338</v>
      </c>
      <c r="E353" s="12">
        <f t="shared" si="74"/>
        <v>15.371999999999987</v>
      </c>
      <c r="F353" s="12">
        <f t="shared" si="65"/>
        <v>504857.38762038422</v>
      </c>
      <c r="G353" s="391">
        <f t="shared" si="66"/>
        <v>5.9272522795741148E-2</v>
      </c>
      <c r="H353" s="12">
        <f t="shared" si="67"/>
        <v>8517561.9968154822</v>
      </c>
      <c r="I353" s="12">
        <f t="shared" si="68"/>
        <v>7.5</v>
      </c>
      <c r="J353" s="79">
        <f t="shared" si="69"/>
        <v>15000000</v>
      </c>
      <c r="K353" s="64">
        <f t="shared" si="70"/>
        <v>3456000</v>
      </c>
      <c r="L353" s="64">
        <f t="shared" si="71"/>
        <v>3750000</v>
      </c>
      <c r="M353">
        <f>IF(COUNTIF(InputOutputData!K$20,"Chlorine"),L353+H353,L353+J353+H353)</f>
        <v>12267561.996815482</v>
      </c>
      <c r="N353">
        <f t="shared" si="75"/>
        <v>0.87625442834396305</v>
      </c>
      <c r="O353" t="str">
        <f t="shared" si="76"/>
        <v/>
      </c>
    </row>
    <row r="354" spans="1:15" ht="14.45">
      <c r="A354" s="24">
        <f>'More accurate Energy (Solar)'!A354</f>
        <v>33.799999999999997</v>
      </c>
      <c r="B354" s="24">
        <f t="shared" si="72"/>
        <v>1.0416666666666667</v>
      </c>
      <c r="C354" s="13">
        <f t="shared" si="73"/>
        <v>1.5</v>
      </c>
      <c r="D354" s="12">
        <f t="shared" si="77"/>
        <v>339</v>
      </c>
      <c r="E354" s="12">
        <f t="shared" si="74"/>
        <v>16.439999999999987</v>
      </c>
      <c r="F354" s="12">
        <f t="shared" si="65"/>
        <v>504857.38762038422</v>
      </c>
      <c r="G354" s="391">
        <f t="shared" si="66"/>
        <v>5.9272522795741148E-2</v>
      </c>
      <c r="H354" s="12">
        <f t="shared" si="67"/>
        <v>8517561.9968154822</v>
      </c>
      <c r="I354" s="12">
        <f t="shared" si="68"/>
        <v>7.5</v>
      </c>
      <c r="J354" s="79">
        <f t="shared" si="69"/>
        <v>15000000</v>
      </c>
      <c r="K354" s="64">
        <f t="shared" si="70"/>
        <v>3456000</v>
      </c>
      <c r="L354" s="64">
        <f t="shared" si="71"/>
        <v>3750000</v>
      </c>
      <c r="M354">
        <f>IF(COUNTIF(InputOutputData!K$20,"Chlorine"),L354+H354,L354+J354+H354)</f>
        <v>12267561.996815482</v>
      </c>
      <c r="N354">
        <f t="shared" si="75"/>
        <v>0.87625442834396305</v>
      </c>
      <c r="O354" t="str">
        <f t="shared" si="76"/>
        <v/>
      </c>
    </row>
    <row r="355" spans="1:15" ht="14.45">
      <c r="A355" s="24">
        <f>'More accurate Energy (Solar)'!A355</f>
        <v>22.4</v>
      </c>
      <c r="B355" s="24">
        <f t="shared" si="72"/>
        <v>1.0416666666666667</v>
      </c>
      <c r="C355" s="13">
        <f t="shared" si="73"/>
        <v>1.5</v>
      </c>
      <c r="D355" s="12">
        <f t="shared" si="77"/>
        <v>340</v>
      </c>
      <c r="E355" s="12">
        <f t="shared" si="74"/>
        <v>17.507999999999988</v>
      </c>
      <c r="F355" s="12">
        <f t="shared" si="65"/>
        <v>504857.38762038422</v>
      </c>
      <c r="G355" s="391">
        <f t="shared" si="66"/>
        <v>5.9272522795741148E-2</v>
      </c>
      <c r="H355" s="12">
        <f t="shared" si="67"/>
        <v>8517561.9968154822</v>
      </c>
      <c r="I355" s="12">
        <f t="shared" si="68"/>
        <v>7.5</v>
      </c>
      <c r="J355" s="79">
        <f t="shared" si="69"/>
        <v>15000000</v>
      </c>
      <c r="K355" s="64">
        <f t="shared" si="70"/>
        <v>3456000</v>
      </c>
      <c r="L355" s="64">
        <f t="shared" si="71"/>
        <v>3750000</v>
      </c>
      <c r="M355">
        <f>IF(COUNTIF(InputOutputData!K$20,"Chlorine"),L355+H355,L355+J355+H355)</f>
        <v>12267561.996815482</v>
      </c>
      <c r="N355">
        <f t="shared" si="75"/>
        <v>0.87625442834396305</v>
      </c>
      <c r="O355" t="str">
        <f t="shared" si="76"/>
        <v/>
      </c>
    </row>
    <row r="356" spans="1:15" ht="14.45">
      <c r="A356" s="24">
        <f>'More accurate Energy (Solar)'!A356</f>
        <v>37.200000000000003</v>
      </c>
      <c r="B356" s="24">
        <f t="shared" si="72"/>
        <v>1.0416666666666667</v>
      </c>
      <c r="C356" s="13">
        <f t="shared" si="73"/>
        <v>1.5</v>
      </c>
      <c r="D356" s="12">
        <f t="shared" si="77"/>
        <v>341</v>
      </c>
      <c r="E356" s="12">
        <f t="shared" si="74"/>
        <v>18.57599999999999</v>
      </c>
      <c r="F356" s="12">
        <f t="shared" si="65"/>
        <v>504857.38762038422</v>
      </c>
      <c r="G356" s="391">
        <f t="shared" si="66"/>
        <v>5.9272522795741148E-2</v>
      </c>
      <c r="H356" s="12">
        <f t="shared" si="67"/>
        <v>8517561.9968154822</v>
      </c>
      <c r="I356" s="12">
        <f t="shared" si="68"/>
        <v>7.5</v>
      </c>
      <c r="J356" s="79">
        <f t="shared" si="69"/>
        <v>15000000</v>
      </c>
      <c r="K356" s="64">
        <f t="shared" si="70"/>
        <v>3456000</v>
      </c>
      <c r="L356" s="64">
        <f t="shared" si="71"/>
        <v>3750000</v>
      </c>
      <c r="M356">
        <f>IF(COUNTIF(InputOutputData!K$20,"Chlorine"),L356+H356,L356+J356+H356)</f>
        <v>12267561.996815482</v>
      </c>
      <c r="N356">
        <f t="shared" si="75"/>
        <v>0.87625442834396305</v>
      </c>
      <c r="O356" t="str">
        <f t="shared" si="76"/>
        <v/>
      </c>
    </row>
    <row r="357" spans="1:15" ht="14.45">
      <c r="A357" s="24">
        <f>'More accurate Energy (Solar)'!A357</f>
        <v>27</v>
      </c>
      <c r="B357" s="24">
        <f t="shared" si="72"/>
        <v>1.0416666666666667</v>
      </c>
      <c r="C357" s="13">
        <f t="shared" si="73"/>
        <v>1.5</v>
      </c>
      <c r="D357" s="12">
        <f t="shared" si="77"/>
        <v>342</v>
      </c>
      <c r="E357" s="12">
        <f t="shared" si="74"/>
        <v>19.643999999999991</v>
      </c>
      <c r="F357" s="12">
        <f t="shared" si="65"/>
        <v>504857.38762038422</v>
      </c>
      <c r="G357" s="391">
        <f t="shared" si="66"/>
        <v>5.9272522795741148E-2</v>
      </c>
      <c r="H357" s="12">
        <f t="shared" si="67"/>
        <v>8517561.9968154822</v>
      </c>
      <c r="I357" s="12">
        <f t="shared" si="68"/>
        <v>7.5</v>
      </c>
      <c r="J357" s="79">
        <f t="shared" si="69"/>
        <v>15000000</v>
      </c>
      <c r="K357" s="64">
        <f t="shared" si="70"/>
        <v>3456000</v>
      </c>
      <c r="L357" s="64">
        <f t="shared" si="71"/>
        <v>3750000</v>
      </c>
      <c r="M357">
        <f>IF(COUNTIF(InputOutputData!K$20,"Chlorine"),L357+H357,L357+J357+H357)</f>
        <v>12267561.996815482</v>
      </c>
      <c r="N357">
        <f t="shared" si="75"/>
        <v>0.87625442834396305</v>
      </c>
      <c r="O357" t="str">
        <f t="shared" si="76"/>
        <v/>
      </c>
    </row>
    <row r="358" spans="1:15" ht="14.45">
      <c r="A358" s="24">
        <f>'More accurate Energy (Solar)'!A358</f>
        <v>4.8</v>
      </c>
      <c r="B358" s="24">
        <f t="shared" si="72"/>
        <v>0.33333333333333331</v>
      </c>
      <c r="C358" s="13">
        <f t="shared" si="73"/>
        <v>0.48</v>
      </c>
      <c r="D358" s="12">
        <f t="shared" si="77"/>
        <v>343</v>
      </c>
      <c r="E358" s="12">
        <f t="shared" si="74"/>
        <v>19.69199999999999</v>
      </c>
      <c r="F358" s="12">
        <f t="shared" si="65"/>
        <v>161554.36403852294</v>
      </c>
      <c r="G358" s="391">
        <f t="shared" si="66"/>
        <v>3.162756800739009E-2</v>
      </c>
      <c r="H358" s="12">
        <f t="shared" si="67"/>
        <v>5108023.6077833809</v>
      </c>
      <c r="I358" s="12">
        <f t="shared" si="68"/>
        <v>2.4</v>
      </c>
      <c r="J358" s="79">
        <f t="shared" si="69"/>
        <v>4800000</v>
      </c>
      <c r="K358" s="64">
        <f t="shared" si="70"/>
        <v>3456000</v>
      </c>
      <c r="L358" s="64">
        <f t="shared" si="71"/>
        <v>3750000</v>
      </c>
      <c r="M358">
        <f>IF(COUNTIF(InputOutputData!K$20,"Chlorine"),L358+H358,L358+J358+H358)</f>
        <v>8858023.6077833809</v>
      </c>
      <c r="N358">
        <f t="shared" si="75"/>
        <v>0.63271597198452723</v>
      </c>
      <c r="O358" t="str">
        <f t="shared" si="76"/>
        <v/>
      </c>
    </row>
    <row r="359" spans="1:15" ht="14.45">
      <c r="A359" s="24">
        <f>'More accurate Energy (Solar)'!A359</f>
        <v>12.2</v>
      </c>
      <c r="B359" s="24">
        <f t="shared" si="72"/>
        <v>0.84722222222222221</v>
      </c>
      <c r="C359" s="13">
        <f t="shared" si="73"/>
        <v>1.22</v>
      </c>
      <c r="D359" s="12">
        <f t="shared" si="77"/>
        <v>344</v>
      </c>
      <c r="E359" s="12">
        <f t="shared" si="74"/>
        <v>20.47999999999999</v>
      </c>
      <c r="F359" s="12">
        <f t="shared" si="65"/>
        <v>410617.34193124587</v>
      </c>
      <c r="G359" s="391">
        <f t="shared" si="66"/>
        <v>5.2884802269488981E-2</v>
      </c>
      <c r="H359" s="12">
        <f t="shared" si="67"/>
        <v>7764373.2095060656</v>
      </c>
      <c r="I359" s="12">
        <f t="shared" si="68"/>
        <v>6.1</v>
      </c>
      <c r="J359" s="79">
        <f t="shared" si="69"/>
        <v>12200000</v>
      </c>
      <c r="K359" s="64">
        <f t="shared" si="70"/>
        <v>3456000</v>
      </c>
      <c r="L359" s="64">
        <f t="shared" si="71"/>
        <v>3750000</v>
      </c>
      <c r="M359">
        <f>IF(COUNTIF(InputOutputData!K$20,"Chlorine"),L359+H359,L359+J359+H359)</f>
        <v>11514373.209506065</v>
      </c>
      <c r="N359">
        <f t="shared" si="75"/>
        <v>0.82245522925043335</v>
      </c>
      <c r="O359" t="str">
        <f t="shared" si="76"/>
        <v/>
      </c>
    </row>
    <row r="360" spans="1:15" ht="14.45">
      <c r="A360" s="24">
        <f>'More accurate Energy (Solar)'!A360</f>
        <v>3.4</v>
      </c>
      <c r="B360" s="24">
        <f t="shared" si="72"/>
        <v>0.2361111111111111</v>
      </c>
      <c r="C360" s="13">
        <f t="shared" si="73"/>
        <v>0.33999999999999997</v>
      </c>
      <c r="D360" s="12">
        <f t="shared" si="77"/>
        <v>345</v>
      </c>
      <c r="E360" s="12">
        <f t="shared" si="74"/>
        <v>20.387999999999991</v>
      </c>
      <c r="F360" s="12">
        <f t="shared" si="65"/>
        <v>114434.34119395375</v>
      </c>
      <c r="G360" s="391">
        <f t="shared" si="66"/>
        <v>2.6158415362698681E-2</v>
      </c>
      <c r="H360" s="12">
        <f t="shared" si="67"/>
        <v>4374666.4164196495</v>
      </c>
      <c r="I360" s="12">
        <f t="shared" si="68"/>
        <v>1.6999999999999997</v>
      </c>
      <c r="J360" s="79">
        <f t="shared" si="69"/>
        <v>3399999.9999999995</v>
      </c>
      <c r="K360" s="64">
        <f t="shared" si="70"/>
        <v>3456000</v>
      </c>
      <c r="L360" s="64">
        <f t="shared" si="71"/>
        <v>3750000</v>
      </c>
      <c r="M360">
        <f>IF(COUNTIF(InputOutputData!K$20,"Chlorine"),L360+H360,L360+J360+H360)</f>
        <v>8124666.4164196495</v>
      </c>
      <c r="N360">
        <f t="shared" si="75"/>
        <v>0.58033331545854649</v>
      </c>
      <c r="O360" t="str">
        <f t="shared" si="76"/>
        <v/>
      </c>
    </row>
    <row r="361" spans="1:15" ht="14.45">
      <c r="A361" s="24">
        <f>'More accurate Energy (Solar)'!A361</f>
        <v>23.8</v>
      </c>
      <c r="B361" s="24">
        <f t="shared" si="72"/>
        <v>1.0416666666666667</v>
      </c>
      <c r="C361" s="13">
        <f t="shared" si="73"/>
        <v>1.5</v>
      </c>
      <c r="D361" s="12">
        <f t="shared" si="77"/>
        <v>346</v>
      </c>
      <c r="E361" s="12">
        <f t="shared" si="74"/>
        <v>21.455999999999992</v>
      </c>
      <c r="F361" s="12">
        <f t="shared" si="65"/>
        <v>504857.38762038422</v>
      </c>
      <c r="G361" s="391">
        <f t="shared" si="66"/>
        <v>5.9272522795741148E-2</v>
      </c>
      <c r="H361" s="12">
        <f t="shared" si="67"/>
        <v>8517561.9968154822</v>
      </c>
      <c r="I361" s="12">
        <f t="shared" si="68"/>
        <v>7.5</v>
      </c>
      <c r="J361" s="79">
        <f t="shared" si="69"/>
        <v>15000000</v>
      </c>
      <c r="K361" s="64">
        <f t="shared" si="70"/>
        <v>3456000</v>
      </c>
      <c r="L361" s="64">
        <f t="shared" si="71"/>
        <v>3750000</v>
      </c>
      <c r="M361">
        <f>IF(COUNTIF(InputOutputData!K$20,"Chlorine"),L361+H361,L361+J361+H361)</f>
        <v>12267561.996815482</v>
      </c>
      <c r="N361">
        <f t="shared" si="75"/>
        <v>0.87625442834396305</v>
      </c>
      <c r="O361" t="str">
        <f t="shared" si="76"/>
        <v/>
      </c>
    </row>
    <row r="362" spans="1:15" ht="14.45">
      <c r="A362" s="24">
        <f>'More accurate Energy (Solar)'!A362</f>
        <v>0</v>
      </c>
      <c r="B362" s="24">
        <f t="shared" si="72"/>
        <v>0</v>
      </c>
      <c r="C362" s="13">
        <f t="shared" si="73"/>
        <v>0</v>
      </c>
      <c r="D362" s="12">
        <f t="shared" si="77"/>
        <v>347</v>
      </c>
      <c r="E362" s="12">
        <f t="shared" si="74"/>
        <v>21.023999999999994</v>
      </c>
      <c r="F362" s="12">
        <f t="shared" si="65"/>
        <v>0</v>
      </c>
      <c r="G362" s="391">
        <f t="shared" si="66"/>
        <v>0</v>
      </c>
      <c r="H362" s="12">
        <f t="shared" si="67"/>
        <v>0</v>
      </c>
      <c r="I362" s="12">
        <f t="shared" si="68"/>
        <v>0</v>
      </c>
      <c r="J362" s="79">
        <f t="shared" si="69"/>
        <v>0</v>
      </c>
      <c r="K362" s="64">
        <f t="shared" si="70"/>
        <v>3456000</v>
      </c>
      <c r="L362" s="64">
        <f t="shared" si="71"/>
        <v>3750000</v>
      </c>
      <c r="M362">
        <f>IF(COUNTIF(InputOutputData!K$20,"Chlorine"),L362+H362,L362+J362+H362)</f>
        <v>3750000</v>
      </c>
      <c r="N362">
        <f t="shared" si="75"/>
        <v>0.26785714285714285</v>
      </c>
      <c r="O362" t="str">
        <f t="shared" si="76"/>
        <v/>
      </c>
    </row>
    <row r="363" spans="1:15" ht="14.45">
      <c r="A363" s="24">
        <f>'More accurate Energy (Solar)'!A363</f>
        <v>2.4</v>
      </c>
      <c r="B363" s="24">
        <f t="shared" si="72"/>
        <v>0.16666666666666666</v>
      </c>
      <c r="C363" s="13">
        <f t="shared" si="73"/>
        <v>0.24</v>
      </c>
      <c r="D363" s="12">
        <f t="shared" si="77"/>
        <v>348</v>
      </c>
      <c r="E363" s="12">
        <f t="shared" si="74"/>
        <v>20.831999999999994</v>
      </c>
      <c r="F363" s="12">
        <f t="shared" si="65"/>
        <v>80777.182019261469</v>
      </c>
      <c r="G363" s="391">
        <f t="shared" si="66"/>
        <v>2.1595011316909298E-2</v>
      </c>
      <c r="H363" s="12">
        <f t="shared" si="67"/>
        <v>3740548.2606073665</v>
      </c>
      <c r="I363" s="12">
        <f t="shared" si="68"/>
        <v>1.2</v>
      </c>
      <c r="J363" s="79">
        <f t="shared" si="69"/>
        <v>2400000</v>
      </c>
      <c r="K363" s="64">
        <f t="shared" si="70"/>
        <v>3456000</v>
      </c>
      <c r="L363" s="64">
        <f t="shared" si="71"/>
        <v>3750000</v>
      </c>
      <c r="M363">
        <f>IF(COUNTIF(InputOutputData!K$20,"Chlorine"),L363+H363,L363+J363+H363)</f>
        <v>7490548.2606073665</v>
      </c>
      <c r="N363">
        <f t="shared" si="75"/>
        <v>0.53503916147195474</v>
      </c>
      <c r="O363" t="str">
        <f t="shared" si="76"/>
        <v/>
      </c>
    </row>
    <row r="364" spans="1:15" ht="14.45">
      <c r="A364" s="24">
        <f>'More accurate Energy (Solar)'!A364</f>
        <v>3</v>
      </c>
      <c r="B364" s="24">
        <f t="shared" si="72"/>
        <v>0.20833333333333334</v>
      </c>
      <c r="C364" s="13">
        <f t="shared" si="73"/>
        <v>0.3</v>
      </c>
      <c r="D364" s="12">
        <f t="shared" si="77"/>
        <v>349</v>
      </c>
      <c r="E364" s="12">
        <f t="shared" si="74"/>
        <v>20.699999999999992</v>
      </c>
      <c r="F364" s="12">
        <f t="shared" si="65"/>
        <v>100971.47752407685</v>
      </c>
      <c r="G364" s="391">
        <f t="shared" si="66"/>
        <v>2.4416893397727592E-2</v>
      </c>
      <c r="H364" s="12">
        <f t="shared" si="67"/>
        <v>4135312.2151679611</v>
      </c>
      <c r="I364" s="12">
        <f t="shared" si="68"/>
        <v>1.5</v>
      </c>
      <c r="J364" s="79">
        <f t="shared" si="69"/>
        <v>3000000</v>
      </c>
      <c r="K364" s="64">
        <f t="shared" si="70"/>
        <v>3456000</v>
      </c>
      <c r="L364" s="64">
        <f t="shared" si="71"/>
        <v>3750000</v>
      </c>
      <c r="M364">
        <f>IF(COUNTIF(InputOutputData!K$20,"Chlorine"),L364+H364,L364+J364+H364)</f>
        <v>7885312.2151679611</v>
      </c>
      <c r="N364">
        <f t="shared" si="75"/>
        <v>0.56323658679771149</v>
      </c>
      <c r="O364" t="str">
        <f t="shared" si="76"/>
        <v/>
      </c>
    </row>
    <row r="365" spans="1:15" ht="14.45">
      <c r="A365" s="24">
        <f>'More accurate Energy (Solar)'!A365</f>
        <v>2.2000000000000002</v>
      </c>
      <c r="B365" s="24">
        <f t="shared" si="72"/>
        <v>0.15277777777777779</v>
      </c>
      <c r="C365" s="13">
        <f t="shared" si="73"/>
        <v>0.22</v>
      </c>
      <c r="D365" s="12">
        <f t="shared" si="77"/>
        <v>350</v>
      </c>
      <c r="E365" s="12">
        <f t="shared" si="74"/>
        <v>20.487999999999992</v>
      </c>
      <c r="F365" s="12">
        <f t="shared" si="65"/>
        <v>74045.750184323027</v>
      </c>
      <c r="G365" s="391">
        <f t="shared" si="66"/>
        <v>2.0585317661094952E-2</v>
      </c>
      <c r="H365" s="12">
        <f t="shared" si="67"/>
        <v>3597017.6124250526</v>
      </c>
      <c r="I365" s="12">
        <f t="shared" si="68"/>
        <v>1.1000000000000001</v>
      </c>
      <c r="J365" s="79">
        <f t="shared" si="69"/>
        <v>2200000</v>
      </c>
      <c r="K365" s="64">
        <f t="shared" si="70"/>
        <v>3456000</v>
      </c>
      <c r="L365" s="64">
        <f t="shared" si="71"/>
        <v>3750000</v>
      </c>
      <c r="M365">
        <f>IF(COUNTIF(InputOutputData!K$20,"Chlorine"),L365+H365,L365+J365+H365)</f>
        <v>7347017.6124250526</v>
      </c>
      <c r="N365">
        <f t="shared" si="75"/>
        <v>0.52478697231607518</v>
      </c>
      <c r="O365" t="str">
        <f t="shared" si="76"/>
        <v/>
      </c>
    </row>
    <row r="366" spans="1:15" ht="14.45">
      <c r="A366" s="24">
        <f>'More accurate Energy (Solar)'!A366</f>
        <v>21.8</v>
      </c>
      <c r="B366" s="24">
        <f t="shared" si="72"/>
        <v>1.0416666666666667</v>
      </c>
      <c r="C366" s="13">
        <f t="shared" si="73"/>
        <v>1.5</v>
      </c>
      <c r="D366" s="12">
        <f t="shared" si="77"/>
        <v>351</v>
      </c>
      <c r="E366" s="12">
        <f t="shared" si="74"/>
        <v>21.555999999999994</v>
      </c>
      <c r="F366" s="12">
        <f t="shared" si="65"/>
        <v>504857.38762038422</v>
      </c>
      <c r="G366" s="391">
        <f t="shared" si="66"/>
        <v>5.9272522795741148E-2</v>
      </c>
      <c r="H366" s="12">
        <f t="shared" si="67"/>
        <v>8517561.9968154822</v>
      </c>
      <c r="I366" s="12">
        <f t="shared" si="68"/>
        <v>7.5</v>
      </c>
      <c r="J366" s="79">
        <f t="shared" si="69"/>
        <v>15000000</v>
      </c>
      <c r="K366" s="64">
        <f t="shared" si="70"/>
        <v>3456000</v>
      </c>
      <c r="L366" s="64">
        <f t="shared" si="71"/>
        <v>3750000</v>
      </c>
      <c r="M366">
        <f>IF(COUNTIF(InputOutputData!K$20,"Chlorine"),L366+H366,L366+J366+H366)</f>
        <v>12267561.996815482</v>
      </c>
      <c r="N366">
        <f t="shared" si="75"/>
        <v>0.87625442834396305</v>
      </c>
      <c r="O366" t="str">
        <f t="shared" si="76"/>
        <v/>
      </c>
    </row>
    <row r="367" spans="1:15" ht="14.45">
      <c r="A367" s="24">
        <f>'More accurate Energy (Solar)'!A367</f>
        <v>25.5</v>
      </c>
      <c r="B367" s="24">
        <f t="shared" si="72"/>
        <v>1.0416666666666667</v>
      </c>
      <c r="C367" s="13">
        <f t="shared" si="73"/>
        <v>1.5</v>
      </c>
      <c r="D367" s="12">
        <f t="shared" si="77"/>
        <v>352</v>
      </c>
      <c r="E367" s="12">
        <f t="shared" si="74"/>
        <v>22.623999999999995</v>
      </c>
      <c r="F367" s="12">
        <f t="shared" si="65"/>
        <v>504857.38762038422</v>
      </c>
      <c r="G367" s="391">
        <f t="shared" si="66"/>
        <v>5.9272522795741148E-2</v>
      </c>
      <c r="H367" s="12">
        <f t="shared" si="67"/>
        <v>8517561.9968154822</v>
      </c>
      <c r="I367" s="12">
        <f t="shared" si="68"/>
        <v>7.5</v>
      </c>
      <c r="J367" s="79">
        <f t="shared" si="69"/>
        <v>15000000</v>
      </c>
      <c r="K367" s="64">
        <f t="shared" si="70"/>
        <v>3456000</v>
      </c>
      <c r="L367" s="64">
        <f t="shared" si="71"/>
        <v>3750000</v>
      </c>
      <c r="M367">
        <f>IF(COUNTIF(InputOutputData!K$20,"Chlorine"),L367+H367,L367+J367+H367)</f>
        <v>12267561.996815482</v>
      </c>
      <c r="N367">
        <f t="shared" si="75"/>
        <v>0.87625442834396305</v>
      </c>
      <c r="O367" t="str">
        <f t="shared" si="76"/>
        <v/>
      </c>
    </row>
    <row r="368" spans="1:15" ht="14.45">
      <c r="A368" s="24">
        <f>'More accurate Energy (Solar)'!A368</f>
        <v>31.8</v>
      </c>
      <c r="B368" s="24">
        <f t="shared" si="72"/>
        <v>1.0416666666666667</v>
      </c>
      <c r="C368" s="13">
        <f t="shared" si="73"/>
        <v>1.5</v>
      </c>
      <c r="D368" s="12">
        <f t="shared" si="77"/>
        <v>353</v>
      </c>
      <c r="E368" s="12">
        <f t="shared" si="74"/>
        <v>23.691999999999997</v>
      </c>
      <c r="F368" s="12">
        <f t="shared" si="65"/>
        <v>504857.38762038422</v>
      </c>
      <c r="G368" s="391">
        <f t="shared" si="66"/>
        <v>5.9272522795741148E-2</v>
      </c>
      <c r="H368" s="12">
        <f t="shared" si="67"/>
        <v>8517561.9968154822</v>
      </c>
      <c r="I368" s="12">
        <f t="shared" si="68"/>
        <v>7.5</v>
      </c>
      <c r="J368" s="79">
        <f t="shared" si="69"/>
        <v>15000000</v>
      </c>
      <c r="K368" s="64">
        <f t="shared" si="70"/>
        <v>3456000</v>
      </c>
      <c r="L368" s="64">
        <f t="shared" si="71"/>
        <v>3750000</v>
      </c>
      <c r="M368">
        <f>IF(COUNTIF(InputOutputData!K$20,"Chlorine"),L368+H368,L368+J368+H368)</f>
        <v>12267561.996815482</v>
      </c>
      <c r="N368">
        <f t="shared" si="75"/>
        <v>0.87625442834396305</v>
      </c>
      <c r="O368" t="str">
        <f t="shared" si="76"/>
        <v/>
      </c>
    </row>
    <row r="369" spans="1:15" ht="14.45">
      <c r="A369" s="24">
        <f>'More accurate Energy (Solar)'!A369</f>
        <v>22.6</v>
      </c>
      <c r="B369" s="24">
        <f t="shared" si="72"/>
        <v>1.0416666666666667</v>
      </c>
      <c r="C369" s="13">
        <f t="shared" si="73"/>
        <v>1.5</v>
      </c>
      <c r="D369" s="12">
        <f t="shared" si="77"/>
        <v>354</v>
      </c>
      <c r="E369" s="12">
        <f t="shared" si="74"/>
        <v>24.759999999999998</v>
      </c>
      <c r="F369" s="12">
        <f t="shared" si="65"/>
        <v>504857.38762038422</v>
      </c>
      <c r="G369" s="391">
        <f t="shared" si="66"/>
        <v>5.9272522795741148E-2</v>
      </c>
      <c r="H369" s="12">
        <f t="shared" si="67"/>
        <v>8517561.9968154822</v>
      </c>
      <c r="I369" s="12">
        <f t="shared" si="68"/>
        <v>7.5</v>
      </c>
      <c r="J369" s="79">
        <f t="shared" si="69"/>
        <v>15000000</v>
      </c>
      <c r="K369" s="64">
        <f t="shared" si="70"/>
        <v>3456000</v>
      </c>
      <c r="L369" s="64">
        <f t="shared" si="71"/>
        <v>3750000</v>
      </c>
      <c r="M369">
        <f>IF(COUNTIF(InputOutputData!K$20,"Chlorine"),L369+H369,L369+J369+H369)</f>
        <v>12267561.996815482</v>
      </c>
      <c r="N369">
        <f t="shared" si="75"/>
        <v>0.87625442834396305</v>
      </c>
      <c r="O369" t="str">
        <f t="shared" si="76"/>
        <v/>
      </c>
    </row>
    <row r="370" spans="1:15" ht="14.45">
      <c r="A370" s="24">
        <f>'More accurate Energy (Solar)'!A370</f>
        <v>9</v>
      </c>
      <c r="B370" s="24">
        <f t="shared" si="72"/>
        <v>0.62499999999999989</v>
      </c>
      <c r="C370" s="13">
        <f t="shared" si="73"/>
        <v>0.89999999999999991</v>
      </c>
      <c r="D370" s="12">
        <f t="shared" si="77"/>
        <v>355</v>
      </c>
      <c r="E370" s="12">
        <f t="shared" si="74"/>
        <v>25.227999999999998</v>
      </c>
      <c r="F370" s="12">
        <f t="shared" si="65"/>
        <v>302914.43257223052</v>
      </c>
      <c r="G370" s="391">
        <f t="shared" si="66"/>
        <v>4.471691233294018E-2</v>
      </c>
      <c r="H370" s="12">
        <f t="shared" si="67"/>
        <v>6774046.2560759634</v>
      </c>
      <c r="I370" s="12">
        <f t="shared" si="68"/>
        <v>4.5</v>
      </c>
      <c r="J370" s="79">
        <f t="shared" si="69"/>
        <v>9000000</v>
      </c>
      <c r="K370" s="64">
        <f t="shared" si="70"/>
        <v>3456000</v>
      </c>
      <c r="L370" s="64">
        <f t="shared" si="71"/>
        <v>3750000</v>
      </c>
      <c r="M370">
        <f>IF(COUNTIF(InputOutputData!K$20,"Chlorine"),L370+H370,L370+J370+H370)</f>
        <v>10524046.256075963</v>
      </c>
      <c r="N370">
        <f t="shared" si="75"/>
        <v>0.75171758971971181</v>
      </c>
      <c r="O370" t="str">
        <f t="shared" si="76"/>
        <v/>
      </c>
    </row>
    <row r="371" spans="1:15" ht="14.45">
      <c r="A371" s="24">
        <f>'More accurate Energy (Solar)'!A371</f>
        <v>35.799999999999997</v>
      </c>
      <c r="B371" s="24">
        <f t="shared" si="72"/>
        <v>1.0416666666666667</v>
      </c>
      <c r="C371" s="13">
        <f t="shared" si="73"/>
        <v>1.5</v>
      </c>
      <c r="D371" s="12">
        <f t="shared" si="77"/>
        <v>356</v>
      </c>
      <c r="E371" s="12">
        <f t="shared" si="74"/>
        <v>26.295999999999999</v>
      </c>
      <c r="F371" s="12">
        <f t="shared" si="65"/>
        <v>504857.38762038422</v>
      </c>
      <c r="G371" s="391">
        <f t="shared" si="66"/>
        <v>5.9272522795741148E-2</v>
      </c>
      <c r="H371" s="12">
        <f t="shared" si="67"/>
        <v>8517561.9968154822</v>
      </c>
      <c r="I371" s="12">
        <f t="shared" si="68"/>
        <v>7.5</v>
      </c>
      <c r="J371" s="79">
        <f t="shared" si="69"/>
        <v>15000000</v>
      </c>
      <c r="K371" s="64">
        <f t="shared" si="70"/>
        <v>3456000</v>
      </c>
      <c r="L371" s="64">
        <f t="shared" si="71"/>
        <v>3750000</v>
      </c>
      <c r="M371">
        <f>IF(COUNTIF(InputOutputData!K$20,"Chlorine"),L371+H371,L371+J371+H371)</f>
        <v>12267561.996815482</v>
      </c>
      <c r="N371">
        <f t="shared" si="75"/>
        <v>0.87625442834396305</v>
      </c>
      <c r="O371" t="str">
        <f t="shared" si="76"/>
        <v/>
      </c>
    </row>
    <row r="372" spans="1:15" ht="14.45">
      <c r="A372" s="24">
        <f>'More accurate Energy (Solar)'!A372</f>
        <v>9.4</v>
      </c>
      <c r="B372" s="24">
        <f t="shared" si="72"/>
        <v>0.65277777777777779</v>
      </c>
      <c r="C372" s="13">
        <f t="shared" si="73"/>
        <v>0.94000000000000006</v>
      </c>
      <c r="D372" s="12">
        <f t="shared" si="77"/>
        <v>357</v>
      </c>
      <c r="E372" s="12">
        <f t="shared" si="74"/>
        <v>26.803999999999998</v>
      </c>
      <c r="F372" s="12">
        <f t="shared" si="65"/>
        <v>316377.29624210746</v>
      </c>
      <c r="G372" s="391">
        <f t="shared" si="66"/>
        <v>4.5801854757713215E-2</v>
      </c>
      <c r="H372" s="12">
        <f t="shared" si="67"/>
        <v>6907521.4948326582</v>
      </c>
      <c r="I372" s="12">
        <f t="shared" si="68"/>
        <v>4.7</v>
      </c>
      <c r="J372" s="79">
        <f t="shared" si="69"/>
        <v>9400000</v>
      </c>
      <c r="K372" s="64">
        <f t="shared" si="70"/>
        <v>3456000</v>
      </c>
      <c r="L372" s="64">
        <f t="shared" si="71"/>
        <v>3750000</v>
      </c>
      <c r="M372">
        <f>IF(COUNTIF(InputOutputData!K$20,"Chlorine"),L372+H372,L372+J372+H372)</f>
        <v>10657521.494832657</v>
      </c>
      <c r="N372">
        <f t="shared" si="75"/>
        <v>0.76125153534518986</v>
      </c>
      <c r="O372" t="str">
        <f t="shared" si="76"/>
        <v/>
      </c>
    </row>
    <row r="373" spans="1:15" ht="14.45">
      <c r="A373" s="24">
        <f>'More accurate Energy (Solar)'!A373</f>
        <v>0</v>
      </c>
      <c r="B373" s="24">
        <f t="shared" si="72"/>
        <v>0</v>
      </c>
      <c r="C373" s="13">
        <f t="shared" si="73"/>
        <v>0</v>
      </c>
      <c r="D373" s="12">
        <f t="shared" si="77"/>
        <v>358</v>
      </c>
      <c r="E373" s="12">
        <f t="shared" si="74"/>
        <v>26.372</v>
      </c>
      <c r="F373" s="12">
        <f t="shared" si="65"/>
        <v>0</v>
      </c>
      <c r="G373" s="391">
        <f t="shared" si="66"/>
        <v>0</v>
      </c>
      <c r="H373" s="12">
        <f t="shared" si="67"/>
        <v>0</v>
      </c>
      <c r="I373" s="12">
        <f t="shared" si="68"/>
        <v>0</v>
      </c>
      <c r="J373" s="79">
        <f t="shared" si="69"/>
        <v>0</v>
      </c>
      <c r="K373" s="64">
        <f t="shared" si="70"/>
        <v>3456000</v>
      </c>
      <c r="L373" s="64">
        <f t="shared" si="71"/>
        <v>3750000</v>
      </c>
      <c r="M373">
        <f>IF(COUNTIF(InputOutputData!K$20,"Chlorine"),L373+H373,L373+J373+H373)</f>
        <v>3750000</v>
      </c>
      <c r="N373">
        <f t="shared" si="75"/>
        <v>0.26785714285714285</v>
      </c>
      <c r="O373" t="str">
        <f t="shared" si="76"/>
        <v/>
      </c>
    </row>
    <row r="374" spans="1:15" ht="14.45">
      <c r="A374" s="24">
        <f>'More accurate Energy (Solar)'!A374</f>
        <v>0</v>
      </c>
      <c r="B374" s="24">
        <f t="shared" si="72"/>
        <v>0</v>
      </c>
      <c r="C374" s="13">
        <f t="shared" si="73"/>
        <v>0</v>
      </c>
      <c r="D374" s="12">
        <f t="shared" si="77"/>
        <v>359</v>
      </c>
      <c r="E374" s="12">
        <f t="shared" si="74"/>
        <v>25.94</v>
      </c>
      <c r="F374" s="12">
        <f t="shared" si="65"/>
        <v>0</v>
      </c>
      <c r="G374" s="391">
        <f t="shared" si="66"/>
        <v>0</v>
      </c>
      <c r="H374" s="12">
        <f t="shared" si="67"/>
        <v>0</v>
      </c>
      <c r="I374" s="12">
        <f t="shared" si="68"/>
        <v>0</v>
      </c>
      <c r="J374" s="79">
        <f t="shared" si="69"/>
        <v>0</v>
      </c>
      <c r="K374" s="64">
        <f t="shared" si="70"/>
        <v>3456000</v>
      </c>
      <c r="L374" s="64">
        <f t="shared" si="71"/>
        <v>3750000</v>
      </c>
      <c r="M374">
        <f>IF(COUNTIF(InputOutputData!K$20,"Chlorine"),L374+H374,L374+J374+H374)</f>
        <v>3750000</v>
      </c>
      <c r="N374">
        <f t="shared" si="75"/>
        <v>0.26785714285714285</v>
      </c>
      <c r="O374" t="str">
        <f t="shared" si="76"/>
        <v/>
      </c>
    </row>
    <row r="375" spans="1:15" ht="14.45">
      <c r="A375" s="24">
        <f>'More accurate Energy (Solar)'!A375</f>
        <v>26.2</v>
      </c>
      <c r="B375" s="24">
        <f t="shared" si="72"/>
        <v>1.0416666666666667</v>
      </c>
      <c r="C375" s="13">
        <f t="shared" si="73"/>
        <v>1.5</v>
      </c>
      <c r="D375" s="12">
        <f t="shared" si="77"/>
        <v>360</v>
      </c>
      <c r="E375" s="12">
        <f t="shared" si="74"/>
        <v>27.008000000000003</v>
      </c>
      <c r="F375" s="12">
        <f t="shared" si="65"/>
        <v>504857.38762038422</v>
      </c>
      <c r="G375" s="391">
        <f t="shared" si="66"/>
        <v>5.9272522795741148E-2</v>
      </c>
      <c r="H375" s="12">
        <f t="shared" si="67"/>
        <v>8517561.9968154822</v>
      </c>
      <c r="I375" s="12">
        <f t="shared" si="68"/>
        <v>7.5</v>
      </c>
      <c r="J375" s="79">
        <f t="shared" si="69"/>
        <v>15000000</v>
      </c>
      <c r="K375" s="64">
        <f t="shared" si="70"/>
        <v>3456000</v>
      </c>
      <c r="L375" s="64">
        <f t="shared" si="71"/>
        <v>3750000</v>
      </c>
      <c r="M375">
        <f>IF(COUNTIF(InputOutputData!K$20,"Chlorine"),L375+H375,L375+J375+H375)</f>
        <v>12267561.996815482</v>
      </c>
      <c r="N375">
        <f t="shared" si="75"/>
        <v>0.87625442834396305</v>
      </c>
      <c r="O375" t="str">
        <f t="shared" si="76"/>
        <v/>
      </c>
    </row>
    <row r="376" spans="1:15" ht="14.45">
      <c r="A376" s="24">
        <f>'More accurate Energy (Solar)'!A376</f>
        <v>1.6</v>
      </c>
      <c r="B376" s="24">
        <f t="shared" si="72"/>
        <v>0.1111111111111111</v>
      </c>
      <c r="C376" s="13">
        <f t="shared" si="73"/>
        <v>0.16</v>
      </c>
      <c r="D376" s="12">
        <f t="shared" si="77"/>
        <v>361</v>
      </c>
      <c r="E376" s="12">
        <f t="shared" si="74"/>
        <v>26.736000000000004</v>
      </c>
      <c r="F376" s="12">
        <f t="shared" si="65"/>
        <v>53851.454679507653</v>
      </c>
      <c r="G376" s="391">
        <f t="shared" si="66"/>
        <v>1.7276454762570417E-2</v>
      </c>
      <c r="H376" s="12">
        <f t="shared" si="67"/>
        <v>3117043.1329567269</v>
      </c>
      <c r="I376" s="12">
        <f t="shared" si="68"/>
        <v>0.8</v>
      </c>
      <c r="J376" s="79">
        <f t="shared" si="69"/>
        <v>1600000</v>
      </c>
      <c r="K376" s="64">
        <f t="shared" si="70"/>
        <v>3456000</v>
      </c>
      <c r="L376" s="64">
        <f t="shared" si="71"/>
        <v>3750000</v>
      </c>
      <c r="M376">
        <f>IF(COUNTIF(InputOutputData!K$20,"Chlorine"),L376+H376,L376+J376+H376)</f>
        <v>6867043.1329567265</v>
      </c>
      <c r="N376">
        <f t="shared" si="75"/>
        <v>0.49050308092548045</v>
      </c>
      <c r="O376" t="str">
        <f t="shared" si="76"/>
        <v/>
      </c>
    </row>
    <row r="377" spans="1:15" ht="14.45">
      <c r="A377" s="24">
        <f>'More accurate Energy (Solar)'!A377</f>
        <v>0.2</v>
      </c>
      <c r="B377" s="24">
        <f t="shared" si="72"/>
        <v>1.3888888888888888E-2</v>
      </c>
      <c r="C377" s="13">
        <f t="shared" si="73"/>
        <v>0.02</v>
      </c>
      <c r="D377" s="12">
        <f t="shared" si="77"/>
        <v>362</v>
      </c>
      <c r="E377" s="12">
        <f t="shared" si="74"/>
        <v>26.324000000000005</v>
      </c>
      <c r="F377" s="12">
        <f t="shared" si="65"/>
        <v>6731.4318349384566</v>
      </c>
      <c r="G377" s="391">
        <f t="shared" si="66"/>
        <v>5.5038940280191058E-3</v>
      </c>
      <c r="H377" s="12">
        <f t="shared" si="67"/>
        <v>1223030.785235004</v>
      </c>
      <c r="I377" s="12">
        <f t="shared" si="68"/>
        <v>0.1</v>
      </c>
      <c r="J377" s="79">
        <f t="shared" si="69"/>
        <v>200000</v>
      </c>
      <c r="K377" s="64">
        <f t="shared" si="70"/>
        <v>3456000</v>
      </c>
      <c r="L377" s="64">
        <f t="shared" si="71"/>
        <v>3750000</v>
      </c>
      <c r="M377">
        <f>IF(COUNTIF(InputOutputData!K$20,"Chlorine"),L377+H377,L377+J377+H377)</f>
        <v>4973030.7852350045</v>
      </c>
      <c r="N377">
        <f t="shared" si="75"/>
        <v>0.35521648465964323</v>
      </c>
      <c r="O377" t="str">
        <f t="shared" si="76"/>
        <v/>
      </c>
    </row>
    <row r="378" spans="1:15" ht="14.45">
      <c r="A378" s="24">
        <f>'More accurate Energy (Solar)'!A378</f>
        <v>0</v>
      </c>
      <c r="B378" s="24">
        <f t="shared" si="72"/>
        <v>0</v>
      </c>
      <c r="C378" s="13">
        <f t="shared" si="73"/>
        <v>0</v>
      </c>
      <c r="D378" s="12">
        <f t="shared" si="77"/>
        <v>363</v>
      </c>
      <c r="E378" s="12">
        <f t="shared" si="74"/>
        <v>25.892000000000007</v>
      </c>
      <c r="F378" s="12">
        <f t="shared" si="65"/>
        <v>0</v>
      </c>
      <c r="G378" s="391">
        <f t="shared" si="66"/>
        <v>0</v>
      </c>
      <c r="H378" s="12">
        <f t="shared" si="67"/>
        <v>0</v>
      </c>
      <c r="I378" s="12">
        <f t="shared" si="68"/>
        <v>0</v>
      </c>
      <c r="J378" s="79">
        <f t="shared" si="69"/>
        <v>0</v>
      </c>
      <c r="K378" s="64">
        <f t="shared" si="70"/>
        <v>3456000</v>
      </c>
      <c r="L378" s="64">
        <f t="shared" si="71"/>
        <v>3750000</v>
      </c>
      <c r="M378">
        <f>IF(COUNTIF(InputOutputData!K$20,"Chlorine"),L378+H378,L378+J378+H378)</f>
        <v>3750000</v>
      </c>
      <c r="N378">
        <f t="shared" si="75"/>
        <v>0.26785714285714285</v>
      </c>
      <c r="O378" t="str">
        <f t="shared" si="76"/>
        <v/>
      </c>
    </row>
    <row r="379" spans="1:15" ht="14.45">
      <c r="A379" s="24">
        <f>'More accurate Energy (Solar)'!A379</f>
        <v>0</v>
      </c>
      <c r="B379" s="24">
        <f t="shared" si="72"/>
        <v>0</v>
      </c>
      <c r="C379" s="13">
        <f t="shared" si="73"/>
        <v>0</v>
      </c>
      <c r="D379" s="12">
        <f t="shared" si="77"/>
        <v>364</v>
      </c>
      <c r="E379" s="12">
        <f t="shared" si="74"/>
        <v>25.460000000000008</v>
      </c>
      <c r="F379" s="12">
        <f t="shared" si="65"/>
        <v>0</v>
      </c>
      <c r="G379" s="391">
        <f t="shared" si="66"/>
        <v>0</v>
      </c>
      <c r="H379" s="12">
        <f t="shared" si="67"/>
        <v>0</v>
      </c>
      <c r="I379" s="12">
        <f t="shared" si="68"/>
        <v>0</v>
      </c>
      <c r="J379" s="79">
        <f t="shared" si="69"/>
        <v>0</v>
      </c>
      <c r="K379" s="64">
        <f t="shared" si="70"/>
        <v>3456000</v>
      </c>
      <c r="L379" s="64">
        <f t="shared" si="71"/>
        <v>3750000</v>
      </c>
      <c r="M379">
        <f>IF(COUNTIF(InputOutputData!K$20,"Chlorine"),L379+H379,L379+J379+H379)</f>
        <v>3750000</v>
      </c>
      <c r="N379">
        <f t="shared" si="75"/>
        <v>0.26785714285714285</v>
      </c>
      <c r="O379" t="str">
        <f t="shared" si="76"/>
        <v/>
      </c>
    </row>
    <row r="380" spans="1:15" ht="14.45">
      <c r="A380" s="24">
        <f>'More accurate Energy (Solar)'!A380</f>
        <v>0</v>
      </c>
      <c r="B380" s="24">
        <f t="shared" si="72"/>
        <v>0</v>
      </c>
      <c r="C380" s="13">
        <f t="shared" si="73"/>
        <v>0</v>
      </c>
      <c r="D380" s="12">
        <f t="shared" si="77"/>
        <v>365</v>
      </c>
      <c r="E380" s="12">
        <f t="shared" si="74"/>
        <v>25.028000000000009</v>
      </c>
      <c r="F380" s="12">
        <f t="shared" si="65"/>
        <v>0</v>
      </c>
      <c r="G380" s="391">
        <f t="shared" si="66"/>
        <v>0</v>
      </c>
      <c r="H380" s="12">
        <f t="shared" si="67"/>
        <v>0</v>
      </c>
      <c r="I380" s="12">
        <f t="shared" si="68"/>
        <v>0</v>
      </c>
      <c r="J380" s="79">
        <f t="shared" si="69"/>
        <v>0</v>
      </c>
      <c r="K380" s="64">
        <f t="shared" si="70"/>
        <v>3456000</v>
      </c>
      <c r="L380" s="64">
        <f t="shared" si="71"/>
        <v>3750000</v>
      </c>
      <c r="M380">
        <f>IF(COUNTIF(InputOutputData!K$20,"Chlorine"),L380+H380,L380+J380+H380)</f>
        <v>3750000</v>
      </c>
      <c r="N380">
        <f t="shared" si="75"/>
        <v>0.26785714285714285</v>
      </c>
      <c r="O380" t="str">
        <f t="shared" si="76"/>
        <v/>
      </c>
    </row>
  </sheetData>
  <mergeCells count="15">
    <mergeCell ref="Y15:Z15"/>
    <mergeCell ref="Y16:Z16"/>
    <mergeCell ref="C8:D8"/>
    <mergeCell ref="C1:F1"/>
    <mergeCell ref="K1:M1"/>
    <mergeCell ref="O1:R1"/>
    <mergeCell ref="C2:D2"/>
    <mergeCell ref="O2:P2"/>
    <mergeCell ref="C3:D3"/>
    <mergeCell ref="O3:P3"/>
    <mergeCell ref="C4:D4"/>
    <mergeCell ref="O4:P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06A4-4CBA-406E-BF47-1F2D44802B37}">
  <dimension ref="A1:R54"/>
  <sheetViews>
    <sheetView workbookViewId="0">
      <selection activeCell="M8" sqref="M8"/>
    </sheetView>
  </sheetViews>
  <sheetFormatPr defaultRowHeight="14.45"/>
  <cols>
    <col min="1" max="1" width="14" bestFit="1" customWidth="1"/>
    <col min="3" max="3" width="16.5703125" bestFit="1" customWidth="1"/>
    <col min="4" max="5" width="12.5703125" customWidth="1"/>
    <col min="8" max="8" width="14.140625" bestFit="1" customWidth="1"/>
    <col min="10" max="10" width="15" bestFit="1" customWidth="1"/>
    <col min="12" max="12" width="16" customWidth="1"/>
    <col min="13" max="13" width="19" customWidth="1"/>
    <col min="16" max="16" width="19.7109375" customWidth="1"/>
    <col min="19" max="19" width="8.85546875" customWidth="1"/>
  </cols>
  <sheetData>
    <row r="1" spans="1:18">
      <c r="A1" t="s">
        <v>296</v>
      </c>
      <c r="B1" s="300">
        <v>105000</v>
      </c>
      <c r="C1" t="s">
        <v>28</v>
      </c>
    </row>
    <row r="3" spans="1:18">
      <c r="J3" s="362" t="s">
        <v>297</v>
      </c>
      <c r="K3" s="476">
        <f>F31+N29</f>
        <v>46662.377748750849</v>
      </c>
    </row>
    <row r="4" spans="1:18">
      <c r="J4" s="477" t="s">
        <v>298</v>
      </c>
      <c r="K4" s="478">
        <f>K3/B1*100</f>
        <v>44.44035976071509</v>
      </c>
    </row>
    <row r="11" spans="1:18" ht="15" thickBot="1"/>
    <row r="12" spans="1:18">
      <c r="C12" s="514" t="s">
        <v>299</v>
      </c>
      <c r="D12" s="515"/>
      <c r="E12" s="515"/>
      <c r="F12" s="515"/>
      <c r="G12" s="187"/>
      <c r="J12" s="539" t="s">
        <v>300</v>
      </c>
      <c r="K12" s="540"/>
      <c r="L12" s="540"/>
      <c r="M12" s="540"/>
      <c r="N12" s="540"/>
      <c r="O12" s="541"/>
      <c r="P12" s="437" t="s">
        <v>301</v>
      </c>
      <c r="Q12" s="431">
        <v>85</v>
      </c>
      <c r="R12" s="432" t="s">
        <v>302</v>
      </c>
    </row>
    <row r="13" spans="1:18">
      <c r="C13" s="333" t="s">
        <v>6</v>
      </c>
      <c r="D13" s="334" t="str">
        <f>InputOutputData!K2</f>
        <v>Whole roof</v>
      </c>
      <c r="E13" s="335" t="s">
        <v>119</v>
      </c>
      <c r="F13" s="336">
        <f>InputOutputData!S4</f>
        <v>350</v>
      </c>
      <c r="G13" s="337" t="s">
        <v>28</v>
      </c>
      <c r="H13" t="s">
        <v>303</v>
      </c>
      <c r="J13" s="534" t="s">
        <v>304</v>
      </c>
      <c r="K13" s="522"/>
      <c r="L13" s="8" t="s">
        <v>305</v>
      </c>
      <c r="M13" s="8" t="s">
        <v>306</v>
      </c>
      <c r="N13" s="8" t="s">
        <v>297</v>
      </c>
      <c r="O13" s="440"/>
      <c r="P13" s="438" t="s">
        <v>294</v>
      </c>
      <c r="Q13" s="433">
        <f>IF(InputOutputData!K23="Solar",'More accurate Energy (diesel)'!R19 + 'Solar Panel'!W19,'More accurate Energy (diesel)'!R19)</f>
        <v>19</v>
      </c>
      <c r="R13" s="434" t="s">
        <v>103</v>
      </c>
    </row>
    <row r="14" spans="1:18" ht="15" thickBot="1">
      <c r="C14" s="333" t="s">
        <v>307</v>
      </c>
      <c r="D14" s="334">
        <f>InputOutputData!K6</f>
        <v>1500</v>
      </c>
      <c r="E14" s="335" t="s">
        <v>8</v>
      </c>
      <c r="F14" s="336">
        <f>InputOutputData!K7</f>
        <v>500</v>
      </c>
      <c r="G14" s="337" t="s">
        <v>28</v>
      </c>
      <c r="J14" s="532" t="s">
        <v>308</v>
      </c>
      <c r="K14" s="533"/>
      <c r="L14" s="441">
        <f>'Maintenance Calculations'!E22</f>
        <v>7</v>
      </c>
      <c r="M14" s="441">
        <v>75</v>
      </c>
      <c r="N14" s="441">
        <f t="shared" ref="N14:N21" si="0">M14*L14</f>
        <v>525</v>
      </c>
      <c r="O14" s="442" t="s">
        <v>28</v>
      </c>
      <c r="P14" s="439" t="s">
        <v>309</v>
      </c>
      <c r="Q14" s="435">
        <f>Q13*Q12</f>
        <v>1615</v>
      </c>
      <c r="R14" s="436" t="s">
        <v>28</v>
      </c>
    </row>
    <row r="15" spans="1:18">
      <c r="C15" s="333" t="s">
        <v>310</v>
      </c>
      <c r="D15" s="334">
        <f>InputOutputData!O2</f>
        <v>36</v>
      </c>
      <c r="E15" s="335" t="s">
        <v>12</v>
      </c>
      <c r="F15" s="336">
        <f>InputOutputData!O8</f>
        <v>9900</v>
      </c>
      <c r="G15" s="337" t="s">
        <v>28</v>
      </c>
      <c r="J15" s="532" t="s">
        <v>311</v>
      </c>
      <c r="K15" s="533"/>
      <c r="L15" s="441">
        <f>'Maintenance Calculations'!F22</f>
        <v>7</v>
      </c>
      <c r="M15" s="441">
        <v>60</v>
      </c>
      <c r="N15" s="441">
        <f t="shared" si="0"/>
        <v>420</v>
      </c>
      <c r="O15" s="442" t="s">
        <v>28</v>
      </c>
    </row>
    <row r="16" spans="1:18">
      <c r="C16" s="333" t="s">
        <v>312</v>
      </c>
      <c r="D16" s="334">
        <f>InputOutputData!O7</f>
        <v>0</v>
      </c>
      <c r="E16" s="335" t="s">
        <v>2</v>
      </c>
      <c r="F16" s="336">
        <f>InputOutputData!O9</f>
        <v>0</v>
      </c>
      <c r="G16" s="337" t="s">
        <v>28</v>
      </c>
      <c r="J16" s="532" t="s">
        <v>313</v>
      </c>
      <c r="K16" s="533"/>
      <c r="L16" s="441">
        <f>'Maintenance Calculations'!G22</f>
        <v>7</v>
      </c>
      <c r="M16" s="441">
        <v>50</v>
      </c>
      <c r="N16" s="441">
        <f t="shared" si="0"/>
        <v>350</v>
      </c>
      <c r="O16" s="442" t="s">
        <v>28</v>
      </c>
    </row>
    <row r="17" spans="3:15">
      <c r="C17" s="333" t="s">
        <v>314</v>
      </c>
      <c r="D17" s="338">
        <f>InputOutputData!O5</f>
        <v>63.93160407810835</v>
      </c>
      <c r="E17" s="335" t="s">
        <v>21</v>
      </c>
      <c r="F17" s="336">
        <f>45*D17</f>
        <v>2876.9221835148755</v>
      </c>
      <c r="G17" s="337" t="s">
        <v>28</v>
      </c>
      <c r="I17" s="430" t="str">
        <f>InputOutputData!K20</f>
        <v>Chlorine</v>
      </c>
      <c r="J17" s="532" t="s">
        <v>93</v>
      </c>
      <c r="K17" s="533"/>
      <c r="L17" s="441">
        <f>IF(InputOutputData!L20 = 0,'Chlorine Filter'!H2,1)</f>
        <v>7</v>
      </c>
      <c r="M17" s="441">
        <f>IF(InputOutputData!L20=1,0,100)</f>
        <v>100</v>
      </c>
      <c r="N17" s="441">
        <f t="shared" si="0"/>
        <v>700</v>
      </c>
      <c r="O17" s="442" t="s">
        <v>28</v>
      </c>
    </row>
    <row r="18" spans="3:15">
      <c r="C18" s="333" t="s">
        <v>315</v>
      </c>
      <c r="D18" s="338">
        <f>'On Demand Flow Calcs'!C2</f>
        <v>63.442887702247603</v>
      </c>
      <c r="E18" s="335" t="s">
        <v>21</v>
      </c>
      <c r="F18" s="336">
        <f>45*D18</f>
        <v>2854.9299466011421</v>
      </c>
      <c r="G18" s="337" t="s">
        <v>28</v>
      </c>
      <c r="J18" s="532" t="s">
        <v>73</v>
      </c>
      <c r="K18" s="533"/>
      <c r="L18" s="441">
        <v>1</v>
      </c>
      <c r="M18" s="441">
        <f>InputOutputData!O20</f>
        <v>80</v>
      </c>
      <c r="N18" s="441">
        <f t="shared" si="0"/>
        <v>80</v>
      </c>
      <c r="O18" s="442" t="s">
        <v>28</v>
      </c>
    </row>
    <row r="19" spans="3:15">
      <c r="C19" s="333" t="s">
        <v>316</v>
      </c>
      <c r="D19" s="334" t="str">
        <f>InputOutputData!S5</f>
        <v>N/A</v>
      </c>
      <c r="E19" s="335" t="s">
        <v>2</v>
      </c>
      <c r="F19" s="336">
        <f>IF(D19="N/A",0,45*D19)</f>
        <v>0</v>
      </c>
      <c r="G19" s="337" t="s">
        <v>28</v>
      </c>
      <c r="J19" s="535" t="s">
        <v>50</v>
      </c>
      <c r="K19" s="536"/>
      <c r="L19" s="67">
        <f>1/'More accurate Energy (Solar)'!P17</f>
        <v>6.8093884223681816E-2</v>
      </c>
      <c r="M19" s="67">
        <v>3250</v>
      </c>
      <c r="N19" s="67">
        <f t="shared" si="0"/>
        <v>221.30512372696592</v>
      </c>
      <c r="O19" s="68" t="s">
        <v>28</v>
      </c>
    </row>
    <row r="20" spans="3:15">
      <c r="C20" s="339" t="s">
        <v>308</v>
      </c>
      <c r="D20" s="340" t="str">
        <f>InputOutputData!B13</f>
        <v>y</v>
      </c>
      <c r="E20" s="341" t="s">
        <v>119</v>
      </c>
      <c r="F20" s="342">
        <v>125</v>
      </c>
      <c r="G20" s="343" t="s">
        <v>28</v>
      </c>
      <c r="I20" s="430" t="str">
        <f>InputOutputData!K23</f>
        <v>Solar</v>
      </c>
      <c r="J20" s="535" t="s">
        <v>317</v>
      </c>
      <c r="K20" s="536"/>
      <c r="L20" s="67">
        <f>IF(M20=0,4,IF(COUNTIF(I17,"Chlorine") = 1,ROUNDUP('More accurate Energy (diesel)'!R13,-2) / 100,ROUNDUP('More accurate Energy (diesel)'!R13,-2) / 100))</f>
        <v>4</v>
      </c>
      <c r="M20" s="67">
        <f>IF(COUNTIF(InputOutputData!K23,"Solar") = 1,0,325)</f>
        <v>0</v>
      </c>
      <c r="N20" s="67">
        <f t="shared" si="0"/>
        <v>0</v>
      </c>
      <c r="O20" s="68" t="s">
        <v>28</v>
      </c>
    </row>
    <row r="21" spans="3:15">
      <c r="C21" s="339" t="s">
        <v>311</v>
      </c>
      <c r="D21" s="340" t="str">
        <f>InputOutputData!B14</f>
        <v>y</v>
      </c>
      <c r="E21" s="341" t="s">
        <v>119</v>
      </c>
      <c r="F21" s="342">
        <f>IF(D21="y",110,0)</f>
        <v>110</v>
      </c>
      <c r="G21" s="343" t="s">
        <v>28</v>
      </c>
      <c r="J21" s="535" t="s">
        <v>148</v>
      </c>
      <c r="K21" s="536"/>
      <c r="L21" s="67">
        <f>IF(M21=50,IF(COUNTIF(I17,"Chlorine") = 1,ROUNDUP('More accurate Energy (diesel)'!R13 / 250,0),ROUNDUP('More accurate Energy (diesel)'!R13 / 250,0)), 0)</f>
        <v>0</v>
      </c>
      <c r="M21" s="67">
        <f>IF(COUNTIF(InputOutputData!M33,"y") =1,50,0)</f>
        <v>0</v>
      </c>
      <c r="N21" s="67">
        <f t="shared" si="0"/>
        <v>0</v>
      </c>
      <c r="O21" s="68" t="s">
        <v>28</v>
      </c>
    </row>
    <row r="22" spans="3:15">
      <c r="C22" s="339" t="s">
        <v>313</v>
      </c>
      <c r="D22" s="340" t="str">
        <f>InputOutputData!B15</f>
        <v>y</v>
      </c>
      <c r="E22" s="341" t="s">
        <v>119</v>
      </c>
      <c r="F22" s="342">
        <f>IF(D22="y",100,0)</f>
        <v>100</v>
      </c>
      <c r="G22" s="343" t="s">
        <v>28</v>
      </c>
      <c r="J22" s="530" t="s">
        <v>318</v>
      </c>
      <c r="K22" s="531"/>
      <c r="L22">
        <f>Q13</f>
        <v>19</v>
      </c>
      <c r="M22">
        <f>Q12</f>
        <v>85</v>
      </c>
      <c r="N22">
        <f>Q14</f>
        <v>1615</v>
      </c>
      <c r="O22" s="440" t="s">
        <v>28</v>
      </c>
    </row>
    <row r="23" spans="3:15">
      <c r="C23" s="339" t="s">
        <v>93</v>
      </c>
      <c r="D23" s="340" t="str">
        <f>InputOutputData!K20</f>
        <v>Chlorine</v>
      </c>
      <c r="E23" s="341" t="s">
        <v>119</v>
      </c>
      <c r="F23" s="342">
        <f>IF(D23="Ozone",4000,700)</f>
        <v>700</v>
      </c>
      <c r="G23" s="343" t="s">
        <v>28</v>
      </c>
      <c r="J23" s="530"/>
      <c r="K23" s="531"/>
      <c r="O23" s="440" t="s">
        <v>28</v>
      </c>
    </row>
    <row r="24" spans="3:15">
      <c r="C24" s="339" t="s">
        <v>73</v>
      </c>
      <c r="D24" s="340">
        <f>InputOutputData!K19</f>
        <v>40</v>
      </c>
      <c r="E24" s="341" t="s">
        <v>77</v>
      </c>
      <c r="F24" s="342">
        <f>InputOutputData!O19</f>
        <v>600</v>
      </c>
      <c r="G24" s="343" t="s">
        <v>28</v>
      </c>
      <c r="J24" s="530"/>
      <c r="K24" s="531"/>
      <c r="O24" s="440" t="s">
        <v>28</v>
      </c>
    </row>
    <row r="25" spans="3:15">
      <c r="C25" s="344" t="s">
        <v>50</v>
      </c>
      <c r="D25" s="345" t="str">
        <f>InputOutputData!K11</f>
        <v>Pump C</v>
      </c>
      <c r="E25" s="346" t="s">
        <v>119</v>
      </c>
      <c r="F25" s="347">
        <f>IF(D25="Pump A",640,IF(D25="Pump B",1250,3250))</f>
        <v>3250</v>
      </c>
      <c r="G25" s="348" t="s">
        <v>28</v>
      </c>
      <c r="J25" s="530"/>
      <c r="K25" s="531"/>
      <c r="O25" s="440" t="s">
        <v>28</v>
      </c>
    </row>
    <row r="26" spans="3:15">
      <c r="C26" s="344" t="s">
        <v>238</v>
      </c>
      <c r="D26" s="345" t="str">
        <f>InputOutputData!K23</f>
        <v>Solar</v>
      </c>
      <c r="E26" s="346" t="s">
        <v>119</v>
      </c>
      <c r="F26" s="347">
        <v>0</v>
      </c>
      <c r="G26" s="348" t="s">
        <v>119</v>
      </c>
      <c r="J26" s="530"/>
      <c r="K26" s="531"/>
      <c r="O26" s="440" t="s">
        <v>28</v>
      </c>
    </row>
    <row r="27" spans="3:15">
      <c r="C27" s="344" t="s">
        <v>319</v>
      </c>
      <c r="D27" s="345" t="str">
        <f>InputOutputData!I26</f>
        <v>HES-260</v>
      </c>
      <c r="E27" s="346" t="s">
        <v>119</v>
      </c>
      <c r="F27" s="347">
        <f>IF(D26="Solar",InputOutputData!I28*InputOutputData!I32,0)</f>
        <v>2200</v>
      </c>
      <c r="G27" s="348" t="s">
        <v>28</v>
      </c>
      <c r="J27" s="530"/>
      <c r="K27" s="531"/>
      <c r="O27" s="440" t="s">
        <v>28</v>
      </c>
    </row>
    <row r="28" spans="3:15" ht="15" thickBot="1">
      <c r="C28" s="344" t="s">
        <v>123</v>
      </c>
      <c r="D28" s="345">
        <f>InputOutputData!O25</f>
        <v>3</v>
      </c>
      <c r="E28" s="346" t="s">
        <v>124</v>
      </c>
      <c r="F28" s="347">
        <f>D28*390</f>
        <v>1170</v>
      </c>
      <c r="G28" s="348" t="s">
        <v>28</v>
      </c>
      <c r="J28" s="537" t="s">
        <v>135</v>
      </c>
      <c r="K28" s="538"/>
      <c r="L28" s="538"/>
      <c r="M28" s="538"/>
      <c r="N28" s="420">
        <f>SUM(N14:N22)</f>
        <v>3911.305123726966</v>
      </c>
      <c r="O28" s="421" t="s">
        <v>28</v>
      </c>
    </row>
    <row r="29" spans="3:15">
      <c r="C29" s="344" t="s">
        <v>233</v>
      </c>
      <c r="D29" s="345" t="str">
        <f>IF(D26="Solar","yes","no")</f>
        <v>yes</v>
      </c>
      <c r="E29" s="346" t="s">
        <v>119</v>
      </c>
      <c r="F29" s="347">
        <f>IF(D29="yes",2369,0)</f>
        <v>2369</v>
      </c>
      <c r="G29" s="348" t="s">
        <v>28</v>
      </c>
      <c r="L29" s="8" t="s">
        <v>320</v>
      </c>
      <c r="N29">
        <f>N28*5</f>
        <v>19556.525618634831</v>
      </c>
      <c r="O29" s="440" t="s">
        <v>28</v>
      </c>
    </row>
    <row r="30" spans="3:15">
      <c r="C30" s="344" t="s">
        <v>148</v>
      </c>
      <c r="D30" s="345" t="str">
        <f>InputOutputData!M33</f>
        <v>no</v>
      </c>
      <c r="E30" s="346" t="s">
        <v>119</v>
      </c>
      <c r="F30" s="349">
        <f>IF(D30="y",3250,0)</f>
        <v>0</v>
      </c>
      <c r="G30" s="350" t="s">
        <v>28</v>
      </c>
    </row>
    <row r="31" spans="3:15">
      <c r="C31" s="517" t="s">
        <v>135</v>
      </c>
      <c r="D31" s="518"/>
      <c r="E31" s="518"/>
      <c r="F31" s="328">
        <f>SUM(F13:F30)</f>
        <v>27105.852130116018</v>
      </c>
      <c r="G31" t="s">
        <v>28</v>
      </c>
      <c r="L31" s="1" t="s">
        <v>321</v>
      </c>
    </row>
    <row r="32" spans="3:15">
      <c r="L32" s="1"/>
    </row>
    <row r="33" spans="9:12">
      <c r="L33" s="1" t="s">
        <v>322</v>
      </c>
    </row>
    <row r="34" spans="9:12">
      <c r="I34" t="s">
        <v>323</v>
      </c>
    </row>
    <row r="35" spans="9:12">
      <c r="I35" t="s">
        <v>324</v>
      </c>
    </row>
    <row r="36" spans="9:12">
      <c r="I36" t="s">
        <v>324</v>
      </c>
    </row>
    <row r="37" spans="9:12">
      <c r="I37" t="s">
        <v>324</v>
      </c>
    </row>
    <row r="38" spans="9:12">
      <c r="I38" t="s">
        <v>324</v>
      </c>
    </row>
    <row r="39" spans="9:12">
      <c r="I39" t="s">
        <v>324</v>
      </c>
    </row>
    <row r="40" spans="9:12">
      <c r="I40" t="s">
        <v>325</v>
      </c>
    </row>
    <row r="41" spans="9:12">
      <c r="I41" t="s">
        <v>326</v>
      </c>
    </row>
    <row r="42" spans="9:12">
      <c r="I42" t="s">
        <v>327</v>
      </c>
    </row>
    <row r="43" spans="9:12">
      <c r="I43" t="s">
        <v>328</v>
      </c>
    </row>
    <row r="44" spans="9:12">
      <c r="I44" t="s">
        <v>329</v>
      </c>
    </row>
    <row r="45" spans="9:12">
      <c r="I45" t="s">
        <v>330</v>
      </c>
    </row>
    <row r="46" spans="9:12">
      <c r="I46" t="s">
        <v>2</v>
      </c>
    </row>
    <row r="47" spans="9:12">
      <c r="I47" t="s">
        <v>2</v>
      </c>
    </row>
    <row r="48" spans="9:12">
      <c r="I48" t="s">
        <v>2</v>
      </c>
    </row>
    <row r="49" spans="9:9">
      <c r="I49" t="s">
        <v>2</v>
      </c>
    </row>
    <row r="50" spans="9:9">
      <c r="I50" t="s">
        <v>2</v>
      </c>
    </row>
    <row r="51" spans="9:9">
      <c r="I51" t="s">
        <v>2</v>
      </c>
    </row>
    <row r="52" spans="9:9">
      <c r="I52" t="s">
        <v>331</v>
      </c>
    </row>
    <row r="53" spans="9:9">
      <c r="I53" t="s">
        <v>331</v>
      </c>
    </row>
    <row r="54" spans="9:9">
      <c r="I54" t="s">
        <v>2</v>
      </c>
    </row>
  </sheetData>
  <mergeCells count="19">
    <mergeCell ref="J12:O12"/>
    <mergeCell ref="J27:K27"/>
    <mergeCell ref="J26:K26"/>
    <mergeCell ref="J25:K25"/>
    <mergeCell ref="J24:K24"/>
    <mergeCell ref="J23:K23"/>
    <mergeCell ref="C12:F12"/>
    <mergeCell ref="C31:E31"/>
    <mergeCell ref="J16:K16"/>
    <mergeCell ref="J14:K14"/>
    <mergeCell ref="J15:K15"/>
    <mergeCell ref="J17:K17"/>
    <mergeCell ref="J18:K18"/>
    <mergeCell ref="J13:K13"/>
    <mergeCell ref="J19:K19"/>
    <mergeCell ref="J20:K20"/>
    <mergeCell ref="J21:K21"/>
    <mergeCell ref="J22:K22"/>
    <mergeCell ref="J28:M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1522-5151-4945-BF34-A8C1A6984E6C}">
  <dimension ref="A6:K19"/>
  <sheetViews>
    <sheetView workbookViewId="0">
      <selection activeCell="D13" sqref="D13"/>
    </sheetView>
  </sheetViews>
  <sheetFormatPr defaultRowHeight="14.45"/>
  <cols>
    <col min="1" max="1" width="36.28515625" bestFit="1" customWidth="1"/>
    <col min="2" max="2" width="10" bestFit="1" customWidth="1"/>
    <col min="3" max="3" width="29.42578125" customWidth="1"/>
    <col min="5" max="5" width="23.42578125" bestFit="1" customWidth="1"/>
    <col min="8" max="8" width="27.5703125" bestFit="1" customWidth="1"/>
    <col min="9" max="9" width="11" bestFit="1" customWidth="1"/>
    <col min="11" max="11" width="13.5703125" bestFit="1" customWidth="1"/>
  </cols>
  <sheetData>
    <row r="6" spans="1:11">
      <c r="A6" s="102" t="s">
        <v>332</v>
      </c>
      <c r="B6" s="102" t="s">
        <v>333</v>
      </c>
      <c r="C6" s="102" t="s">
        <v>334</v>
      </c>
      <c r="D6" s="102" t="s">
        <v>335</v>
      </c>
      <c r="E6" s="102" t="s">
        <v>336</v>
      </c>
      <c r="F6" s="102" t="s">
        <v>337</v>
      </c>
      <c r="G6" s="102" t="s">
        <v>338</v>
      </c>
      <c r="H6" s="102" t="s">
        <v>339</v>
      </c>
      <c r="I6" s="78" t="s">
        <v>84</v>
      </c>
      <c r="J6" s="14" t="s">
        <v>340</v>
      </c>
      <c r="K6" s="14" t="s">
        <v>341</v>
      </c>
    </row>
    <row r="7" spans="1:11">
      <c r="A7" s="12" t="s">
        <v>44</v>
      </c>
      <c r="B7" s="12" t="s">
        <v>45</v>
      </c>
      <c r="C7" s="12"/>
      <c r="D7" s="143">
        <f>InputOutputData!C8</f>
        <v>432</v>
      </c>
      <c r="E7" s="128">
        <v>0.13</v>
      </c>
      <c r="F7" s="128">
        <v>150</v>
      </c>
      <c r="G7" s="128">
        <v>640</v>
      </c>
      <c r="H7" s="12" t="s">
        <v>251</v>
      </c>
      <c r="I7" s="327">
        <f>IF(D7&lt;F7,0,IF(D7&gt;G7,1,0.5*(1-COS((D7-F7)/(G7-F7)*PI()))))</f>
        <v>0.6175018148698076</v>
      </c>
      <c r="J7" s="24">
        <f>I7*100</f>
        <v>61.750181486980757</v>
      </c>
      <c r="K7" s="24">
        <f>E7*J7</f>
        <v>8.0275235933074995</v>
      </c>
    </row>
    <row r="8" spans="1:11">
      <c r="A8" s="12" t="s">
        <v>342</v>
      </c>
      <c r="B8" s="12" t="s">
        <v>99</v>
      </c>
      <c r="C8" s="12"/>
      <c r="D8" s="143">
        <f>'Maintenance Calculations'!L14</f>
        <v>20</v>
      </c>
      <c r="E8" s="128">
        <v>0.15</v>
      </c>
      <c r="F8" s="128">
        <v>10</v>
      </c>
      <c r="G8" s="128">
        <v>45</v>
      </c>
      <c r="H8" s="12" t="s">
        <v>242</v>
      </c>
      <c r="I8" s="327">
        <f>IF(D8&lt;F8,1,IF(D8&gt;G8,0,0.5*(1+COS((D8-F8)/(G8-F8)*PI()))))</f>
        <v>0.8117449009293668</v>
      </c>
      <c r="J8" s="24">
        <f t="shared" ref="J8:J14" si="0">I8*100</f>
        <v>81.174490092936679</v>
      </c>
      <c r="K8" s="24">
        <f t="shared" ref="K8:K14" si="1">E8*J8</f>
        <v>12.176173513940501</v>
      </c>
    </row>
    <row r="9" spans="1:11">
      <c r="A9" s="12" t="s">
        <v>343</v>
      </c>
      <c r="B9" s="12" t="s">
        <v>104</v>
      </c>
      <c r="C9" s="12"/>
      <c r="D9" s="282">
        <f>'On Demand Flow Calcs'!M21</f>
        <v>28.586890637205048</v>
      </c>
      <c r="E9" s="128">
        <v>0.13</v>
      </c>
      <c r="F9" s="128">
        <v>15</v>
      </c>
      <c r="G9" s="128">
        <v>40</v>
      </c>
      <c r="H9" s="12" t="s">
        <v>105</v>
      </c>
      <c r="I9" s="327">
        <f>IF(D9&lt;F9,0,IF(D9&gt;G9,1,0.5*(1-COS((D9-F9)/(G9-F9)*PI()))))</f>
        <v>0.56807922345532369</v>
      </c>
      <c r="J9" s="24">
        <f t="shared" si="0"/>
        <v>56.807922345532369</v>
      </c>
      <c r="K9" s="24">
        <f t="shared" si="1"/>
        <v>7.3850299049192083</v>
      </c>
    </row>
    <row r="10" spans="1:11">
      <c r="A10" s="12" t="s">
        <v>344</v>
      </c>
      <c r="B10" s="12" t="s">
        <v>109</v>
      </c>
      <c r="C10" s="12"/>
      <c r="D10" s="282">
        <f>Cost!K4</f>
        <v>44.44035976071509</v>
      </c>
      <c r="E10" s="128">
        <v>0.22</v>
      </c>
      <c r="F10" s="479">
        <v>20</v>
      </c>
      <c r="G10" s="479">
        <v>110</v>
      </c>
      <c r="H10" s="12" t="s">
        <v>110</v>
      </c>
      <c r="I10" s="327">
        <f>IF(D10&lt;F10,1,IF(D10&gt;G10,0,0.5*(1+COS((D10-F10)/(G10-F10)*PI()))))</f>
        <v>0.8288143942766304</v>
      </c>
      <c r="J10" s="24">
        <f t="shared" si="0"/>
        <v>82.88143942766304</v>
      </c>
      <c r="K10" s="24">
        <f t="shared" si="1"/>
        <v>18.233916674085869</v>
      </c>
    </row>
    <row r="11" spans="1:11">
      <c r="A11" s="12" t="s">
        <v>345</v>
      </c>
      <c r="B11" s="12" t="s">
        <v>118</v>
      </c>
      <c r="C11" s="12"/>
      <c r="D11" s="182">
        <f>'E + U + G satisfaction'!$G$7</f>
        <v>14.161044784154875</v>
      </c>
      <c r="E11" s="128">
        <v>7.0000000000000007E-2</v>
      </c>
      <c r="F11" s="128">
        <v>1</v>
      </c>
      <c r="G11" s="128">
        <v>32</v>
      </c>
      <c r="H11" s="12" t="s">
        <v>119</v>
      </c>
      <c r="I11" s="327">
        <f>('E + U + G satisfaction'!$H$7)/100</f>
        <v>0.6174101497544231</v>
      </c>
      <c r="J11" s="24">
        <f t="shared" si="0"/>
        <v>61.741014975442312</v>
      </c>
      <c r="K11" s="24">
        <f t="shared" si="1"/>
        <v>4.3218710482809621</v>
      </c>
    </row>
    <row r="12" spans="1:11">
      <c r="A12" s="12" t="s">
        <v>346</v>
      </c>
      <c r="B12" s="12" t="s">
        <v>121</v>
      </c>
      <c r="C12" s="12"/>
      <c r="D12" s="182">
        <f>'E + U + G satisfaction'!B21</f>
        <v>69.192576268486306</v>
      </c>
      <c r="E12" s="128">
        <v>0.05</v>
      </c>
      <c r="F12" s="479">
        <v>10</v>
      </c>
      <c r="G12" s="479">
        <v>105</v>
      </c>
      <c r="H12" s="12" t="s">
        <v>110</v>
      </c>
      <c r="I12" s="327">
        <f>IF(D12&lt;F12,1,IF(D12&gt;G12,0,0.5*(1+COS((D12-F12)/(G12-F12)*PI()))))</f>
        <v>0.31144846618276778</v>
      </c>
      <c r="J12" s="24">
        <f t="shared" si="0"/>
        <v>31.144846618276777</v>
      </c>
      <c r="K12" s="24">
        <f t="shared" si="1"/>
        <v>1.557242330913839</v>
      </c>
    </row>
    <row r="13" spans="1:11">
      <c r="A13" s="12" t="s">
        <v>295</v>
      </c>
      <c r="B13" s="12" t="s">
        <v>125</v>
      </c>
      <c r="C13" s="12"/>
      <c r="D13" s="143">
        <f>365 - Cost!Q13</f>
        <v>346</v>
      </c>
      <c r="E13" s="128">
        <v>0.1</v>
      </c>
      <c r="F13" s="128">
        <v>210</v>
      </c>
      <c r="G13" s="128">
        <v>365</v>
      </c>
      <c r="H13" s="12" t="s">
        <v>126</v>
      </c>
      <c r="I13" s="327">
        <f>IF(D13&lt;F13,0,IF(D13&gt;G13,1,0.5*(1-COS((D13-F13)/(G13-F13)*PI()))))</f>
        <v>0.96338072638267436</v>
      </c>
      <c r="J13" s="24">
        <f t="shared" si="0"/>
        <v>96.338072638267434</v>
      </c>
      <c r="K13" s="24">
        <f t="shared" si="1"/>
        <v>9.6338072638267445</v>
      </c>
    </row>
    <row r="14" spans="1:11">
      <c r="A14" s="12" t="s">
        <v>347</v>
      </c>
      <c r="B14" s="12" t="s">
        <v>131</v>
      </c>
      <c r="C14" s="12"/>
      <c r="D14" s="282">
        <f>'E + U + G satisfaction'!B13</f>
        <v>0.10861892675750173</v>
      </c>
      <c r="E14" s="128">
        <v>0.15</v>
      </c>
      <c r="F14" s="128">
        <v>0</v>
      </c>
      <c r="G14" s="128">
        <v>1</v>
      </c>
      <c r="H14" s="12" t="s">
        <v>132</v>
      </c>
      <c r="I14" s="327">
        <f>1+COS((PI()/2)*(D14+1))</f>
        <v>0.83020838378833894</v>
      </c>
      <c r="J14" s="24">
        <f t="shared" si="0"/>
        <v>83.020838378833901</v>
      </c>
      <c r="K14" s="24">
        <f t="shared" si="1"/>
        <v>12.453125756825084</v>
      </c>
    </row>
    <row r="15" spans="1:11">
      <c r="E15">
        <f>SUM(E7:E14)</f>
        <v>1</v>
      </c>
    </row>
    <row r="18" spans="1:3">
      <c r="A18" s="102" t="s">
        <v>348</v>
      </c>
      <c r="B18" s="102">
        <f>SUM(K7:K14)</f>
        <v>73.788690086099706</v>
      </c>
    </row>
    <row r="19" spans="1:3">
      <c r="C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9A8E-DF4A-49BD-BAC8-B42B690FD19B}">
  <dimension ref="A1:AA380"/>
  <sheetViews>
    <sheetView zoomScale="103" workbookViewId="0">
      <selection activeCell="B16" sqref="B16"/>
    </sheetView>
  </sheetViews>
  <sheetFormatPr defaultRowHeight="15" customHeight="1"/>
  <cols>
    <col min="1" max="2" width="18.28515625" customWidth="1"/>
    <col min="3" max="3" width="10.28515625" customWidth="1"/>
    <col min="4" max="4" width="10" customWidth="1"/>
    <col min="5" max="5" width="11" customWidth="1"/>
    <col min="6" max="6" width="11.140625" bestFit="1" customWidth="1"/>
    <col min="7" max="7" width="9.42578125" customWidth="1"/>
    <col min="8" max="8" width="13.28515625" bestFit="1" customWidth="1"/>
    <col min="9" max="9" width="13.28515625" customWidth="1"/>
    <col min="10" max="10" width="12.85546875" bestFit="1" customWidth="1"/>
    <col min="11" max="11" width="15.140625" customWidth="1"/>
    <col min="12" max="12" width="15.5703125" customWidth="1"/>
    <col min="13" max="13" width="18.140625" customWidth="1"/>
    <col min="14" max="14" width="27.7109375" bestFit="1" customWidth="1"/>
    <col min="15" max="15" width="11" customWidth="1"/>
    <col min="16" max="16" width="16.140625" customWidth="1"/>
    <col min="18" max="18" width="18.7109375" bestFit="1" customWidth="1"/>
    <col min="20" max="20" width="13.42578125" bestFit="1" customWidth="1"/>
    <col min="21" max="21" width="23.5703125" customWidth="1"/>
    <col min="22" max="22" width="17.28515625" bestFit="1" customWidth="1"/>
    <col min="23" max="23" width="21.28515625" bestFit="1" customWidth="1"/>
    <col min="31" max="31" width="11" bestFit="1" customWidth="1"/>
  </cols>
  <sheetData>
    <row r="1" spans="1:27" ht="14.45">
      <c r="C1" s="525" t="s">
        <v>246</v>
      </c>
      <c r="D1" s="526"/>
      <c r="E1" s="526"/>
      <c r="F1" s="527"/>
      <c r="G1" s="8"/>
      <c r="H1" s="1"/>
      <c r="I1" s="1"/>
      <c r="J1" t="s">
        <v>247</v>
      </c>
      <c r="K1" s="141" t="str">
        <f>'Updated Pump Parameters'!F4</f>
        <v>Pump C</v>
      </c>
      <c r="L1" s="525" t="s">
        <v>50</v>
      </c>
      <c r="M1" s="526"/>
      <c r="N1" s="527"/>
      <c r="P1" s="525" t="s">
        <v>231</v>
      </c>
      <c r="Q1" s="526"/>
      <c r="R1" s="526"/>
      <c r="S1" s="527"/>
      <c r="U1" s="8" t="s">
        <v>248</v>
      </c>
      <c r="V1" s="8">
        <v>1000</v>
      </c>
      <c r="W1" s="8" t="s">
        <v>249</v>
      </c>
      <c r="Z1" s="73"/>
      <c r="AA1" s="1"/>
    </row>
    <row r="2" spans="1:27" ht="14.45">
      <c r="C2" s="528" t="s">
        <v>250</v>
      </c>
      <c r="D2" s="529"/>
      <c r="E2" s="309">
        <f>InputOutputData!C8</f>
        <v>432</v>
      </c>
      <c r="F2" s="68" t="s">
        <v>251</v>
      </c>
      <c r="L2" s="66" t="s">
        <v>252</v>
      </c>
      <c r="M2" s="309">
        <f>'Updated Pump Parameters'!D28</f>
        <v>336.57159174692282</v>
      </c>
      <c r="N2" s="68" t="s">
        <v>253</v>
      </c>
      <c r="P2" s="528" t="s">
        <v>254</v>
      </c>
      <c r="Q2" s="529"/>
      <c r="R2" s="67">
        <f>InputOutputData!O25</f>
        <v>3</v>
      </c>
      <c r="S2" s="68"/>
      <c r="U2" s="8" t="s">
        <v>255</v>
      </c>
      <c r="V2" s="8">
        <v>9.81</v>
      </c>
      <c r="W2" s="8" t="s">
        <v>256</v>
      </c>
      <c r="Z2" s="73"/>
      <c r="AA2" s="1"/>
    </row>
    <row r="3" spans="1:27" ht="14.45">
      <c r="C3" s="528" t="s">
        <v>257</v>
      </c>
      <c r="D3" s="529"/>
      <c r="E3" s="309">
        <f>InputOutputData!S3</f>
        <v>100</v>
      </c>
      <c r="F3" s="68" t="s">
        <v>24</v>
      </c>
      <c r="L3" s="66" t="s">
        <v>258</v>
      </c>
      <c r="M3" s="309">
        <f>IF(K1="Pump A",83.7,IF(K1="Pump B",245.7,136.5))</f>
        <v>136.5</v>
      </c>
      <c r="N3" s="68" t="s">
        <v>115</v>
      </c>
      <c r="P3" s="528" t="s">
        <v>259</v>
      </c>
      <c r="Q3" s="529"/>
      <c r="R3" s="67">
        <f>InputOutputData!O28</f>
        <v>2000</v>
      </c>
      <c r="S3" s="68" t="s">
        <v>137</v>
      </c>
      <c r="Z3" s="73"/>
      <c r="AA3" s="1"/>
    </row>
    <row r="4" spans="1:27" ht="14.45">
      <c r="C4" s="528" t="s">
        <v>260</v>
      </c>
      <c r="D4" s="529"/>
      <c r="E4" s="309">
        <f>InputOutputData!K6/1000</f>
        <v>1.5</v>
      </c>
      <c r="F4" s="68" t="s">
        <v>12</v>
      </c>
      <c r="L4" s="69" t="s">
        <v>138</v>
      </c>
      <c r="M4" s="87">
        <v>70</v>
      </c>
      <c r="N4" s="71" t="s">
        <v>98</v>
      </c>
      <c r="P4" s="523" t="s">
        <v>349</v>
      </c>
      <c r="Q4" s="524"/>
      <c r="R4" s="70">
        <f>InputOutputData!O26</f>
        <v>0.96</v>
      </c>
      <c r="S4" s="71" t="s">
        <v>98</v>
      </c>
      <c r="U4" s="6" t="s">
        <v>262</v>
      </c>
      <c r="V4" s="85">
        <v>40</v>
      </c>
      <c r="W4" s="7" t="s">
        <v>263</v>
      </c>
    </row>
    <row r="5" spans="1:27" ht="14.45">
      <c r="C5" s="528" t="s">
        <v>264</v>
      </c>
      <c r="D5" s="529"/>
      <c r="E5" s="309">
        <f>InputOutputData!O2</f>
        <v>36</v>
      </c>
      <c r="F5" s="68" t="s">
        <v>12</v>
      </c>
      <c r="U5" s="6" t="s">
        <v>265</v>
      </c>
      <c r="V5" s="86">
        <v>0.35</v>
      </c>
      <c r="W5" s="7" t="s">
        <v>266</v>
      </c>
    </row>
    <row r="6" spans="1:27" ht="14.45">
      <c r="C6" s="528" t="s">
        <v>267</v>
      </c>
      <c r="D6" s="529"/>
      <c r="E6" s="490">
        <f>InputOutputData!O5</f>
        <v>63.93160407810835</v>
      </c>
      <c r="F6" s="68" t="s">
        <v>2</v>
      </c>
      <c r="L6" s="2" t="s">
        <v>78</v>
      </c>
      <c r="M6" s="84">
        <v>10</v>
      </c>
      <c r="N6" s="3" t="s">
        <v>79</v>
      </c>
      <c r="P6" s="4" t="s">
        <v>268</v>
      </c>
      <c r="Q6" s="361">
        <f>InputOutputData!K19</f>
        <v>40</v>
      </c>
      <c r="R6" s="5" t="s">
        <v>269</v>
      </c>
    </row>
    <row r="7" spans="1:27" ht="14.45">
      <c r="C7" s="528" t="s">
        <v>270</v>
      </c>
      <c r="D7" s="529"/>
      <c r="E7" s="309">
        <f>InputOutputData!C1+1.5</f>
        <v>21.5</v>
      </c>
      <c r="F7" s="68" t="s">
        <v>2</v>
      </c>
      <c r="L7" s="2" t="s">
        <v>86</v>
      </c>
      <c r="M7" s="84">
        <v>50</v>
      </c>
      <c r="N7" s="3" t="s">
        <v>87</v>
      </c>
      <c r="U7" s="305" t="s">
        <v>271</v>
      </c>
      <c r="V7" s="180"/>
    </row>
    <row r="8" spans="1:27" ht="14.45">
      <c r="C8" s="523" t="s">
        <v>272</v>
      </c>
      <c r="D8" s="524"/>
      <c r="E8" s="70">
        <v>31</v>
      </c>
      <c r="F8" s="71"/>
      <c r="L8" s="2" t="s">
        <v>95</v>
      </c>
      <c r="M8" s="84">
        <v>2</v>
      </c>
      <c r="N8" s="3" t="s">
        <v>96</v>
      </c>
      <c r="P8" t="s">
        <v>350</v>
      </c>
      <c r="Q8">
        <f>'Updated Pump Parameters'!D29</f>
        <v>22.640310275184795</v>
      </c>
      <c r="R8" t="s">
        <v>115</v>
      </c>
      <c r="U8" s="310" t="s">
        <v>23</v>
      </c>
      <c r="V8" s="355">
        <f>InputOutputData!K15</f>
        <v>0.72</v>
      </c>
    </row>
    <row r="9" spans="1:27" ht="14.45">
      <c r="C9" s="35"/>
      <c r="D9" s="35"/>
      <c r="Q9">
        <f>Q8*60</f>
        <v>1358.4186165110877</v>
      </c>
      <c r="R9" t="s">
        <v>351</v>
      </c>
      <c r="U9" s="306" t="s">
        <v>72</v>
      </c>
      <c r="V9" s="356">
        <f>InputOutputData!K16</f>
        <v>0.55000000000000004</v>
      </c>
    </row>
    <row r="10" spans="1:27" ht="14.45">
      <c r="C10" s="35"/>
      <c r="D10" s="35"/>
    </row>
    <row r="11" spans="1:27" ht="14.45">
      <c r="C11" s="35"/>
      <c r="D11" s="35"/>
    </row>
    <row r="12" spans="1:27" ht="15" customHeight="1">
      <c r="P12" s="8" t="s">
        <v>352</v>
      </c>
    </row>
    <row r="13" spans="1:27" ht="43.15">
      <c r="A13" s="74" t="s">
        <v>273</v>
      </c>
      <c r="B13" s="74" t="s">
        <v>274</v>
      </c>
      <c r="C13" s="74" t="s">
        <v>274</v>
      </c>
      <c r="D13" s="380" t="s">
        <v>173</v>
      </c>
      <c r="E13" s="381" t="s">
        <v>275</v>
      </c>
      <c r="F13" s="382" t="s">
        <v>276</v>
      </c>
      <c r="G13" s="382" t="s">
        <v>277</v>
      </c>
      <c r="H13" s="382" t="s">
        <v>278</v>
      </c>
      <c r="I13" s="390" t="s">
        <v>353</v>
      </c>
      <c r="J13" s="383" t="s">
        <v>279</v>
      </c>
      <c r="K13" s="384" t="s">
        <v>280</v>
      </c>
      <c r="L13" s="385" t="s">
        <v>281</v>
      </c>
      <c r="M13" s="386" t="s">
        <v>354</v>
      </c>
      <c r="N13" s="387" t="s">
        <v>355</v>
      </c>
      <c r="O13" s="8"/>
      <c r="P13" s="8">
        <f>SUM(C15:C380) * 1000</f>
        <v>166500.00000000009</v>
      </c>
      <c r="R13" s="8"/>
      <c r="T13" s="8"/>
    </row>
    <row r="14" spans="1:27" ht="14.45">
      <c r="A14" s="74" t="s">
        <v>287</v>
      </c>
      <c r="B14" s="74" t="s">
        <v>288</v>
      </c>
      <c r="C14" s="74" t="s">
        <v>289</v>
      </c>
      <c r="D14" s="74"/>
      <c r="E14" s="74" t="s">
        <v>290</v>
      </c>
      <c r="F14" s="74" t="s">
        <v>188</v>
      </c>
      <c r="G14" s="74" t="s">
        <v>291</v>
      </c>
      <c r="H14" s="74" t="s">
        <v>188</v>
      </c>
      <c r="I14" s="74" t="s">
        <v>188</v>
      </c>
      <c r="J14" s="74" t="s">
        <v>292</v>
      </c>
      <c r="K14" s="388" t="s">
        <v>188</v>
      </c>
      <c r="L14" s="54" t="s">
        <v>188</v>
      </c>
      <c r="M14" s="54" t="s">
        <v>188</v>
      </c>
      <c r="N14" s="389" t="s">
        <v>188</v>
      </c>
      <c r="O14" s="8"/>
      <c r="R14" s="8"/>
      <c r="T14" s="8"/>
    </row>
    <row r="15" spans="1:27" ht="14.45">
      <c r="A15" s="74">
        <v>0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388">
        <v>0</v>
      </c>
      <c r="L15" s="54">
        <v>0</v>
      </c>
      <c r="M15" s="54">
        <v>0</v>
      </c>
      <c r="N15" s="389">
        <v>0</v>
      </c>
      <c r="O15" s="8"/>
      <c r="P15" s="8" t="s">
        <v>356</v>
      </c>
      <c r="Q15">
        <f>P13/Q9</f>
        <v>122.56899160262728</v>
      </c>
      <c r="R15" s="475" t="s">
        <v>357</v>
      </c>
      <c r="T15" s="389"/>
    </row>
    <row r="16" spans="1:27" ht="14.45">
      <c r="A16" s="24">
        <f>IF(InputOutputData!$E$36=1,'Rainfall Data'!C4,IF(InputOutputData!$E$36=2,'Rainfall Data'!D3,IF(InputOutputData!$E$36=3,'Rainfall Data'!E3,'Rainfall Data'!F3)))</f>
        <v>7.8</v>
      </c>
      <c r="B16" s="24">
        <f>C16*100/144</f>
        <v>0.54166666666666652</v>
      </c>
      <c r="C16" s="24">
        <f>MIN((A16/1000)*$E$3,$E$4)</f>
        <v>0.77999999999999992</v>
      </c>
      <c r="D16" s="24">
        <v>1</v>
      </c>
      <c r="E16" s="24">
        <f>MAX(MIN(C16 - (IF(D16 &gt; $E$8, $E$2 / 1000,0)) + E15, $E$5),0)</f>
        <v>0.77999999999999992</v>
      </c>
      <c r="F16" s="24">
        <f t="shared" ref="F16:F79" si="0">C16*$V$1*$V$2*$E$7</f>
        <v>164513.69999999998</v>
      </c>
      <c r="G16" s="24">
        <f>1.2*$V$8*(EXP(B16/$M$3)-1-(1.72*((B16/$M$3)^4)))^($V$9)</f>
        <v>4.1325442125311064E-2</v>
      </c>
      <c r="H16" s="24">
        <f>IF(C16 = 0,0,$M$2*C16/G16 * 1000)</f>
        <v>6352644.4742331654</v>
      </c>
      <c r="I16" s="24">
        <f>H16/0.92</f>
        <v>6905048.3415577877</v>
      </c>
      <c r="J16" s="24">
        <f t="shared" ref="J16:J79" si="1">($M$7 / $M$6) * C16</f>
        <v>3.8999999999999995</v>
      </c>
      <c r="K16" s="327">
        <f>$M$8 * 10^6 * J16</f>
        <v>7799999.9999999991</v>
      </c>
      <c r="L16" s="56">
        <f>$Q$6 * 24 * 3600</f>
        <v>3456000</v>
      </c>
      <c r="M16" s="56">
        <f>L16+I16</f>
        <v>10361048.341557788</v>
      </c>
      <c r="N16" s="11">
        <f>IF(COUNTIF(InputOutputData!K$20,"Chlorine") = 1,'More accurate Energy (Solar)'!M16,L16+K16+I16)</f>
        <v>10361048.341557788</v>
      </c>
      <c r="O16" s="9"/>
    </row>
    <row r="17" spans="1:21" ht="14.45">
      <c r="A17" s="24">
        <f>IF(InputOutputData!$E$36=1,'Rainfall Data'!C5,IF(InputOutputData!$E$36=2,'Rainfall Data'!D4,IF(InputOutputData!$E$36=3,'Rainfall Data'!E4,'Rainfall Data'!F4)))</f>
        <v>1</v>
      </c>
      <c r="B17" s="24">
        <f t="shared" ref="B17:B80" si="2">C17*100/144</f>
        <v>6.9444444444444448E-2</v>
      </c>
      <c r="C17" s="24">
        <f t="shared" ref="C17:C80" si="3">MIN((A17/1000)*$E$3,$E$4)</f>
        <v>0.1</v>
      </c>
      <c r="D17" s="24">
        <f>D16+1</f>
        <v>2</v>
      </c>
      <c r="E17" s="24">
        <f t="shared" ref="E17:E80" si="4">MAX(MIN(C17 - (IF(D17 &gt; $E$8, $E$2 / 1000,0)) + E16, $E$5),0)</f>
        <v>0.87999999999999989</v>
      </c>
      <c r="F17" s="24">
        <f t="shared" si="0"/>
        <v>21091.5</v>
      </c>
      <c r="G17" s="24">
        <f t="shared" ref="G17:G80" si="5">1.2*$V$8*(EXP(B17/$M$3)-1-(1.72*((B17/$M$3)^4)))^($V$9)</f>
        <v>1.3339887795726455E-2</v>
      </c>
      <c r="H17" s="24">
        <f t="shared" ref="H17:H80" si="6">IF(C17 = 0,0,$M$2*C17/G17 * 1000)</f>
        <v>2523046.6470246203</v>
      </c>
      <c r="I17" s="24">
        <f t="shared" ref="I17:I80" si="7">H17/0.92</f>
        <v>2742442.007635457</v>
      </c>
      <c r="J17" s="24">
        <f t="shared" si="1"/>
        <v>0.5</v>
      </c>
      <c r="K17" s="327">
        <f t="shared" ref="K17:K80" si="8">$M$8 * 10^6 * J17</f>
        <v>1000000</v>
      </c>
      <c r="L17" s="56">
        <f t="shared" ref="L17:L80" si="9">$Q$6 * 24 * 3600</f>
        <v>3456000</v>
      </c>
      <c r="M17" s="56">
        <f t="shared" ref="M17:M80" si="10">L17+I17</f>
        <v>6198442.0076354574</v>
      </c>
      <c r="N17" s="11">
        <f>IF(COUNTIF(InputOutputData!K$20,"Chlorine") = 1,'More accurate Energy (Solar)'!M17,L17+K17+I17)</f>
        <v>6198442.0076354574</v>
      </c>
      <c r="P17">
        <f>1800/Q15</f>
        <v>14.685606664984725</v>
      </c>
    </row>
    <row r="18" spans="1:21" ht="14.45">
      <c r="A18" s="24">
        <f>IF(InputOutputData!$E$36=1,'Rainfall Data'!C6,IF(InputOutputData!$E$36=2,'Rainfall Data'!D5,IF(InputOutputData!$E$36=3,'Rainfall Data'!E5,'Rainfall Data'!F5)))</f>
        <v>13.4</v>
      </c>
      <c r="B18" s="24">
        <f t="shared" si="2"/>
        <v>0.93055555555555558</v>
      </c>
      <c r="C18" s="24">
        <f t="shared" si="3"/>
        <v>1.34</v>
      </c>
      <c r="D18" s="24">
        <f t="shared" ref="D18:D81" si="11">D17+1</f>
        <v>3</v>
      </c>
      <c r="E18" s="24">
        <f t="shared" si="4"/>
        <v>2.2199999999999998</v>
      </c>
      <c r="F18" s="24">
        <f t="shared" si="0"/>
        <v>282626.10000000003</v>
      </c>
      <c r="G18" s="24">
        <f t="shared" si="5"/>
        <v>5.5694662580825151E-2</v>
      </c>
      <c r="H18" s="24">
        <f t="shared" si="6"/>
        <v>8097830.4211174315</v>
      </c>
      <c r="I18" s="24">
        <f t="shared" si="7"/>
        <v>8801989.5881711207</v>
      </c>
      <c r="J18" s="24">
        <f t="shared" si="1"/>
        <v>6.7</v>
      </c>
      <c r="K18" s="327">
        <f t="shared" si="8"/>
        <v>13400000</v>
      </c>
      <c r="L18" s="56">
        <f t="shared" si="9"/>
        <v>3456000</v>
      </c>
      <c r="M18" s="56">
        <f t="shared" si="10"/>
        <v>12257989.588171121</v>
      </c>
      <c r="N18" s="11">
        <f>IF(COUNTIF(InputOutputData!K$20,"Chlorine") = 1,'More accurate Energy (Solar)'!M18,L18+K18+I18)</f>
        <v>12257989.588171121</v>
      </c>
    </row>
    <row r="19" spans="1:21" ht="14.45">
      <c r="A19" s="24">
        <f>IF(InputOutputData!$E$36=1,'Rainfall Data'!C7,IF(InputOutputData!$E$36=2,'Rainfall Data'!D6,IF(InputOutputData!$E$36=3,'Rainfall Data'!E6,'Rainfall Data'!F6)))</f>
        <v>64.2</v>
      </c>
      <c r="B19" s="24">
        <f t="shared" si="2"/>
        <v>1.0416666666666667</v>
      </c>
      <c r="C19" s="24">
        <f t="shared" si="3"/>
        <v>1.5</v>
      </c>
      <c r="D19" s="24">
        <f t="shared" si="11"/>
        <v>4</v>
      </c>
      <c r="E19" s="24">
        <f t="shared" si="4"/>
        <v>3.7199999999999998</v>
      </c>
      <c r="F19" s="24">
        <f t="shared" si="0"/>
        <v>316372.5</v>
      </c>
      <c r="G19" s="24">
        <f t="shared" si="5"/>
        <v>5.9272522795741148E-2</v>
      </c>
      <c r="H19" s="24">
        <f t="shared" si="6"/>
        <v>8517561.9968154822</v>
      </c>
      <c r="I19" s="24">
        <f t="shared" si="7"/>
        <v>9258219.5617559589</v>
      </c>
      <c r="J19" s="24">
        <f t="shared" si="1"/>
        <v>7.5</v>
      </c>
      <c r="K19" s="327">
        <f t="shared" si="8"/>
        <v>15000000</v>
      </c>
      <c r="L19" s="56">
        <f t="shared" si="9"/>
        <v>3456000</v>
      </c>
      <c r="M19" s="56">
        <f t="shared" si="10"/>
        <v>12714219.561755959</v>
      </c>
      <c r="N19" s="11">
        <f>IF(COUNTIF(InputOutputData!K$20,"Chlorine") = 1,'More accurate Energy (Solar)'!M19,L19+K19+I19)</f>
        <v>12714219.561755959</v>
      </c>
    </row>
    <row r="20" spans="1:21" ht="14.45">
      <c r="A20" s="24">
        <f>IF(InputOutputData!$E$36=1,'Rainfall Data'!C8,IF(InputOutputData!$E$36=2,'Rainfall Data'!D7,IF(InputOutputData!$E$36=3,'Rainfall Data'!E7,'Rainfall Data'!F7)))</f>
        <v>32.200000000000003</v>
      </c>
      <c r="B20" s="24">
        <f t="shared" si="2"/>
        <v>1.0416666666666667</v>
      </c>
      <c r="C20" s="24">
        <f t="shared" si="3"/>
        <v>1.5</v>
      </c>
      <c r="D20" s="24">
        <f t="shared" si="11"/>
        <v>5</v>
      </c>
      <c r="E20" s="24">
        <f t="shared" si="4"/>
        <v>5.22</v>
      </c>
      <c r="F20" s="24">
        <f t="shared" si="0"/>
        <v>316372.5</v>
      </c>
      <c r="G20" s="24">
        <f t="shared" si="5"/>
        <v>5.9272522795741148E-2</v>
      </c>
      <c r="H20" s="24">
        <f t="shared" si="6"/>
        <v>8517561.9968154822</v>
      </c>
      <c r="I20" s="24">
        <f t="shared" si="7"/>
        <v>9258219.5617559589</v>
      </c>
      <c r="J20" s="24">
        <f t="shared" si="1"/>
        <v>7.5</v>
      </c>
      <c r="K20" s="327">
        <f t="shared" si="8"/>
        <v>15000000</v>
      </c>
      <c r="L20" s="56">
        <f t="shared" si="9"/>
        <v>3456000</v>
      </c>
      <c r="M20" s="56">
        <f t="shared" si="10"/>
        <v>12714219.561755959</v>
      </c>
      <c r="N20" s="11">
        <f>IF(COUNTIF(InputOutputData!K$20,"Chlorine") = 1,'More accurate Energy (Solar)'!M20,L20+K20+I20)</f>
        <v>12714219.561755959</v>
      </c>
    </row>
    <row r="21" spans="1:21" ht="14.45">
      <c r="A21" s="24">
        <f>IF(InputOutputData!$E$36=1,'Rainfall Data'!C9,IF(InputOutputData!$E$36=2,'Rainfall Data'!D8,IF(InputOutputData!$E$36=3,'Rainfall Data'!E8,'Rainfall Data'!F8)))</f>
        <v>2.8</v>
      </c>
      <c r="B21" s="24">
        <f t="shared" si="2"/>
        <v>0.19444444444444442</v>
      </c>
      <c r="C21" s="24">
        <f t="shared" si="3"/>
        <v>0.27999999999999997</v>
      </c>
      <c r="D21" s="24">
        <f t="shared" si="11"/>
        <v>6</v>
      </c>
      <c r="E21" s="24">
        <f t="shared" si="4"/>
        <v>5.5</v>
      </c>
      <c r="F21" s="24">
        <f t="shared" si="0"/>
        <v>59056.2</v>
      </c>
      <c r="G21" s="24">
        <f t="shared" si="5"/>
        <v>2.3507068854835791E-2</v>
      </c>
      <c r="H21" s="24">
        <f t="shared" si="6"/>
        <v>4009008.7909770021</v>
      </c>
      <c r="I21" s="24">
        <f t="shared" si="7"/>
        <v>4357618.2510619583</v>
      </c>
      <c r="J21" s="24">
        <f t="shared" si="1"/>
        <v>1.4</v>
      </c>
      <c r="K21" s="327">
        <f t="shared" si="8"/>
        <v>2800000</v>
      </c>
      <c r="L21" s="56">
        <f t="shared" si="9"/>
        <v>3456000</v>
      </c>
      <c r="M21" s="56">
        <f t="shared" si="10"/>
        <v>7813618.2510619583</v>
      </c>
      <c r="N21" s="11">
        <f>IF(COUNTIF(InputOutputData!K$20,"Chlorine") = 1,'More accurate Energy (Solar)'!M21,L21+K21+I21)</f>
        <v>7813618.2510619583</v>
      </c>
      <c r="U21" s="9"/>
    </row>
    <row r="22" spans="1:21" ht="14.45">
      <c r="A22" s="24">
        <f>IF(InputOutputData!$E$36=1,'Rainfall Data'!C10,IF(InputOutputData!$E$36=2,'Rainfall Data'!D9,IF(InputOutputData!$E$36=3,'Rainfall Data'!E9,'Rainfall Data'!F9)))</f>
        <v>0</v>
      </c>
      <c r="B22" s="24">
        <f t="shared" si="2"/>
        <v>0</v>
      </c>
      <c r="C22" s="24">
        <f t="shared" si="3"/>
        <v>0</v>
      </c>
      <c r="D22" s="24">
        <f t="shared" si="11"/>
        <v>7</v>
      </c>
      <c r="E22" s="24">
        <f t="shared" si="4"/>
        <v>5.5</v>
      </c>
      <c r="F22" s="24">
        <f t="shared" si="0"/>
        <v>0</v>
      </c>
      <c r="G22" s="24">
        <f t="shared" si="5"/>
        <v>0</v>
      </c>
      <c r="H22" s="24">
        <f t="shared" si="6"/>
        <v>0</v>
      </c>
      <c r="I22" s="24">
        <f t="shared" si="7"/>
        <v>0</v>
      </c>
      <c r="J22" s="24">
        <f t="shared" si="1"/>
        <v>0</v>
      </c>
      <c r="K22" s="327">
        <f t="shared" si="8"/>
        <v>0</v>
      </c>
      <c r="L22" s="56">
        <f t="shared" si="9"/>
        <v>3456000</v>
      </c>
      <c r="M22" s="56">
        <f t="shared" si="10"/>
        <v>3456000</v>
      </c>
      <c r="N22" s="11">
        <f>IF(COUNTIF(InputOutputData!K$20,"Chlorine") = 1,'More accurate Energy (Solar)'!M22,L22+K22+I22)</f>
        <v>3456000</v>
      </c>
    </row>
    <row r="23" spans="1:21" ht="14.45">
      <c r="A23" s="24">
        <f>IF(InputOutputData!$E$36=1,'Rainfall Data'!C11,IF(InputOutputData!$E$36=2,'Rainfall Data'!D10,IF(InputOutputData!$E$36=3,'Rainfall Data'!E10,'Rainfall Data'!F10)))</f>
        <v>0</v>
      </c>
      <c r="B23" s="24">
        <f t="shared" si="2"/>
        <v>0</v>
      </c>
      <c r="C23" s="24">
        <f t="shared" si="3"/>
        <v>0</v>
      </c>
      <c r="D23" s="24">
        <f t="shared" si="11"/>
        <v>8</v>
      </c>
      <c r="E23" s="24">
        <f t="shared" si="4"/>
        <v>5.5</v>
      </c>
      <c r="F23" s="24">
        <f t="shared" si="0"/>
        <v>0</v>
      </c>
      <c r="G23" s="24">
        <f t="shared" si="5"/>
        <v>0</v>
      </c>
      <c r="H23" s="24">
        <f t="shared" si="6"/>
        <v>0</v>
      </c>
      <c r="I23" s="24">
        <f t="shared" si="7"/>
        <v>0</v>
      </c>
      <c r="J23" s="24">
        <f t="shared" si="1"/>
        <v>0</v>
      </c>
      <c r="K23" s="327">
        <f t="shared" si="8"/>
        <v>0</v>
      </c>
      <c r="L23" s="56">
        <f t="shared" si="9"/>
        <v>3456000</v>
      </c>
      <c r="M23" s="56">
        <f t="shared" si="10"/>
        <v>3456000</v>
      </c>
      <c r="N23" s="11">
        <f>IF(COUNTIF(InputOutputData!K$20,"Chlorine") = 1,'More accurate Energy (Solar)'!M23,L23+K23+I23)</f>
        <v>3456000</v>
      </c>
    </row>
    <row r="24" spans="1:21" ht="14.45">
      <c r="A24" s="24">
        <f>IF(InputOutputData!$E$36=1,'Rainfall Data'!C12,IF(InputOutputData!$E$36=2,'Rainfall Data'!D11,IF(InputOutputData!$E$36=3,'Rainfall Data'!E11,'Rainfall Data'!F11)))</f>
        <v>0.8</v>
      </c>
      <c r="B24" s="24">
        <f t="shared" si="2"/>
        <v>5.5555555555555552E-2</v>
      </c>
      <c r="C24" s="24">
        <f t="shared" si="3"/>
        <v>0.08</v>
      </c>
      <c r="D24" s="24">
        <f t="shared" si="11"/>
        <v>9</v>
      </c>
      <c r="E24" s="24">
        <f t="shared" si="4"/>
        <v>5.58</v>
      </c>
      <c r="F24" s="24">
        <f t="shared" si="0"/>
        <v>16873.2</v>
      </c>
      <c r="G24" s="24">
        <f t="shared" si="5"/>
        <v>1.1798845559697837E-2</v>
      </c>
      <c r="H24" s="24">
        <f t="shared" si="6"/>
        <v>2282064.5633099871</v>
      </c>
      <c r="I24" s="24">
        <f t="shared" si="7"/>
        <v>2480504.960119551</v>
      </c>
      <c r="J24" s="24">
        <f t="shared" si="1"/>
        <v>0.4</v>
      </c>
      <c r="K24" s="327">
        <f t="shared" si="8"/>
        <v>800000</v>
      </c>
      <c r="L24" s="56">
        <f t="shared" si="9"/>
        <v>3456000</v>
      </c>
      <c r="M24" s="56">
        <f t="shared" si="10"/>
        <v>5936504.960119551</v>
      </c>
      <c r="N24" s="11">
        <f>IF(COUNTIF(InputOutputData!K$20,"Chlorine") = 1,'More accurate Energy (Solar)'!M24,L24+K24+I24)</f>
        <v>5936504.960119551</v>
      </c>
    </row>
    <row r="25" spans="1:21" ht="14.45">
      <c r="A25" s="24">
        <f>IF(InputOutputData!$E$36=1,'Rainfall Data'!C13,IF(InputOutputData!$E$36=2,'Rainfall Data'!D12,IF(InputOutputData!$E$36=3,'Rainfall Data'!E12,'Rainfall Data'!F12)))</f>
        <v>0</v>
      </c>
      <c r="B25" s="24">
        <f t="shared" si="2"/>
        <v>0</v>
      </c>
      <c r="C25" s="24">
        <f t="shared" si="3"/>
        <v>0</v>
      </c>
      <c r="D25" s="24">
        <f t="shared" si="11"/>
        <v>10</v>
      </c>
      <c r="E25" s="24">
        <f t="shared" si="4"/>
        <v>5.58</v>
      </c>
      <c r="F25" s="24">
        <f t="shared" si="0"/>
        <v>0</v>
      </c>
      <c r="G25" s="24">
        <f t="shared" si="5"/>
        <v>0</v>
      </c>
      <c r="H25" s="24">
        <f t="shared" si="6"/>
        <v>0</v>
      </c>
      <c r="I25" s="24">
        <f t="shared" si="7"/>
        <v>0</v>
      </c>
      <c r="J25" s="24">
        <f t="shared" si="1"/>
        <v>0</v>
      </c>
      <c r="K25" s="327">
        <f t="shared" si="8"/>
        <v>0</v>
      </c>
      <c r="L25" s="56">
        <f t="shared" si="9"/>
        <v>3456000</v>
      </c>
      <c r="M25" s="56">
        <f t="shared" si="10"/>
        <v>3456000</v>
      </c>
      <c r="N25" s="11">
        <f>IF(COUNTIF(InputOutputData!K$20,"Chlorine") = 1,'More accurate Energy (Solar)'!M25,L25+K25+I25)</f>
        <v>3456000</v>
      </c>
    </row>
    <row r="26" spans="1:21" ht="14.45">
      <c r="A26" s="24">
        <f>IF(InputOutputData!$E$36=1,'Rainfall Data'!C14,IF(InputOutputData!$E$36=2,'Rainfall Data'!D13,IF(InputOutputData!$E$36=3,'Rainfall Data'!E13,'Rainfall Data'!F13)))</f>
        <v>0</v>
      </c>
      <c r="B26" s="24">
        <f t="shared" si="2"/>
        <v>0</v>
      </c>
      <c r="C26" s="24">
        <f t="shared" si="3"/>
        <v>0</v>
      </c>
      <c r="D26" s="24">
        <f t="shared" si="11"/>
        <v>11</v>
      </c>
      <c r="E26" s="24">
        <f t="shared" si="4"/>
        <v>5.58</v>
      </c>
      <c r="F26" s="24">
        <f t="shared" si="0"/>
        <v>0</v>
      </c>
      <c r="G26" s="24">
        <f t="shared" si="5"/>
        <v>0</v>
      </c>
      <c r="H26" s="24">
        <f t="shared" si="6"/>
        <v>0</v>
      </c>
      <c r="I26" s="24">
        <f t="shared" si="7"/>
        <v>0</v>
      </c>
      <c r="J26" s="24">
        <f t="shared" si="1"/>
        <v>0</v>
      </c>
      <c r="K26" s="327">
        <f t="shared" si="8"/>
        <v>0</v>
      </c>
      <c r="L26" s="56">
        <f t="shared" si="9"/>
        <v>3456000</v>
      </c>
      <c r="M26" s="56">
        <f t="shared" si="10"/>
        <v>3456000</v>
      </c>
      <c r="N26" s="11">
        <f>IF(COUNTIF(InputOutputData!K$20,"Chlorine") = 1,'More accurate Energy (Solar)'!M26,L26+K26+I26)</f>
        <v>3456000</v>
      </c>
    </row>
    <row r="27" spans="1:21" ht="14.45">
      <c r="A27" s="24">
        <f>IF(InputOutputData!$E$36=1,'Rainfall Data'!C15,IF(InputOutputData!$E$36=2,'Rainfall Data'!D14,IF(InputOutputData!$E$36=3,'Rainfall Data'!E14,'Rainfall Data'!F14)))</f>
        <v>0</v>
      </c>
      <c r="B27" s="24">
        <f t="shared" si="2"/>
        <v>0</v>
      </c>
      <c r="C27" s="24">
        <f t="shared" si="3"/>
        <v>0</v>
      </c>
      <c r="D27" s="24">
        <f t="shared" si="11"/>
        <v>12</v>
      </c>
      <c r="E27" s="24">
        <f t="shared" si="4"/>
        <v>5.58</v>
      </c>
      <c r="F27" s="24">
        <f t="shared" si="0"/>
        <v>0</v>
      </c>
      <c r="G27" s="24">
        <f t="shared" si="5"/>
        <v>0</v>
      </c>
      <c r="H27" s="24">
        <f t="shared" si="6"/>
        <v>0</v>
      </c>
      <c r="I27" s="24">
        <f t="shared" si="7"/>
        <v>0</v>
      </c>
      <c r="J27" s="24">
        <f t="shared" si="1"/>
        <v>0</v>
      </c>
      <c r="K27" s="327">
        <f t="shared" si="8"/>
        <v>0</v>
      </c>
      <c r="L27" s="56">
        <f t="shared" si="9"/>
        <v>3456000</v>
      </c>
      <c r="M27" s="56">
        <f t="shared" si="10"/>
        <v>3456000</v>
      </c>
      <c r="N27" s="11">
        <f>IF(COUNTIF(InputOutputData!K$20,"Chlorine") = 1,'More accurate Energy (Solar)'!M27,L27+K27+I27)</f>
        <v>3456000</v>
      </c>
    </row>
    <row r="28" spans="1:21" ht="14.45">
      <c r="A28" s="24">
        <f>IF(InputOutputData!$E$36=1,'Rainfall Data'!C16,IF(InputOutputData!$E$36=2,'Rainfall Data'!D15,IF(InputOutputData!$E$36=3,'Rainfall Data'!E15,'Rainfall Data'!F15)))</f>
        <v>0</v>
      </c>
      <c r="B28" s="24">
        <f t="shared" si="2"/>
        <v>0</v>
      </c>
      <c r="C28" s="24">
        <f t="shared" si="3"/>
        <v>0</v>
      </c>
      <c r="D28" s="24">
        <f t="shared" si="11"/>
        <v>13</v>
      </c>
      <c r="E28" s="24">
        <f t="shared" si="4"/>
        <v>5.58</v>
      </c>
      <c r="F28" s="24">
        <f t="shared" si="0"/>
        <v>0</v>
      </c>
      <c r="G28" s="24">
        <f t="shared" si="5"/>
        <v>0</v>
      </c>
      <c r="H28" s="24">
        <f t="shared" si="6"/>
        <v>0</v>
      </c>
      <c r="I28" s="24">
        <f t="shared" si="7"/>
        <v>0</v>
      </c>
      <c r="J28" s="24">
        <f t="shared" si="1"/>
        <v>0</v>
      </c>
      <c r="K28" s="327">
        <f t="shared" si="8"/>
        <v>0</v>
      </c>
      <c r="L28" s="56">
        <f t="shared" si="9"/>
        <v>3456000</v>
      </c>
      <c r="M28" s="56">
        <f t="shared" si="10"/>
        <v>3456000</v>
      </c>
      <c r="N28" s="11">
        <f>IF(COUNTIF(InputOutputData!K$20,"Chlorine") = 1,'More accurate Energy (Solar)'!M28,L28+K28+I28)</f>
        <v>3456000</v>
      </c>
    </row>
    <row r="29" spans="1:21" ht="14.45">
      <c r="A29" s="24">
        <f>IF(InputOutputData!$E$36=1,'Rainfall Data'!C17,IF(InputOutputData!$E$36=2,'Rainfall Data'!D16,IF(InputOutputData!$E$36=3,'Rainfall Data'!E16,'Rainfall Data'!F16)))</f>
        <v>0.4</v>
      </c>
      <c r="B29" s="24">
        <f t="shared" si="2"/>
        <v>2.7777777777777776E-2</v>
      </c>
      <c r="C29" s="24">
        <f t="shared" si="3"/>
        <v>0.04</v>
      </c>
      <c r="D29" s="24">
        <f t="shared" si="11"/>
        <v>14</v>
      </c>
      <c r="E29" s="24">
        <f t="shared" si="4"/>
        <v>5.62</v>
      </c>
      <c r="F29" s="24">
        <f t="shared" si="0"/>
        <v>8436.6</v>
      </c>
      <c r="G29" s="24">
        <f t="shared" si="5"/>
        <v>8.0583980052267804E-3</v>
      </c>
      <c r="H29" s="24">
        <f t="shared" si="6"/>
        <v>1670662.5387756634</v>
      </c>
      <c r="I29" s="24">
        <f t="shared" si="7"/>
        <v>1815937.5421474602</v>
      </c>
      <c r="J29" s="24">
        <f t="shared" si="1"/>
        <v>0.2</v>
      </c>
      <c r="K29" s="327">
        <f t="shared" si="8"/>
        <v>400000</v>
      </c>
      <c r="L29" s="56">
        <f t="shared" si="9"/>
        <v>3456000</v>
      </c>
      <c r="M29" s="56">
        <f t="shared" si="10"/>
        <v>5271937.5421474604</v>
      </c>
      <c r="N29" s="11">
        <f>IF(COUNTIF(InputOutputData!K$20,"Chlorine") = 1,'More accurate Energy (Solar)'!M29,L29+K29+I29)</f>
        <v>5271937.5421474604</v>
      </c>
    </row>
    <row r="30" spans="1:21" ht="14.45">
      <c r="A30" s="24">
        <f>IF(InputOutputData!$E$36=1,'Rainfall Data'!C18,IF(InputOutputData!$E$36=2,'Rainfall Data'!D17,IF(InputOutputData!$E$36=3,'Rainfall Data'!E17,'Rainfall Data'!F17)))</f>
        <v>35.4</v>
      </c>
      <c r="B30" s="24">
        <f t="shared" si="2"/>
        <v>1.0416666666666667</v>
      </c>
      <c r="C30" s="24">
        <f t="shared" si="3"/>
        <v>1.5</v>
      </c>
      <c r="D30" s="24">
        <f t="shared" si="11"/>
        <v>15</v>
      </c>
      <c r="E30" s="24">
        <f t="shared" si="4"/>
        <v>7.12</v>
      </c>
      <c r="F30" s="24">
        <f t="shared" si="0"/>
        <v>316372.5</v>
      </c>
      <c r="G30" s="24">
        <f t="shared" si="5"/>
        <v>5.9272522795741148E-2</v>
      </c>
      <c r="H30" s="24">
        <f t="shared" si="6"/>
        <v>8517561.9968154822</v>
      </c>
      <c r="I30" s="24">
        <f t="shared" si="7"/>
        <v>9258219.5617559589</v>
      </c>
      <c r="J30" s="24">
        <f t="shared" si="1"/>
        <v>7.5</v>
      </c>
      <c r="K30" s="327">
        <f t="shared" si="8"/>
        <v>15000000</v>
      </c>
      <c r="L30" s="56">
        <f t="shared" si="9"/>
        <v>3456000</v>
      </c>
      <c r="M30" s="56">
        <f t="shared" si="10"/>
        <v>12714219.561755959</v>
      </c>
      <c r="N30" s="11">
        <f>IF(COUNTIF(InputOutputData!K$20,"Chlorine") = 1,'More accurate Energy (Solar)'!M30,L30+K30+I30)</f>
        <v>12714219.561755959</v>
      </c>
    </row>
    <row r="31" spans="1:21" ht="14.45">
      <c r="A31" s="24">
        <f>IF(InputOutputData!$E$36=1,'Rainfall Data'!C19,IF(InputOutputData!$E$36=2,'Rainfall Data'!D18,IF(InputOutputData!$E$36=3,'Rainfall Data'!E18,'Rainfall Data'!F18)))</f>
        <v>6</v>
      </c>
      <c r="B31" s="24">
        <f t="shared" si="2"/>
        <v>0.41666666666666669</v>
      </c>
      <c r="C31" s="24">
        <f t="shared" si="3"/>
        <v>0.6</v>
      </c>
      <c r="D31" s="24">
        <f t="shared" si="11"/>
        <v>16</v>
      </c>
      <c r="E31" s="24">
        <f t="shared" si="4"/>
        <v>7.72</v>
      </c>
      <c r="F31" s="24">
        <f t="shared" si="0"/>
        <v>126549</v>
      </c>
      <c r="G31" s="24">
        <f t="shared" si="5"/>
        <v>3.576343669814467E-2</v>
      </c>
      <c r="H31" s="24">
        <f t="shared" si="6"/>
        <v>5646631.6912610941</v>
      </c>
      <c r="I31" s="24">
        <f t="shared" si="7"/>
        <v>6137643.1426751018</v>
      </c>
      <c r="J31" s="24">
        <f t="shared" si="1"/>
        <v>3</v>
      </c>
      <c r="K31" s="327">
        <f t="shared" si="8"/>
        <v>6000000</v>
      </c>
      <c r="L31" s="56">
        <f t="shared" si="9"/>
        <v>3456000</v>
      </c>
      <c r="M31" s="56">
        <f t="shared" si="10"/>
        <v>9593643.1426751018</v>
      </c>
      <c r="N31" s="11">
        <f>IF(COUNTIF(InputOutputData!K$20,"Chlorine") = 1,'More accurate Energy (Solar)'!M31,L31+K31+I31)</f>
        <v>9593643.1426751018</v>
      </c>
    </row>
    <row r="32" spans="1:21" ht="14.45">
      <c r="A32" s="24">
        <f>IF(InputOutputData!$E$36=1,'Rainfall Data'!C20,IF(InputOutputData!$E$36=2,'Rainfall Data'!D19,IF(InputOutputData!$E$36=3,'Rainfall Data'!E19,'Rainfall Data'!F19)))</f>
        <v>20.399999999999999</v>
      </c>
      <c r="B32" s="24">
        <f t="shared" si="2"/>
        <v>1.0416666666666667</v>
      </c>
      <c r="C32" s="24">
        <f t="shared" si="3"/>
        <v>1.5</v>
      </c>
      <c r="D32" s="24">
        <f t="shared" si="11"/>
        <v>17</v>
      </c>
      <c r="E32" s="24">
        <f t="shared" si="4"/>
        <v>9.2199999999999989</v>
      </c>
      <c r="F32" s="24">
        <f t="shared" si="0"/>
        <v>316372.5</v>
      </c>
      <c r="G32" s="24">
        <f t="shared" si="5"/>
        <v>5.9272522795741148E-2</v>
      </c>
      <c r="H32" s="24">
        <f t="shared" si="6"/>
        <v>8517561.9968154822</v>
      </c>
      <c r="I32" s="24">
        <f t="shared" si="7"/>
        <v>9258219.5617559589</v>
      </c>
      <c r="J32" s="24">
        <f t="shared" si="1"/>
        <v>7.5</v>
      </c>
      <c r="K32" s="327">
        <f t="shared" si="8"/>
        <v>15000000</v>
      </c>
      <c r="L32" s="56">
        <f t="shared" si="9"/>
        <v>3456000</v>
      </c>
      <c r="M32" s="56">
        <f t="shared" si="10"/>
        <v>12714219.561755959</v>
      </c>
      <c r="N32" s="11">
        <f>IF(COUNTIF(InputOutputData!K$20,"Chlorine") = 1,'More accurate Energy (Solar)'!M32,L32+K32+I32)</f>
        <v>12714219.561755959</v>
      </c>
    </row>
    <row r="33" spans="1:14" ht="14.45">
      <c r="A33" s="24">
        <f>IF(InputOutputData!$E$36=1,'Rainfall Data'!C21,IF(InputOutputData!$E$36=2,'Rainfall Data'!D20,IF(InputOutputData!$E$36=3,'Rainfall Data'!E20,'Rainfall Data'!F20)))</f>
        <v>16.600000000000001</v>
      </c>
      <c r="B33" s="24">
        <f t="shared" si="2"/>
        <v>1.0416666666666667</v>
      </c>
      <c r="C33" s="24">
        <f t="shared" si="3"/>
        <v>1.5</v>
      </c>
      <c r="D33" s="24">
        <f t="shared" si="11"/>
        <v>18</v>
      </c>
      <c r="E33" s="24">
        <f t="shared" si="4"/>
        <v>10.719999999999999</v>
      </c>
      <c r="F33" s="24">
        <f t="shared" si="0"/>
        <v>316372.5</v>
      </c>
      <c r="G33" s="24">
        <f t="shared" si="5"/>
        <v>5.9272522795741148E-2</v>
      </c>
      <c r="H33" s="24">
        <f t="shared" si="6"/>
        <v>8517561.9968154822</v>
      </c>
      <c r="I33" s="24">
        <f t="shared" si="7"/>
        <v>9258219.5617559589</v>
      </c>
      <c r="J33" s="24">
        <f t="shared" si="1"/>
        <v>7.5</v>
      </c>
      <c r="K33" s="327">
        <f t="shared" si="8"/>
        <v>15000000</v>
      </c>
      <c r="L33" s="56">
        <f t="shared" si="9"/>
        <v>3456000</v>
      </c>
      <c r="M33" s="56">
        <f t="shared" si="10"/>
        <v>12714219.561755959</v>
      </c>
      <c r="N33" s="11">
        <f>IF(COUNTIF(InputOutputData!K$20,"Chlorine") = 1,'More accurate Energy (Solar)'!M33,L33+K33+I33)</f>
        <v>12714219.561755959</v>
      </c>
    </row>
    <row r="34" spans="1:14" ht="14.45">
      <c r="A34" s="24">
        <f>IF(InputOutputData!$E$36=1,'Rainfall Data'!C22,IF(InputOutputData!$E$36=2,'Rainfall Data'!D21,IF(InputOutputData!$E$36=3,'Rainfall Data'!E21,'Rainfall Data'!F21)))</f>
        <v>2.6</v>
      </c>
      <c r="B34" s="24">
        <f t="shared" si="2"/>
        <v>0.18055555555555555</v>
      </c>
      <c r="C34" s="24">
        <f t="shared" si="3"/>
        <v>0.26</v>
      </c>
      <c r="D34" s="24">
        <f t="shared" si="11"/>
        <v>19</v>
      </c>
      <c r="E34" s="24">
        <f t="shared" si="4"/>
        <v>10.979999999999999</v>
      </c>
      <c r="F34" s="24">
        <f t="shared" si="0"/>
        <v>54837.9</v>
      </c>
      <c r="G34" s="24">
        <f t="shared" si="5"/>
        <v>2.2567567437152845E-2</v>
      </c>
      <c r="H34" s="24">
        <f t="shared" si="6"/>
        <v>3877627.2231332762</v>
      </c>
      <c r="I34" s="24">
        <f t="shared" si="7"/>
        <v>4214812.1990579087</v>
      </c>
      <c r="J34" s="24">
        <f t="shared" si="1"/>
        <v>1.3</v>
      </c>
      <c r="K34" s="327">
        <f t="shared" si="8"/>
        <v>2600000</v>
      </c>
      <c r="L34" s="56">
        <f t="shared" si="9"/>
        <v>3456000</v>
      </c>
      <c r="M34" s="56">
        <f t="shared" si="10"/>
        <v>7670812.1990579087</v>
      </c>
      <c r="N34" s="11">
        <f>IF(COUNTIF(InputOutputData!K$20,"Chlorine") = 1,'More accurate Energy (Solar)'!M34,L34+K34+I34)</f>
        <v>7670812.1990579087</v>
      </c>
    </row>
    <row r="35" spans="1:14" ht="14.45">
      <c r="A35" s="24">
        <f>IF(InputOutputData!$E$36=1,'Rainfall Data'!C23,IF(InputOutputData!$E$36=2,'Rainfall Data'!D22,IF(InputOutputData!$E$36=3,'Rainfall Data'!E22,'Rainfall Data'!F22)))</f>
        <v>0.4</v>
      </c>
      <c r="B35" s="24">
        <f t="shared" si="2"/>
        <v>2.7777777777777776E-2</v>
      </c>
      <c r="C35" s="24">
        <f t="shared" si="3"/>
        <v>0.04</v>
      </c>
      <c r="D35" s="24">
        <f t="shared" si="11"/>
        <v>20</v>
      </c>
      <c r="E35" s="24">
        <f t="shared" si="4"/>
        <v>11.019999999999998</v>
      </c>
      <c r="F35" s="24">
        <f t="shared" si="0"/>
        <v>8436.6</v>
      </c>
      <c r="G35" s="24">
        <f t="shared" si="5"/>
        <v>8.0583980052267804E-3</v>
      </c>
      <c r="H35" s="24">
        <f t="shared" si="6"/>
        <v>1670662.5387756634</v>
      </c>
      <c r="I35" s="24">
        <f t="shared" si="7"/>
        <v>1815937.5421474602</v>
      </c>
      <c r="J35" s="24">
        <f t="shared" si="1"/>
        <v>0.2</v>
      </c>
      <c r="K35" s="327">
        <f t="shared" si="8"/>
        <v>400000</v>
      </c>
      <c r="L35" s="56">
        <f t="shared" si="9"/>
        <v>3456000</v>
      </c>
      <c r="M35" s="56">
        <f t="shared" si="10"/>
        <v>5271937.5421474604</v>
      </c>
      <c r="N35" s="11">
        <f>IF(COUNTIF(InputOutputData!K$20,"Chlorine") = 1,'More accurate Energy (Solar)'!M35,L35+K35+I35)</f>
        <v>5271937.5421474604</v>
      </c>
    </row>
    <row r="36" spans="1:14" ht="14.45">
      <c r="A36" s="24">
        <f>IF(InputOutputData!$E$36=1,'Rainfall Data'!C24,IF(InputOutputData!$E$36=2,'Rainfall Data'!D23,IF(InputOutputData!$E$36=3,'Rainfall Data'!E23,'Rainfall Data'!F23)))</f>
        <v>18.399999999999999</v>
      </c>
      <c r="B36" s="24">
        <f t="shared" si="2"/>
        <v>1.0416666666666667</v>
      </c>
      <c r="C36" s="24">
        <f t="shared" si="3"/>
        <v>1.5</v>
      </c>
      <c r="D36" s="24">
        <f t="shared" si="11"/>
        <v>21</v>
      </c>
      <c r="E36" s="24">
        <f t="shared" si="4"/>
        <v>12.519999999999998</v>
      </c>
      <c r="F36" s="24">
        <f t="shared" si="0"/>
        <v>316372.5</v>
      </c>
      <c r="G36" s="24">
        <f t="shared" si="5"/>
        <v>5.9272522795741148E-2</v>
      </c>
      <c r="H36" s="24">
        <f t="shared" si="6"/>
        <v>8517561.9968154822</v>
      </c>
      <c r="I36" s="24">
        <f t="shared" si="7"/>
        <v>9258219.5617559589</v>
      </c>
      <c r="J36" s="24">
        <f t="shared" si="1"/>
        <v>7.5</v>
      </c>
      <c r="K36" s="327">
        <f t="shared" si="8"/>
        <v>15000000</v>
      </c>
      <c r="L36" s="56">
        <f t="shared" si="9"/>
        <v>3456000</v>
      </c>
      <c r="M36" s="56">
        <f t="shared" si="10"/>
        <v>12714219.561755959</v>
      </c>
      <c r="N36" s="11">
        <f>IF(COUNTIF(InputOutputData!K$20,"Chlorine") = 1,'More accurate Energy (Solar)'!M36,L36+K36+I36)</f>
        <v>12714219.561755959</v>
      </c>
    </row>
    <row r="37" spans="1:14" ht="14.45">
      <c r="A37" s="24">
        <f>IF(InputOutputData!$E$36=1,'Rainfall Data'!C25,IF(InputOutputData!$E$36=2,'Rainfall Data'!D24,IF(InputOutputData!$E$36=3,'Rainfall Data'!E24,'Rainfall Data'!F24)))</f>
        <v>14</v>
      </c>
      <c r="B37" s="24">
        <f t="shared" si="2"/>
        <v>0.97222222222222221</v>
      </c>
      <c r="C37" s="24">
        <f t="shared" si="3"/>
        <v>1.4000000000000001</v>
      </c>
      <c r="D37" s="24">
        <f t="shared" si="11"/>
        <v>22</v>
      </c>
      <c r="E37" s="24">
        <f t="shared" si="4"/>
        <v>13.919999999999998</v>
      </c>
      <c r="F37" s="24">
        <f t="shared" si="0"/>
        <v>295281.00000000006</v>
      </c>
      <c r="G37" s="24">
        <f t="shared" si="5"/>
        <v>5.70575130409295E-2</v>
      </c>
      <c r="H37" s="24">
        <f t="shared" si="6"/>
        <v>8258338.0055082729</v>
      </c>
      <c r="I37" s="24">
        <f t="shared" si="7"/>
        <v>8976454.353813339</v>
      </c>
      <c r="J37" s="24">
        <f t="shared" si="1"/>
        <v>7.0000000000000009</v>
      </c>
      <c r="K37" s="327">
        <f t="shared" si="8"/>
        <v>14000000.000000002</v>
      </c>
      <c r="L37" s="56">
        <f t="shared" si="9"/>
        <v>3456000</v>
      </c>
      <c r="M37" s="56">
        <f t="shared" si="10"/>
        <v>12432454.353813339</v>
      </c>
      <c r="N37" s="11">
        <f>IF(COUNTIF(InputOutputData!K$20,"Chlorine") = 1,'More accurate Energy (Solar)'!M37,L37+K37+I37)</f>
        <v>12432454.353813339</v>
      </c>
    </row>
    <row r="38" spans="1:14" ht="14.45">
      <c r="A38" s="24">
        <f>IF(InputOutputData!$E$36=1,'Rainfall Data'!C26,IF(InputOutputData!$E$36=2,'Rainfall Data'!D25,IF(InputOutputData!$E$36=3,'Rainfall Data'!E25,'Rainfall Data'!F25)))</f>
        <v>90.8</v>
      </c>
      <c r="B38" s="24">
        <f t="shared" si="2"/>
        <v>1.0416666666666667</v>
      </c>
      <c r="C38" s="24">
        <f t="shared" si="3"/>
        <v>1.5</v>
      </c>
      <c r="D38" s="24">
        <f t="shared" si="11"/>
        <v>23</v>
      </c>
      <c r="E38" s="24">
        <f t="shared" si="4"/>
        <v>15.419999999999998</v>
      </c>
      <c r="F38" s="24">
        <f t="shared" si="0"/>
        <v>316372.5</v>
      </c>
      <c r="G38" s="24">
        <f t="shared" si="5"/>
        <v>5.9272522795741148E-2</v>
      </c>
      <c r="H38" s="24">
        <f t="shared" si="6"/>
        <v>8517561.9968154822</v>
      </c>
      <c r="I38" s="24">
        <f t="shared" si="7"/>
        <v>9258219.5617559589</v>
      </c>
      <c r="J38" s="24">
        <f t="shared" si="1"/>
        <v>7.5</v>
      </c>
      <c r="K38" s="327">
        <f t="shared" si="8"/>
        <v>15000000</v>
      </c>
      <c r="L38" s="56">
        <f t="shared" si="9"/>
        <v>3456000</v>
      </c>
      <c r="M38" s="56">
        <f t="shared" si="10"/>
        <v>12714219.561755959</v>
      </c>
      <c r="N38" s="11">
        <f>IF(COUNTIF(InputOutputData!K$20,"Chlorine") = 1,'More accurate Energy (Solar)'!M38,L38+K38+I38)</f>
        <v>12714219.561755959</v>
      </c>
    </row>
    <row r="39" spans="1:14" ht="14.45">
      <c r="A39" s="24">
        <f>IF(InputOutputData!$E$36=1,'Rainfall Data'!C27,IF(InputOutputData!$E$36=2,'Rainfall Data'!D26,IF(InputOutputData!$E$36=3,'Rainfall Data'!E26,'Rainfall Data'!F26)))</f>
        <v>40</v>
      </c>
      <c r="B39" s="24">
        <f t="shared" si="2"/>
        <v>1.0416666666666667</v>
      </c>
      <c r="C39" s="24">
        <f t="shared" si="3"/>
        <v>1.5</v>
      </c>
      <c r="D39" s="24">
        <f t="shared" si="11"/>
        <v>24</v>
      </c>
      <c r="E39" s="24">
        <f t="shared" si="4"/>
        <v>16.919999999999998</v>
      </c>
      <c r="F39" s="24">
        <f t="shared" si="0"/>
        <v>316372.5</v>
      </c>
      <c r="G39" s="24">
        <f t="shared" si="5"/>
        <v>5.9272522795741148E-2</v>
      </c>
      <c r="H39" s="24">
        <f t="shared" si="6"/>
        <v>8517561.9968154822</v>
      </c>
      <c r="I39" s="24">
        <f t="shared" si="7"/>
        <v>9258219.5617559589</v>
      </c>
      <c r="J39" s="24">
        <f t="shared" si="1"/>
        <v>7.5</v>
      </c>
      <c r="K39" s="327">
        <f t="shared" si="8"/>
        <v>15000000</v>
      </c>
      <c r="L39" s="56">
        <f t="shared" si="9"/>
        <v>3456000</v>
      </c>
      <c r="M39" s="56">
        <f t="shared" si="10"/>
        <v>12714219.561755959</v>
      </c>
      <c r="N39" s="11">
        <f>IF(COUNTIF(InputOutputData!K$20,"Chlorine") = 1,'More accurate Energy (Solar)'!M39,L39+K39+I39)</f>
        <v>12714219.561755959</v>
      </c>
    </row>
    <row r="40" spans="1:14" ht="14.45">
      <c r="A40" s="24">
        <f>IF(InputOutputData!$E$36=1,'Rainfall Data'!C28,IF(InputOutputData!$E$36=2,'Rainfall Data'!D27,IF(InputOutputData!$E$36=3,'Rainfall Data'!E27,'Rainfall Data'!F27)))</f>
        <v>1.8</v>
      </c>
      <c r="B40" s="24">
        <f t="shared" si="2"/>
        <v>0.125</v>
      </c>
      <c r="C40" s="24">
        <f t="shared" si="3"/>
        <v>0.18</v>
      </c>
      <c r="D40" s="24">
        <f t="shared" si="11"/>
        <v>25</v>
      </c>
      <c r="E40" s="24">
        <f t="shared" si="4"/>
        <v>17.099999999999998</v>
      </c>
      <c r="F40" s="24">
        <f t="shared" si="0"/>
        <v>37964.700000000004</v>
      </c>
      <c r="G40" s="24">
        <f t="shared" si="5"/>
        <v>1.843319716624707E-2</v>
      </c>
      <c r="H40" s="24">
        <f t="shared" si="6"/>
        <v>3286618.4833838325</v>
      </c>
      <c r="I40" s="24">
        <f t="shared" si="7"/>
        <v>3572411.3949824264</v>
      </c>
      <c r="J40" s="24">
        <f t="shared" si="1"/>
        <v>0.89999999999999991</v>
      </c>
      <c r="K40" s="327">
        <f t="shared" si="8"/>
        <v>1799999.9999999998</v>
      </c>
      <c r="L40" s="56">
        <f t="shared" si="9"/>
        <v>3456000</v>
      </c>
      <c r="M40" s="56">
        <f t="shared" si="10"/>
        <v>7028411.3949824264</v>
      </c>
      <c r="N40" s="11">
        <f>IF(COUNTIF(InputOutputData!K$20,"Chlorine") = 1,'More accurate Energy (Solar)'!M40,L40+K40+I40)</f>
        <v>7028411.3949824264</v>
      </c>
    </row>
    <row r="41" spans="1:14" ht="14.45">
      <c r="A41" s="24">
        <f>IF(InputOutputData!$E$36=1,'Rainfall Data'!C29,IF(InputOutputData!$E$36=2,'Rainfall Data'!D28,IF(InputOutputData!$E$36=3,'Rainfall Data'!E28,'Rainfall Data'!F28)))</f>
        <v>2.8</v>
      </c>
      <c r="B41" s="24">
        <f t="shared" si="2"/>
        <v>0.19444444444444442</v>
      </c>
      <c r="C41" s="24">
        <f t="shared" si="3"/>
        <v>0.27999999999999997</v>
      </c>
      <c r="D41" s="24">
        <f t="shared" si="11"/>
        <v>26</v>
      </c>
      <c r="E41" s="24">
        <f t="shared" si="4"/>
        <v>17.38</v>
      </c>
      <c r="F41" s="24">
        <f t="shared" si="0"/>
        <v>59056.2</v>
      </c>
      <c r="G41" s="24">
        <f t="shared" si="5"/>
        <v>2.3507068854835791E-2</v>
      </c>
      <c r="H41" s="24">
        <f t="shared" si="6"/>
        <v>4009008.7909770021</v>
      </c>
      <c r="I41" s="24">
        <f t="shared" si="7"/>
        <v>4357618.2510619583</v>
      </c>
      <c r="J41" s="24">
        <f t="shared" si="1"/>
        <v>1.4</v>
      </c>
      <c r="K41" s="327">
        <f t="shared" si="8"/>
        <v>2800000</v>
      </c>
      <c r="L41" s="56">
        <f t="shared" si="9"/>
        <v>3456000</v>
      </c>
      <c r="M41" s="56">
        <f t="shared" si="10"/>
        <v>7813618.2510619583</v>
      </c>
      <c r="N41" s="11">
        <f>IF(COUNTIF(InputOutputData!K$20,"Chlorine") = 1,'More accurate Energy (Solar)'!M41,L41+K41+I41)</f>
        <v>7813618.2510619583</v>
      </c>
    </row>
    <row r="42" spans="1:14" ht="14.45">
      <c r="A42" s="24">
        <f>IF(InputOutputData!$E$36=1,'Rainfall Data'!C30,IF(InputOutputData!$E$36=2,'Rainfall Data'!D29,IF(InputOutputData!$E$36=3,'Rainfall Data'!E29,'Rainfall Data'!F29)))</f>
        <v>2.8</v>
      </c>
      <c r="B42" s="24">
        <f t="shared" si="2"/>
        <v>0.19444444444444442</v>
      </c>
      <c r="C42" s="24">
        <f t="shared" si="3"/>
        <v>0.27999999999999997</v>
      </c>
      <c r="D42" s="24">
        <f t="shared" si="11"/>
        <v>27</v>
      </c>
      <c r="E42" s="24">
        <f t="shared" si="4"/>
        <v>17.66</v>
      </c>
      <c r="F42" s="24">
        <f t="shared" si="0"/>
        <v>59056.2</v>
      </c>
      <c r="G42" s="24">
        <f t="shared" si="5"/>
        <v>2.3507068854835791E-2</v>
      </c>
      <c r="H42" s="24">
        <f t="shared" si="6"/>
        <v>4009008.7909770021</v>
      </c>
      <c r="I42" s="24">
        <f t="shared" si="7"/>
        <v>4357618.2510619583</v>
      </c>
      <c r="J42" s="24">
        <f t="shared" si="1"/>
        <v>1.4</v>
      </c>
      <c r="K42" s="327">
        <f t="shared" si="8"/>
        <v>2800000</v>
      </c>
      <c r="L42" s="56">
        <f t="shared" si="9"/>
        <v>3456000</v>
      </c>
      <c r="M42" s="56">
        <f t="shared" si="10"/>
        <v>7813618.2510619583</v>
      </c>
      <c r="N42" s="11">
        <f>IF(COUNTIF(InputOutputData!K$20,"Chlorine") = 1,'More accurate Energy (Solar)'!M42,L42+K42+I42)</f>
        <v>7813618.2510619583</v>
      </c>
    </row>
    <row r="43" spans="1:14" ht="14.45">
      <c r="A43" s="24">
        <f>IF(InputOutputData!$E$36=1,'Rainfall Data'!C31,IF(InputOutputData!$E$36=2,'Rainfall Data'!D30,IF(InputOutputData!$E$36=3,'Rainfall Data'!E30,'Rainfall Data'!F30)))</f>
        <v>0</v>
      </c>
      <c r="B43" s="24">
        <f t="shared" si="2"/>
        <v>0</v>
      </c>
      <c r="C43" s="24">
        <f t="shared" si="3"/>
        <v>0</v>
      </c>
      <c r="D43" s="24">
        <f t="shared" si="11"/>
        <v>28</v>
      </c>
      <c r="E43" s="24">
        <f t="shared" si="4"/>
        <v>17.66</v>
      </c>
      <c r="F43" s="24">
        <f t="shared" si="0"/>
        <v>0</v>
      </c>
      <c r="G43" s="24">
        <f t="shared" si="5"/>
        <v>0</v>
      </c>
      <c r="H43" s="24">
        <f t="shared" si="6"/>
        <v>0</v>
      </c>
      <c r="I43" s="24">
        <f t="shared" si="7"/>
        <v>0</v>
      </c>
      <c r="J43" s="24">
        <f t="shared" si="1"/>
        <v>0</v>
      </c>
      <c r="K43" s="327">
        <f t="shared" si="8"/>
        <v>0</v>
      </c>
      <c r="L43" s="56">
        <f t="shared" si="9"/>
        <v>3456000</v>
      </c>
      <c r="M43" s="56">
        <f t="shared" si="10"/>
        <v>3456000</v>
      </c>
      <c r="N43" s="11">
        <f>IF(COUNTIF(InputOutputData!K$20,"Chlorine") = 1,'More accurate Energy (Solar)'!M43,L43+K43+I43)</f>
        <v>3456000</v>
      </c>
    </row>
    <row r="44" spans="1:14" ht="14.45">
      <c r="A44" s="24">
        <f>IF(InputOutputData!$E$36=1,'Rainfall Data'!C32,IF(InputOutputData!$E$36=2,'Rainfall Data'!D31,IF(InputOutputData!$E$36=3,'Rainfall Data'!E31,'Rainfall Data'!F31)))</f>
        <v>0</v>
      </c>
      <c r="B44" s="24">
        <f t="shared" si="2"/>
        <v>0</v>
      </c>
      <c r="C44" s="24">
        <f t="shared" si="3"/>
        <v>0</v>
      </c>
      <c r="D44" s="24">
        <f t="shared" si="11"/>
        <v>29</v>
      </c>
      <c r="E44" s="24">
        <f t="shared" si="4"/>
        <v>17.66</v>
      </c>
      <c r="F44" s="24">
        <f t="shared" si="0"/>
        <v>0</v>
      </c>
      <c r="G44" s="24">
        <f t="shared" si="5"/>
        <v>0</v>
      </c>
      <c r="H44" s="24">
        <f t="shared" si="6"/>
        <v>0</v>
      </c>
      <c r="I44" s="24">
        <f t="shared" si="7"/>
        <v>0</v>
      </c>
      <c r="J44" s="24">
        <f t="shared" si="1"/>
        <v>0</v>
      </c>
      <c r="K44" s="327">
        <f t="shared" si="8"/>
        <v>0</v>
      </c>
      <c r="L44" s="56">
        <f t="shared" si="9"/>
        <v>3456000</v>
      </c>
      <c r="M44" s="56">
        <f t="shared" si="10"/>
        <v>3456000</v>
      </c>
      <c r="N44" s="11">
        <f>IF(COUNTIF(InputOutputData!K$20,"Chlorine") = 1,'More accurate Energy (Solar)'!M44,L44+K44+I44)</f>
        <v>3456000</v>
      </c>
    </row>
    <row r="45" spans="1:14" ht="14.45">
      <c r="A45" s="24">
        <f>IF(InputOutputData!$E$36=1,'Rainfall Data'!C33,IF(InputOutputData!$E$36=2,'Rainfall Data'!D32,IF(InputOutputData!$E$36=3,'Rainfall Data'!E32,'Rainfall Data'!F32)))</f>
        <v>0.6</v>
      </c>
      <c r="B45" s="24">
        <f t="shared" si="2"/>
        <v>4.1666666666666664E-2</v>
      </c>
      <c r="C45" s="24">
        <f t="shared" si="3"/>
        <v>0.06</v>
      </c>
      <c r="D45" s="24">
        <f t="shared" si="11"/>
        <v>30</v>
      </c>
      <c r="E45" s="24">
        <f t="shared" si="4"/>
        <v>17.72</v>
      </c>
      <c r="F45" s="24">
        <f t="shared" si="0"/>
        <v>12654.9</v>
      </c>
      <c r="G45" s="24">
        <f t="shared" si="5"/>
        <v>1.0071891960946849E-2</v>
      </c>
      <c r="H45" s="24">
        <f t="shared" si="6"/>
        <v>2005015.1037280308</v>
      </c>
      <c r="I45" s="24">
        <f t="shared" si="7"/>
        <v>2179364.2431826419</v>
      </c>
      <c r="J45" s="24">
        <f t="shared" si="1"/>
        <v>0.3</v>
      </c>
      <c r="K45" s="327">
        <f t="shared" si="8"/>
        <v>600000</v>
      </c>
      <c r="L45" s="56">
        <f t="shared" si="9"/>
        <v>3456000</v>
      </c>
      <c r="M45" s="56">
        <f t="shared" si="10"/>
        <v>5635364.2431826424</v>
      </c>
      <c r="N45" s="11">
        <f>IF(COUNTIF(InputOutputData!K$20,"Chlorine") = 1,'More accurate Energy (Solar)'!M45,L45+K45+I45)</f>
        <v>5635364.2431826424</v>
      </c>
    </row>
    <row r="46" spans="1:14" ht="14.45">
      <c r="A46" s="24">
        <f>IF(InputOutputData!$E$36=1,'Rainfall Data'!C34,IF(InputOutputData!$E$36=2,'Rainfall Data'!D33,IF(InputOutputData!$E$36=3,'Rainfall Data'!E33,'Rainfall Data'!F33)))</f>
        <v>5.8</v>
      </c>
      <c r="B46" s="24">
        <f t="shared" si="2"/>
        <v>0.40277777777777773</v>
      </c>
      <c r="C46" s="24">
        <f t="shared" si="3"/>
        <v>0.57999999999999996</v>
      </c>
      <c r="D46" s="24">
        <f t="shared" si="11"/>
        <v>31</v>
      </c>
      <c r="E46" s="24">
        <f t="shared" si="4"/>
        <v>18.299999999999997</v>
      </c>
      <c r="F46" s="24">
        <f t="shared" si="0"/>
        <v>122330.7</v>
      </c>
      <c r="G46" s="24">
        <f t="shared" si="5"/>
        <v>3.5101792730858464E-2</v>
      </c>
      <c r="H46" s="24">
        <f t="shared" si="6"/>
        <v>5561297.814900551</v>
      </c>
      <c r="I46" s="24">
        <f t="shared" si="7"/>
        <v>6044888.9292397294</v>
      </c>
      <c r="J46" s="24">
        <f t="shared" si="1"/>
        <v>2.9</v>
      </c>
      <c r="K46" s="327">
        <f t="shared" si="8"/>
        <v>5800000</v>
      </c>
      <c r="L46" s="56">
        <f t="shared" si="9"/>
        <v>3456000</v>
      </c>
      <c r="M46" s="56">
        <f t="shared" si="10"/>
        <v>9500888.9292397294</v>
      </c>
      <c r="N46" s="11">
        <f>IF(COUNTIF(InputOutputData!K$20,"Chlorine") = 1,'More accurate Energy (Solar)'!M46,L46+K46+I46)</f>
        <v>9500888.9292397294</v>
      </c>
    </row>
    <row r="47" spans="1:14" ht="14.45">
      <c r="A47" s="24">
        <f>IF(InputOutputData!$E$36=1,'Rainfall Data'!C35,IF(InputOutputData!$E$36=2,'Rainfall Data'!D34,IF(InputOutputData!$E$36=3,'Rainfall Data'!E34,'Rainfall Data'!F34)))</f>
        <v>8</v>
      </c>
      <c r="B47" s="24">
        <f t="shared" si="2"/>
        <v>0.55555555555555558</v>
      </c>
      <c r="C47" s="24">
        <f t="shared" si="3"/>
        <v>0.8</v>
      </c>
      <c r="D47" s="24">
        <f t="shared" si="11"/>
        <v>32</v>
      </c>
      <c r="E47" s="24">
        <f t="shared" si="4"/>
        <v>18.667999999999996</v>
      </c>
      <c r="F47" s="24">
        <f t="shared" si="0"/>
        <v>168732</v>
      </c>
      <c r="G47" s="24">
        <f t="shared" si="5"/>
        <v>4.1906088731039438E-2</v>
      </c>
      <c r="H47" s="24">
        <f t="shared" si="6"/>
        <v>6425254.2184425332</v>
      </c>
      <c r="I47" s="24">
        <f t="shared" si="7"/>
        <v>6983971.9765679706</v>
      </c>
      <c r="J47" s="24">
        <f t="shared" si="1"/>
        <v>4</v>
      </c>
      <c r="K47" s="327">
        <f t="shared" si="8"/>
        <v>8000000</v>
      </c>
      <c r="L47" s="56">
        <f t="shared" si="9"/>
        <v>3456000</v>
      </c>
      <c r="M47" s="56">
        <f t="shared" si="10"/>
        <v>10439971.976567971</v>
      </c>
      <c r="N47" s="11">
        <f>IF(COUNTIF(InputOutputData!K$20,"Chlorine") = 1,'More accurate Energy (Solar)'!M47,L47+K47+I47)</f>
        <v>10439971.976567971</v>
      </c>
    </row>
    <row r="48" spans="1:14" ht="14.45">
      <c r="A48" s="24">
        <f>IF(InputOutputData!$E$36=1,'Rainfall Data'!C36,IF(InputOutputData!$E$36=2,'Rainfall Data'!D35,IF(InputOutputData!$E$36=3,'Rainfall Data'!E35,'Rainfall Data'!F35)))</f>
        <v>27</v>
      </c>
      <c r="B48" s="24">
        <f t="shared" si="2"/>
        <v>1.0416666666666667</v>
      </c>
      <c r="C48" s="24">
        <f t="shared" si="3"/>
        <v>1.5</v>
      </c>
      <c r="D48" s="24">
        <f t="shared" si="11"/>
        <v>33</v>
      </c>
      <c r="E48" s="24">
        <f t="shared" si="4"/>
        <v>19.735999999999997</v>
      </c>
      <c r="F48" s="24">
        <f t="shared" si="0"/>
        <v>316372.5</v>
      </c>
      <c r="G48" s="24">
        <f t="shared" si="5"/>
        <v>5.9272522795741148E-2</v>
      </c>
      <c r="H48" s="24">
        <f t="shared" si="6"/>
        <v>8517561.9968154822</v>
      </c>
      <c r="I48" s="24">
        <f t="shared" si="7"/>
        <v>9258219.5617559589</v>
      </c>
      <c r="J48" s="24">
        <f t="shared" si="1"/>
        <v>7.5</v>
      </c>
      <c r="K48" s="327">
        <f t="shared" si="8"/>
        <v>15000000</v>
      </c>
      <c r="L48" s="56">
        <f t="shared" si="9"/>
        <v>3456000</v>
      </c>
      <c r="M48" s="56">
        <f t="shared" si="10"/>
        <v>12714219.561755959</v>
      </c>
      <c r="N48" s="11">
        <f>IF(COUNTIF(InputOutputData!K$20,"Chlorine") = 1,'More accurate Energy (Solar)'!M48,L48+K48+I48)</f>
        <v>12714219.561755959</v>
      </c>
    </row>
    <row r="49" spans="1:14" ht="14.45">
      <c r="A49" s="24">
        <f>IF(InputOutputData!$E$36=1,'Rainfall Data'!C37,IF(InputOutputData!$E$36=2,'Rainfall Data'!D36,IF(InputOutputData!$E$36=3,'Rainfall Data'!E36,'Rainfall Data'!F36)))</f>
        <v>0.6</v>
      </c>
      <c r="B49" s="24">
        <f t="shared" si="2"/>
        <v>4.1666666666666664E-2</v>
      </c>
      <c r="C49" s="24">
        <f t="shared" si="3"/>
        <v>0.06</v>
      </c>
      <c r="D49" s="24">
        <f t="shared" si="11"/>
        <v>34</v>
      </c>
      <c r="E49" s="24">
        <f t="shared" si="4"/>
        <v>19.363999999999997</v>
      </c>
      <c r="F49" s="24">
        <f t="shared" si="0"/>
        <v>12654.9</v>
      </c>
      <c r="G49" s="24">
        <f t="shared" si="5"/>
        <v>1.0071891960946849E-2</v>
      </c>
      <c r="H49" s="24">
        <f t="shared" si="6"/>
        <v>2005015.1037280308</v>
      </c>
      <c r="I49" s="24">
        <f t="shared" si="7"/>
        <v>2179364.2431826419</v>
      </c>
      <c r="J49" s="24">
        <f t="shared" si="1"/>
        <v>0.3</v>
      </c>
      <c r="K49" s="327">
        <f t="shared" si="8"/>
        <v>600000</v>
      </c>
      <c r="L49" s="56">
        <f t="shared" si="9"/>
        <v>3456000</v>
      </c>
      <c r="M49" s="56">
        <f t="shared" si="10"/>
        <v>5635364.2431826424</v>
      </c>
      <c r="N49" s="11">
        <f>IF(COUNTIF(InputOutputData!K$20,"Chlorine") = 1,'More accurate Energy (Solar)'!M49,L49+K49+I49)</f>
        <v>5635364.2431826424</v>
      </c>
    </row>
    <row r="50" spans="1:14" ht="14.45">
      <c r="A50" s="24">
        <f>IF(InputOutputData!$E$36=1,'Rainfall Data'!C38,IF(InputOutputData!$E$36=2,'Rainfall Data'!D37,IF(InputOutputData!$E$36=3,'Rainfall Data'!E37,'Rainfall Data'!F37)))</f>
        <v>36</v>
      </c>
      <c r="B50" s="24">
        <f t="shared" si="2"/>
        <v>1.0416666666666667</v>
      </c>
      <c r="C50" s="24">
        <f t="shared" si="3"/>
        <v>1.5</v>
      </c>
      <c r="D50" s="24">
        <f t="shared" si="11"/>
        <v>35</v>
      </c>
      <c r="E50" s="24">
        <f t="shared" si="4"/>
        <v>20.431999999999999</v>
      </c>
      <c r="F50" s="24">
        <f t="shared" si="0"/>
        <v>316372.5</v>
      </c>
      <c r="G50" s="24">
        <f t="shared" si="5"/>
        <v>5.9272522795741148E-2</v>
      </c>
      <c r="H50" s="24">
        <f t="shared" si="6"/>
        <v>8517561.9968154822</v>
      </c>
      <c r="I50" s="24">
        <f t="shared" si="7"/>
        <v>9258219.5617559589</v>
      </c>
      <c r="J50" s="24">
        <f t="shared" si="1"/>
        <v>7.5</v>
      </c>
      <c r="K50" s="327">
        <f t="shared" si="8"/>
        <v>15000000</v>
      </c>
      <c r="L50" s="56">
        <f t="shared" si="9"/>
        <v>3456000</v>
      </c>
      <c r="M50" s="56">
        <f t="shared" si="10"/>
        <v>12714219.561755959</v>
      </c>
      <c r="N50" s="11">
        <f>IF(COUNTIF(InputOutputData!K$20,"Chlorine") = 1,'More accurate Energy (Solar)'!M50,L50+K50+I50)</f>
        <v>12714219.561755959</v>
      </c>
    </row>
    <row r="51" spans="1:14" ht="14.45">
      <c r="A51" s="24">
        <f>IF(InputOutputData!$E$36=1,'Rainfall Data'!C39,IF(InputOutputData!$E$36=2,'Rainfall Data'!D38,IF(InputOutputData!$E$36=3,'Rainfall Data'!E38,'Rainfall Data'!F38)))</f>
        <v>27.2</v>
      </c>
      <c r="B51" s="24">
        <f t="shared" si="2"/>
        <v>1.0416666666666667</v>
      </c>
      <c r="C51" s="24">
        <f t="shared" si="3"/>
        <v>1.5</v>
      </c>
      <c r="D51" s="24">
        <f t="shared" si="11"/>
        <v>36</v>
      </c>
      <c r="E51" s="24">
        <f t="shared" si="4"/>
        <v>21.5</v>
      </c>
      <c r="F51" s="24">
        <f t="shared" si="0"/>
        <v>316372.5</v>
      </c>
      <c r="G51" s="24">
        <f t="shared" si="5"/>
        <v>5.9272522795741148E-2</v>
      </c>
      <c r="H51" s="24">
        <f t="shared" si="6"/>
        <v>8517561.9968154822</v>
      </c>
      <c r="I51" s="24">
        <f t="shared" si="7"/>
        <v>9258219.5617559589</v>
      </c>
      <c r="J51" s="24">
        <f t="shared" si="1"/>
        <v>7.5</v>
      </c>
      <c r="K51" s="327">
        <f t="shared" si="8"/>
        <v>15000000</v>
      </c>
      <c r="L51" s="56">
        <f t="shared" si="9"/>
        <v>3456000</v>
      </c>
      <c r="M51" s="56">
        <f t="shared" si="10"/>
        <v>12714219.561755959</v>
      </c>
      <c r="N51" s="11">
        <f>IF(COUNTIF(InputOutputData!K$20,"Chlorine") = 1,'More accurate Energy (Solar)'!M51,L51+K51+I51)</f>
        <v>12714219.561755959</v>
      </c>
    </row>
    <row r="52" spans="1:14" ht="14.45">
      <c r="A52" s="24">
        <f>IF(InputOutputData!$E$36=1,'Rainfall Data'!C40,IF(InputOutputData!$E$36=2,'Rainfall Data'!D39,IF(InputOutputData!$E$36=3,'Rainfall Data'!E39,'Rainfall Data'!F39)))</f>
        <v>28.2</v>
      </c>
      <c r="B52" s="24">
        <f t="shared" si="2"/>
        <v>1.0416666666666667</v>
      </c>
      <c r="C52" s="24">
        <f t="shared" si="3"/>
        <v>1.5</v>
      </c>
      <c r="D52" s="24">
        <f t="shared" si="11"/>
        <v>37</v>
      </c>
      <c r="E52" s="24">
        <f t="shared" si="4"/>
        <v>22.568000000000001</v>
      </c>
      <c r="F52" s="24">
        <f t="shared" si="0"/>
        <v>316372.5</v>
      </c>
      <c r="G52" s="24">
        <f t="shared" si="5"/>
        <v>5.9272522795741148E-2</v>
      </c>
      <c r="H52" s="24">
        <f t="shared" si="6"/>
        <v>8517561.9968154822</v>
      </c>
      <c r="I52" s="24">
        <f t="shared" si="7"/>
        <v>9258219.5617559589</v>
      </c>
      <c r="J52" s="24">
        <f t="shared" si="1"/>
        <v>7.5</v>
      </c>
      <c r="K52" s="327">
        <f t="shared" si="8"/>
        <v>15000000</v>
      </c>
      <c r="L52" s="56">
        <f t="shared" si="9"/>
        <v>3456000</v>
      </c>
      <c r="M52" s="56">
        <f t="shared" si="10"/>
        <v>12714219.561755959</v>
      </c>
      <c r="N52" s="11">
        <f>IF(COUNTIF(InputOutputData!K$20,"Chlorine") = 1,'More accurate Energy (Solar)'!M52,L52+K52+I52)</f>
        <v>12714219.561755959</v>
      </c>
    </row>
    <row r="53" spans="1:14" ht="14.45">
      <c r="A53" s="24">
        <f>IF(InputOutputData!$E$36=1,'Rainfall Data'!C41,IF(InputOutputData!$E$36=2,'Rainfall Data'!D40,IF(InputOutputData!$E$36=3,'Rainfall Data'!E40,'Rainfall Data'!F40)))</f>
        <v>39.200000000000003</v>
      </c>
      <c r="B53" s="24">
        <f t="shared" si="2"/>
        <v>1.0416666666666667</v>
      </c>
      <c r="C53" s="24">
        <f t="shared" si="3"/>
        <v>1.5</v>
      </c>
      <c r="D53" s="24">
        <f t="shared" si="11"/>
        <v>38</v>
      </c>
      <c r="E53" s="24">
        <f t="shared" si="4"/>
        <v>23.636000000000003</v>
      </c>
      <c r="F53" s="24">
        <f t="shared" si="0"/>
        <v>316372.5</v>
      </c>
      <c r="G53" s="24">
        <f t="shared" si="5"/>
        <v>5.9272522795741148E-2</v>
      </c>
      <c r="H53" s="24">
        <f t="shared" si="6"/>
        <v>8517561.9968154822</v>
      </c>
      <c r="I53" s="24">
        <f t="shared" si="7"/>
        <v>9258219.5617559589</v>
      </c>
      <c r="J53" s="24">
        <f t="shared" si="1"/>
        <v>7.5</v>
      </c>
      <c r="K53" s="327">
        <f t="shared" si="8"/>
        <v>15000000</v>
      </c>
      <c r="L53" s="56">
        <f t="shared" si="9"/>
        <v>3456000</v>
      </c>
      <c r="M53" s="56">
        <f t="shared" si="10"/>
        <v>12714219.561755959</v>
      </c>
      <c r="N53" s="11">
        <f>IF(COUNTIF(InputOutputData!K$20,"Chlorine") = 1,'More accurate Energy (Solar)'!M53,L53+K53+I53)</f>
        <v>12714219.561755959</v>
      </c>
    </row>
    <row r="54" spans="1:14" ht="14.45">
      <c r="A54" s="24">
        <f>IF(InputOutputData!$E$36=1,'Rainfall Data'!C42,IF(InputOutputData!$E$36=2,'Rainfall Data'!D41,IF(InputOutputData!$E$36=3,'Rainfall Data'!E41,'Rainfall Data'!F41)))</f>
        <v>6.6</v>
      </c>
      <c r="B54" s="24">
        <f t="shared" si="2"/>
        <v>0.45833333333333331</v>
      </c>
      <c r="C54" s="24">
        <f t="shared" si="3"/>
        <v>0.66</v>
      </c>
      <c r="D54" s="24">
        <f t="shared" si="11"/>
        <v>39</v>
      </c>
      <c r="E54" s="24">
        <f t="shared" si="4"/>
        <v>23.864000000000004</v>
      </c>
      <c r="F54" s="24">
        <f t="shared" si="0"/>
        <v>139203.9</v>
      </c>
      <c r="G54" s="24">
        <f t="shared" si="5"/>
        <v>3.7691350141184445E-2</v>
      </c>
      <c r="H54" s="24">
        <f t="shared" si="6"/>
        <v>5893586.9827131769</v>
      </c>
      <c r="I54" s="24">
        <f t="shared" si="7"/>
        <v>6406072.8072969308</v>
      </c>
      <c r="J54" s="24">
        <f t="shared" si="1"/>
        <v>3.3000000000000003</v>
      </c>
      <c r="K54" s="327">
        <f t="shared" si="8"/>
        <v>6600000.0000000009</v>
      </c>
      <c r="L54" s="56">
        <f t="shared" si="9"/>
        <v>3456000</v>
      </c>
      <c r="M54" s="56">
        <f t="shared" si="10"/>
        <v>9862072.8072969317</v>
      </c>
      <c r="N54" s="11">
        <f>IF(COUNTIF(InputOutputData!K$20,"Chlorine") = 1,'More accurate Energy (Solar)'!M54,L54+K54+I54)</f>
        <v>9862072.8072969317</v>
      </c>
    </row>
    <row r="55" spans="1:14" ht="14.45">
      <c r="A55" s="24">
        <f>IF(InputOutputData!$E$36=1,'Rainfall Data'!C43,IF(InputOutputData!$E$36=2,'Rainfall Data'!D42,IF(InputOutputData!$E$36=3,'Rainfall Data'!E42,'Rainfall Data'!F42)))</f>
        <v>3.2</v>
      </c>
      <c r="B55" s="24">
        <f t="shared" si="2"/>
        <v>0.22222222222222221</v>
      </c>
      <c r="C55" s="24">
        <f t="shared" si="3"/>
        <v>0.32</v>
      </c>
      <c r="D55" s="24">
        <f t="shared" si="11"/>
        <v>40</v>
      </c>
      <c r="E55" s="24">
        <f t="shared" si="4"/>
        <v>23.752000000000006</v>
      </c>
      <c r="F55" s="24">
        <f t="shared" si="0"/>
        <v>67492.800000000003</v>
      </c>
      <c r="G55" s="24">
        <f t="shared" si="5"/>
        <v>2.5299874105163656E-2</v>
      </c>
      <c r="H55" s="24">
        <f t="shared" si="6"/>
        <v>4257053.1739141475</v>
      </c>
      <c r="I55" s="24">
        <f t="shared" si="7"/>
        <v>4627231.7107762471</v>
      </c>
      <c r="J55" s="24">
        <f t="shared" si="1"/>
        <v>1.6</v>
      </c>
      <c r="K55" s="327">
        <f t="shared" si="8"/>
        <v>3200000</v>
      </c>
      <c r="L55" s="56">
        <f t="shared" si="9"/>
        <v>3456000</v>
      </c>
      <c r="M55" s="56">
        <f t="shared" si="10"/>
        <v>8083231.7107762471</v>
      </c>
      <c r="N55" s="11">
        <f>IF(COUNTIF(InputOutputData!K$20,"Chlorine") = 1,'More accurate Energy (Solar)'!M55,L55+K55+I55)</f>
        <v>8083231.7107762471</v>
      </c>
    </row>
    <row r="56" spans="1:14" ht="14.45">
      <c r="A56" s="24">
        <f>IF(InputOutputData!$E$36=1,'Rainfall Data'!C44,IF(InputOutputData!$E$36=2,'Rainfall Data'!D43,IF(InputOutputData!$E$36=3,'Rainfall Data'!E43,'Rainfall Data'!F43)))</f>
        <v>0.2</v>
      </c>
      <c r="B56" s="24">
        <f t="shared" si="2"/>
        <v>1.3888888888888888E-2</v>
      </c>
      <c r="C56" s="24">
        <f t="shared" si="3"/>
        <v>0.02</v>
      </c>
      <c r="D56" s="24">
        <f t="shared" si="11"/>
        <v>41</v>
      </c>
      <c r="E56" s="24">
        <f t="shared" si="4"/>
        <v>23.340000000000007</v>
      </c>
      <c r="F56" s="24">
        <f t="shared" si="0"/>
        <v>4218.3</v>
      </c>
      <c r="G56" s="24">
        <f t="shared" si="5"/>
        <v>5.5038940280191058E-3</v>
      </c>
      <c r="H56" s="24">
        <f t="shared" si="6"/>
        <v>1223030.785235004</v>
      </c>
      <c r="I56" s="24">
        <f t="shared" si="7"/>
        <v>1329381.2882989175</v>
      </c>
      <c r="J56" s="24">
        <f t="shared" si="1"/>
        <v>0.1</v>
      </c>
      <c r="K56" s="327">
        <f t="shared" si="8"/>
        <v>200000</v>
      </c>
      <c r="L56" s="56">
        <f t="shared" si="9"/>
        <v>3456000</v>
      </c>
      <c r="M56" s="56">
        <f t="shared" si="10"/>
        <v>4785381.2882989179</v>
      </c>
      <c r="N56" s="11">
        <f>IF(COUNTIF(InputOutputData!K$20,"Chlorine") = 1,'More accurate Energy (Solar)'!M56,L56+K56+I56)</f>
        <v>4785381.2882989179</v>
      </c>
    </row>
    <row r="57" spans="1:14" ht="14.45">
      <c r="A57" s="24">
        <f>IF(InputOutputData!$E$36=1,'Rainfall Data'!C45,IF(InputOutputData!$E$36=2,'Rainfall Data'!D44,IF(InputOutputData!$E$36=3,'Rainfall Data'!E44,'Rainfall Data'!F44)))</f>
        <v>19.600000000000001</v>
      </c>
      <c r="B57" s="24">
        <f t="shared" si="2"/>
        <v>1.0416666666666667</v>
      </c>
      <c r="C57" s="24">
        <f t="shared" si="3"/>
        <v>1.5</v>
      </c>
      <c r="D57" s="24">
        <f t="shared" si="11"/>
        <v>42</v>
      </c>
      <c r="E57" s="24">
        <f t="shared" si="4"/>
        <v>24.408000000000008</v>
      </c>
      <c r="F57" s="24">
        <f t="shared" si="0"/>
        <v>316372.5</v>
      </c>
      <c r="G57" s="24">
        <f t="shared" si="5"/>
        <v>5.9272522795741148E-2</v>
      </c>
      <c r="H57" s="24">
        <f t="shared" si="6"/>
        <v>8517561.9968154822</v>
      </c>
      <c r="I57" s="24">
        <f t="shared" si="7"/>
        <v>9258219.5617559589</v>
      </c>
      <c r="J57" s="24">
        <f t="shared" si="1"/>
        <v>7.5</v>
      </c>
      <c r="K57" s="327">
        <f t="shared" si="8"/>
        <v>15000000</v>
      </c>
      <c r="L57" s="56">
        <f t="shared" si="9"/>
        <v>3456000</v>
      </c>
      <c r="M57" s="56">
        <f t="shared" si="10"/>
        <v>12714219.561755959</v>
      </c>
      <c r="N57" s="11">
        <f>IF(COUNTIF(InputOutputData!K$20,"Chlorine") = 1,'More accurate Energy (Solar)'!M57,L57+K57+I57)</f>
        <v>12714219.561755959</v>
      </c>
    </row>
    <row r="58" spans="1:14" ht="14.45">
      <c r="A58" s="24">
        <f>IF(InputOutputData!$E$36=1,'Rainfall Data'!C46,IF(InputOutputData!$E$36=2,'Rainfall Data'!D45,IF(InputOutputData!$E$36=3,'Rainfall Data'!E45,'Rainfall Data'!F45)))</f>
        <v>30.4</v>
      </c>
      <c r="B58" s="24">
        <f t="shared" si="2"/>
        <v>1.0416666666666667</v>
      </c>
      <c r="C58" s="24">
        <f t="shared" si="3"/>
        <v>1.5</v>
      </c>
      <c r="D58" s="24">
        <f t="shared" si="11"/>
        <v>43</v>
      </c>
      <c r="E58" s="24">
        <f t="shared" si="4"/>
        <v>25.47600000000001</v>
      </c>
      <c r="F58" s="24">
        <f t="shared" si="0"/>
        <v>316372.5</v>
      </c>
      <c r="G58" s="24">
        <f t="shared" si="5"/>
        <v>5.9272522795741148E-2</v>
      </c>
      <c r="H58" s="24">
        <f t="shared" si="6"/>
        <v>8517561.9968154822</v>
      </c>
      <c r="I58" s="24">
        <f t="shared" si="7"/>
        <v>9258219.5617559589</v>
      </c>
      <c r="J58" s="24">
        <f t="shared" si="1"/>
        <v>7.5</v>
      </c>
      <c r="K58" s="327">
        <f t="shared" si="8"/>
        <v>15000000</v>
      </c>
      <c r="L58" s="56">
        <f t="shared" si="9"/>
        <v>3456000</v>
      </c>
      <c r="M58" s="56">
        <f t="shared" si="10"/>
        <v>12714219.561755959</v>
      </c>
      <c r="N58" s="11">
        <f>IF(COUNTIF(InputOutputData!K$20,"Chlorine") = 1,'More accurate Energy (Solar)'!M58,L58+K58+I58)</f>
        <v>12714219.561755959</v>
      </c>
    </row>
    <row r="59" spans="1:14" ht="14.45">
      <c r="A59" s="24">
        <f>IF(InputOutputData!$E$36=1,'Rainfall Data'!C47,IF(InputOutputData!$E$36=2,'Rainfall Data'!D46,IF(InputOutputData!$E$36=3,'Rainfall Data'!E46,'Rainfall Data'!F46)))</f>
        <v>19</v>
      </c>
      <c r="B59" s="24">
        <f t="shared" si="2"/>
        <v>1.0416666666666667</v>
      </c>
      <c r="C59" s="24">
        <f t="shared" si="3"/>
        <v>1.5</v>
      </c>
      <c r="D59" s="24">
        <f t="shared" si="11"/>
        <v>44</v>
      </c>
      <c r="E59" s="24">
        <f t="shared" si="4"/>
        <v>26.544000000000011</v>
      </c>
      <c r="F59" s="24">
        <f t="shared" si="0"/>
        <v>316372.5</v>
      </c>
      <c r="G59" s="24">
        <f t="shared" si="5"/>
        <v>5.9272522795741148E-2</v>
      </c>
      <c r="H59" s="24">
        <f t="shared" si="6"/>
        <v>8517561.9968154822</v>
      </c>
      <c r="I59" s="24">
        <f t="shared" si="7"/>
        <v>9258219.5617559589</v>
      </c>
      <c r="J59" s="24">
        <f t="shared" si="1"/>
        <v>7.5</v>
      </c>
      <c r="K59" s="327">
        <f t="shared" si="8"/>
        <v>15000000</v>
      </c>
      <c r="L59" s="56">
        <f t="shared" si="9"/>
        <v>3456000</v>
      </c>
      <c r="M59" s="56">
        <f t="shared" si="10"/>
        <v>12714219.561755959</v>
      </c>
      <c r="N59" s="11">
        <f>IF(COUNTIF(InputOutputData!K$20,"Chlorine") = 1,'More accurate Energy (Solar)'!M59,L59+K59+I59)</f>
        <v>12714219.561755959</v>
      </c>
    </row>
    <row r="60" spans="1:14" ht="14.45">
      <c r="A60" s="24">
        <f>IF(InputOutputData!$E$36=1,'Rainfall Data'!C48,IF(InputOutputData!$E$36=2,'Rainfall Data'!D47,IF(InputOutputData!$E$36=3,'Rainfall Data'!E47,'Rainfall Data'!F47)))</f>
        <v>0.2</v>
      </c>
      <c r="B60" s="24">
        <f t="shared" si="2"/>
        <v>1.3888888888888888E-2</v>
      </c>
      <c r="C60" s="24">
        <f t="shared" si="3"/>
        <v>0.02</v>
      </c>
      <c r="D60" s="24">
        <f t="shared" si="11"/>
        <v>45</v>
      </c>
      <c r="E60" s="24">
        <f t="shared" si="4"/>
        <v>26.132000000000012</v>
      </c>
      <c r="F60" s="24">
        <f t="shared" si="0"/>
        <v>4218.3</v>
      </c>
      <c r="G60" s="24">
        <f t="shared" si="5"/>
        <v>5.5038940280191058E-3</v>
      </c>
      <c r="H60" s="24">
        <f t="shared" si="6"/>
        <v>1223030.785235004</v>
      </c>
      <c r="I60" s="24">
        <f t="shared" si="7"/>
        <v>1329381.2882989175</v>
      </c>
      <c r="J60" s="24">
        <f t="shared" si="1"/>
        <v>0.1</v>
      </c>
      <c r="K60" s="327">
        <f t="shared" si="8"/>
        <v>200000</v>
      </c>
      <c r="L60" s="56">
        <f t="shared" si="9"/>
        <v>3456000</v>
      </c>
      <c r="M60" s="56">
        <f t="shared" si="10"/>
        <v>4785381.2882989179</v>
      </c>
      <c r="N60" s="11">
        <f>IF(COUNTIF(InputOutputData!K$20,"Chlorine") = 1,'More accurate Energy (Solar)'!M60,L60+K60+I60)</f>
        <v>4785381.2882989179</v>
      </c>
    </row>
    <row r="61" spans="1:14" ht="14.45">
      <c r="A61" s="24">
        <f>IF(InputOutputData!$E$36=1,'Rainfall Data'!C49,IF(InputOutputData!$E$36=2,'Rainfall Data'!D48,IF(InputOutputData!$E$36=3,'Rainfall Data'!E48,'Rainfall Data'!F48)))</f>
        <v>0</v>
      </c>
      <c r="B61" s="24">
        <f t="shared" si="2"/>
        <v>0</v>
      </c>
      <c r="C61" s="24">
        <f t="shared" si="3"/>
        <v>0</v>
      </c>
      <c r="D61" s="24">
        <f t="shared" si="11"/>
        <v>46</v>
      </c>
      <c r="E61" s="24">
        <f t="shared" si="4"/>
        <v>25.700000000000014</v>
      </c>
      <c r="F61" s="24">
        <f t="shared" si="0"/>
        <v>0</v>
      </c>
      <c r="G61" s="24">
        <f t="shared" si="5"/>
        <v>0</v>
      </c>
      <c r="H61" s="24">
        <f t="shared" si="6"/>
        <v>0</v>
      </c>
      <c r="I61" s="24">
        <f t="shared" si="7"/>
        <v>0</v>
      </c>
      <c r="J61" s="24">
        <f t="shared" si="1"/>
        <v>0</v>
      </c>
      <c r="K61" s="327">
        <f t="shared" si="8"/>
        <v>0</v>
      </c>
      <c r="L61" s="56">
        <f t="shared" si="9"/>
        <v>3456000</v>
      </c>
      <c r="M61" s="56">
        <f t="shared" si="10"/>
        <v>3456000</v>
      </c>
      <c r="N61" s="11">
        <f>IF(COUNTIF(InputOutputData!K$20,"Chlorine") = 1,'More accurate Energy (Solar)'!M61,L61+K61+I61)</f>
        <v>3456000</v>
      </c>
    </row>
    <row r="62" spans="1:14" ht="14.45">
      <c r="A62" s="24">
        <f>IF(InputOutputData!$E$36=1,'Rainfall Data'!C50,IF(InputOutputData!$E$36=2,'Rainfall Data'!D49,IF(InputOutputData!$E$36=3,'Rainfall Data'!E49,'Rainfall Data'!F49)))</f>
        <v>0</v>
      </c>
      <c r="B62" s="24">
        <f t="shared" si="2"/>
        <v>0</v>
      </c>
      <c r="C62" s="24">
        <f t="shared" si="3"/>
        <v>0</v>
      </c>
      <c r="D62" s="24">
        <f t="shared" si="11"/>
        <v>47</v>
      </c>
      <c r="E62" s="24">
        <f t="shared" si="4"/>
        <v>25.268000000000015</v>
      </c>
      <c r="F62" s="24">
        <f t="shared" si="0"/>
        <v>0</v>
      </c>
      <c r="G62" s="24">
        <f t="shared" si="5"/>
        <v>0</v>
      </c>
      <c r="H62" s="24">
        <f t="shared" si="6"/>
        <v>0</v>
      </c>
      <c r="I62" s="24">
        <f t="shared" si="7"/>
        <v>0</v>
      </c>
      <c r="J62" s="24">
        <f t="shared" si="1"/>
        <v>0</v>
      </c>
      <c r="K62" s="327">
        <f t="shared" si="8"/>
        <v>0</v>
      </c>
      <c r="L62" s="56">
        <f t="shared" si="9"/>
        <v>3456000</v>
      </c>
      <c r="M62" s="56">
        <f t="shared" si="10"/>
        <v>3456000</v>
      </c>
      <c r="N62" s="11">
        <f>IF(COUNTIF(InputOutputData!K$20,"Chlorine") = 1,'More accurate Energy (Solar)'!M62,L62+K62+I62)</f>
        <v>3456000</v>
      </c>
    </row>
    <row r="63" spans="1:14" ht="14.45">
      <c r="A63" s="24">
        <f>IF(InputOutputData!$E$36=1,'Rainfall Data'!C51,IF(InputOutputData!$E$36=2,'Rainfall Data'!D50,IF(InputOutputData!$E$36=3,'Rainfall Data'!E50,'Rainfall Data'!F50)))</f>
        <v>0</v>
      </c>
      <c r="B63" s="24">
        <f t="shared" si="2"/>
        <v>0</v>
      </c>
      <c r="C63" s="24">
        <f t="shared" si="3"/>
        <v>0</v>
      </c>
      <c r="D63" s="24">
        <f t="shared" si="11"/>
        <v>48</v>
      </c>
      <c r="E63" s="24">
        <f t="shared" si="4"/>
        <v>24.836000000000016</v>
      </c>
      <c r="F63" s="24">
        <f t="shared" si="0"/>
        <v>0</v>
      </c>
      <c r="G63" s="24">
        <f t="shared" si="5"/>
        <v>0</v>
      </c>
      <c r="H63" s="24">
        <f t="shared" si="6"/>
        <v>0</v>
      </c>
      <c r="I63" s="24">
        <f t="shared" si="7"/>
        <v>0</v>
      </c>
      <c r="J63" s="24">
        <f t="shared" si="1"/>
        <v>0</v>
      </c>
      <c r="K63" s="327">
        <f t="shared" si="8"/>
        <v>0</v>
      </c>
      <c r="L63" s="56">
        <f t="shared" si="9"/>
        <v>3456000</v>
      </c>
      <c r="M63" s="56">
        <f t="shared" si="10"/>
        <v>3456000</v>
      </c>
      <c r="N63" s="11">
        <f>IF(COUNTIF(InputOutputData!K$20,"Chlorine") = 1,'More accurate Energy (Solar)'!M63,L63+K63+I63)</f>
        <v>3456000</v>
      </c>
    </row>
    <row r="64" spans="1:14" ht="14.45">
      <c r="A64" s="24">
        <f>IF(InputOutputData!$E$36=1,'Rainfall Data'!C52,IF(InputOutputData!$E$36=2,'Rainfall Data'!D51,IF(InputOutputData!$E$36=3,'Rainfall Data'!E51,'Rainfall Data'!F51)))</f>
        <v>4</v>
      </c>
      <c r="B64" s="24">
        <f t="shared" si="2"/>
        <v>0.27777777777777779</v>
      </c>
      <c r="C64" s="24">
        <f t="shared" si="3"/>
        <v>0.4</v>
      </c>
      <c r="D64" s="24">
        <f t="shared" si="11"/>
        <v>49</v>
      </c>
      <c r="E64" s="24">
        <f t="shared" si="4"/>
        <v>24.804000000000016</v>
      </c>
      <c r="F64" s="24">
        <f t="shared" si="0"/>
        <v>84366</v>
      </c>
      <c r="G64" s="24">
        <f t="shared" si="5"/>
        <v>2.8606682038735863E-2</v>
      </c>
      <c r="H64" s="24">
        <f t="shared" si="6"/>
        <v>4706195.4447031152</v>
      </c>
      <c r="I64" s="24">
        <f t="shared" si="7"/>
        <v>5115429.8311990378</v>
      </c>
      <c r="J64" s="24">
        <f t="shared" si="1"/>
        <v>2</v>
      </c>
      <c r="K64" s="327">
        <f t="shared" si="8"/>
        <v>4000000</v>
      </c>
      <c r="L64" s="56">
        <f t="shared" si="9"/>
        <v>3456000</v>
      </c>
      <c r="M64" s="56">
        <f t="shared" si="10"/>
        <v>8571429.8311990388</v>
      </c>
      <c r="N64" s="11">
        <f>IF(COUNTIF(InputOutputData!K$20,"Chlorine") = 1,'More accurate Energy (Solar)'!M64,L64+K64+I64)</f>
        <v>8571429.8311990388</v>
      </c>
    </row>
    <row r="65" spans="1:14" ht="14.45">
      <c r="A65" s="24">
        <f>IF(InputOutputData!$E$36=1,'Rainfall Data'!C53,IF(InputOutputData!$E$36=2,'Rainfall Data'!D52,IF(InputOutputData!$E$36=3,'Rainfall Data'!E52,'Rainfall Data'!F52)))</f>
        <v>11</v>
      </c>
      <c r="B65" s="24">
        <f t="shared" si="2"/>
        <v>0.76388888888888884</v>
      </c>
      <c r="C65" s="24">
        <f t="shared" si="3"/>
        <v>1.0999999999999999</v>
      </c>
      <c r="D65" s="24">
        <f t="shared" si="11"/>
        <v>50</v>
      </c>
      <c r="E65" s="24">
        <f t="shared" si="4"/>
        <v>25.472000000000016</v>
      </c>
      <c r="F65" s="24">
        <f t="shared" si="0"/>
        <v>232006.49999999997</v>
      </c>
      <c r="G65" s="24">
        <f t="shared" si="5"/>
        <v>4.9948907842364623E-2</v>
      </c>
      <c r="H65" s="24">
        <f t="shared" si="6"/>
        <v>7412149.0722085852</v>
      </c>
      <c r="I65" s="24">
        <f t="shared" si="7"/>
        <v>8056683.7741397666</v>
      </c>
      <c r="J65" s="24">
        <f t="shared" si="1"/>
        <v>5.4999999999999991</v>
      </c>
      <c r="K65" s="327">
        <f t="shared" si="8"/>
        <v>10999999.999999998</v>
      </c>
      <c r="L65" s="56">
        <f t="shared" si="9"/>
        <v>3456000</v>
      </c>
      <c r="M65" s="56">
        <f t="shared" si="10"/>
        <v>11512683.774139766</v>
      </c>
      <c r="N65" s="11">
        <f>IF(COUNTIF(InputOutputData!K$20,"Chlorine") = 1,'More accurate Energy (Solar)'!M65,L65+K65+I65)</f>
        <v>11512683.774139766</v>
      </c>
    </row>
    <row r="66" spans="1:14" ht="14.45">
      <c r="A66" s="24">
        <f>IF(InputOutputData!$E$36=1,'Rainfall Data'!C54,IF(InputOutputData!$E$36=2,'Rainfall Data'!D53,IF(InputOutputData!$E$36=3,'Rainfall Data'!E53,'Rainfall Data'!F53)))</f>
        <v>0.4</v>
      </c>
      <c r="B66" s="24">
        <f t="shared" si="2"/>
        <v>2.7777777777777776E-2</v>
      </c>
      <c r="C66" s="24">
        <f t="shared" si="3"/>
        <v>0.04</v>
      </c>
      <c r="D66" s="24">
        <f t="shared" si="11"/>
        <v>51</v>
      </c>
      <c r="E66" s="24">
        <f t="shared" si="4"/>
        <v>25.080000000000016</v>
      </c>
      <c r="F66" s="24">
        <f t="shared" si="0"/>
        <v>8436.6</v>
      </c>
      <c r="G66" s="24">
        <f t="shared" si="5"/>
        <v>8.0583980052267804E-3</v>
      </c>
      <c r="H66" s="24">
        <f t="shared" si="6"/>
        <v>1670662.5387756634</v>
      </c>
      <c r="I66" s="24">
        <f t="shared" si="7"/>
        <v>1815937.5421474602</v>
      </c>
      <c r="J66" s="24">
        <f t="shared" si="1"/>
        <v>0.2</v>
      </c>
      <c r="K66" s="327">
        <f t="shared" si="8"/>
        <v>400000</v>
      </c>
      <c r="L66" s="56">
        <f t="shared" si="9"/>
        <v>3456000</v>
      </c>
      <c r="M66" s="56">
        <f t="shared" si="10"/>
        <v>5271937.5421474604</v>
      </c>
      <c r="N66" s="11">
        <f>IF(COUNTIF(InputOutputData!K$20,"Chlorine") = 1,'More accurate Energy (Solar)'!M66,L66+K66+I66)</f>
        <v>5271937.5421474604</v>
      </c>
    </row>
    <row r="67" spans="1:14" ht="14.45">
      <c r="A67" s="24">
        <f>IF(InputOutputData!$E$36=1,'Rainfall Data'!C55,IF(InputOutputData!$E$36=2,'Rainfall Data'!D54,IF(InputOutputData!$E$36=3,'Rainfall Data'!E54,'Rainfall Data'!F54)))</f>
        <v>0</v>
      </c>
      <c r="B67" s="24">
        <f t="shared" si="2"/>
        <v>0</v>
      </c>
      <c r="C67" s="24">
        <f t="shared" si="3"/>
        <v>0</v>
      </c>
      <c r="D67" s="24">
        <f t="shared" si="11"/>
        <v>52</v>
      </c>
      <c r="E67" s="24">
        <f t="shared" si="4"/>
        <v>24.648000000000017</v>
      </c>
      <c r="F67" s="24">
        <f t="shared" si="0"/>
        <v>0</v>
      </c>
      <c r="G67" s="24">
        <f t="shared" si="5"/>
        <v>0</v>
      </c>
      <c r="H67" s="24">
        <f t="shared" si="6"/>
        <v>0</v>
      </c>
      <c r="I67" s="24">
        <f t="shared" si="7"/>
        <v>0</v>
      </c>
      <c r="J67" s="24">
        <f t="shared" si="1"/>
        <v>0</v>
      </c>
      <c r="K67" s="327">
        <f t="shared" si="8"/>
        <v>0</v>
      </c>
      <c r="L67" s="56">
        <f t="shared" si="9"/>
        <v>3456000</v>
      </c>
      <c r="M67" s="56">
        <f t="shared" si="10"/>
        <v>3456000</v>
      </c>
      <c r="N67" s="11">
        <f>IF(COUNTIF(InputOutputData!K$20,"Chlorine") = 1,'More accurate Energy (Solar)'!M67,L67+K67+I67)</f>
        <v>3456000</v>
      </c>
    </row>
    <row r="68" spans="1:14" ht="14.45">
      <c r="A68" s="24">
        <f>IF(InputOutputData!$E$36=1,'Rainfall Data'!C56,IF(InputOutputData!$E$36=2,'Rainfall Data'!D55,IF(InputOutputData!$E$36=3,'Rainfall Data'!E55,'Rainfall Data'!F55)))</f>
        <v>0</v>
      </c>
      <c r="B68" s="24">
        <f t="shared" si="2"/>
        <v>0</v>
      </c>
      <c r="C68" s="24">
        <f t="shared" si="3"/>
        <v>0</v>
      </c>
      <c r="D68" s="24">
        <f t="shared" si="11"/>
        <v>53</v>
      </c>
      <c r="E68" s="24">
        <f t="shared" si="4"/>
        <v>24.216000000000019</v>
      </c>
      <c r="F68" s="24">
        <f t="shared" si="0"/>
        <v>0</v>
      </c>
      <c r="G68" s="24">
        <f t="shared" si="5"/>
        <v>0</v>
      </c>
      <c r="H68" s="24">
        <f t="shared" si="6"/>
        <v>0</v>
      </c>
      <c r="I68" s="24">
        <f t="shared" si="7"/>
        <v>0</v>
      </c>
      <c r="J68" s="24">
        <f t="shared" si="1"/>
        <v>0</v>
      </c>
      <c r="K68" s="327">
        <f t="shared" si="8"/>
        <v>0</v>
      </c>
      <c r="L68" s="56">
        <f t="shared" si="9"/>
        <v>3456000</v>
      </c>
      <c r="M68" s="56">
        <f t="shared" si="10"/>
        <v>3456000</v>
      </c>
      <c r="N68" s="11">
        <f>IF(COUNTIF(InputOutputData!K$20,"Chlorine") = 1,'More accurate Energy (Solar)'!M68,L68+K68+I68)</f>
        <v>3456000</v>
      </c>
    </row>
    <row r="69" spans="1:14" ht="14.45">
      <c r="A69" s="24">
        <f>IF(InputOutputData!$E$36=1,'Rainfall Data'!C57,IF(InputOutputData!$E$36=2,'Rainfall Data'!D56,IF(InputOutputData!$E$36=3,'Rainfall Data'!E56,'Rainfall Data'!F56)))</f>
        <v>0</v>
      </c>
      <c r="B69" s="24">
        <f t="shared" si="2"/>
        <v>0</v>
      </c>
      <c r="C69" s="24">
        <f t="shared" si="3"/>
        <v>0</v>
      </c>
      <c r="D69" s="24">
        <f t="shared" si="11"/>
        <v>54</v>
      </c>
      <c r="E69" s="24">
        <f t="shared" si="4"/>
        <v>23.78400000000002</v>
      </c>
      <c r="F69" s="24">
        <f t="shared" si="0"/>
        <v>0</v>
      </c>
      <c r="G69" s="24">
        <f t="shared" si="5"/>
        <v>0</v>
      </c>
      <c r="H69" s="24">
        <f t="shared" si="6"/>
        <v>0</v>
      </c>
      <c r="I69" s="24">
        <f t="shared" si="7"/>
        <v>0</v>
      </c>
      <c r="J69" s="24">
        <f t="shared" si="1"/>
        <v>0</v>
      </c>
      <c r="K69" s="327">
        <f t="shared" si="8"/>
        <v>0</v>
      </c>
      <c r="L69" s="56">
        <f t="shared" si="9"/>
        <v>3456000</v>
      </c>
      <c r="M69" s="56">
        <f t="shared" si="10"/>
        <v>3456000</v>
      </c>
      <c r="N69" s="11">
        <f>IF(COUNTIF(InputOutputData!K$20,"Chlorine") = 1,'More accurate Energy (Solar)'!M69,L69+K69+I69)</f>
        <v>3456000</v>
      </c>
    </row>
    <row r="70" spans="1:14" ht="14.45">
      <c r="A70" s="24">
        <f>IF(InputOutputData!$E$36=1,'Rainfall Data'!C58,IF(InputOutputData!$E$36=2,'Rainfall Data'!D57,IF(InputOutputData!$E$36=3,'Rainfall Data'!E57,'Rainfall Data'!F57)))</f>
        <v>0.2</v>
      </c>
      <c r="B70" s="24">
        <f t="shared" si="2"/>
        <v>1.3888888888888888E-2</v>
      </c>
      <c r="C70" s="24">
        <f t="shared" si="3"/>
        <v>0.02</v>
      </c>
      <c r="D70" s="24">
        <f t="shared" si="11"/>
        <v>55</v>
      </c>
      <c r="E70" s="24">
        <f t="shared" si="4"/>
        <v>23.372000000000021</v>
      </c>
      <c r="F70" s="24">
        <f t="shared" si="0"/>
        <v>4218.3</v>
      </c>
      <c r="G70" s="24">
        <f t="shared" si="5"/>
        <v>5.5038940280191058E-3</v>
      </c>
      <c r="H70" s="24">
        <f t="shared" si="6"/>
        <v>1223030.785235004</v>
      </c>
      <c r="I70" s="24">
        <f t="shared" si="7"/>
        <v>1329381.2882989175</v>
      </c>
      <c r="J70" s="24">
        <f t="shared" si="1"/>
        <v>0.1</v>
      </c>
      <c r="K70" s="327">
        <f t="shared" si="8"/>
        <v>200000</v>
      </c>
      <c r="L70" s="56">
        <f t="shared" si="9"/>
        <v>3456000</v>
      </c>
      <c r="M70" s="56">
        <f t="shared" si="10"/>
        <v>4785381.2882989179</v>
      </c>
      <c r="N70" s="11">
        <f>IF(COUNTIF(InputOutputData!K$20,"Chlorine") = 1,'More accurate Energy (Solar)'!M70,L70+K70+I70)</f>
        <v>4785381.2882989179</v>
      </c>
    </row>
    <row r="71" spans="1:14" ht="14.45">
      <c r="A71" s="24">
        <f>IF(InputOutputData!$E$36=1,'Rainfall Data'!C59,IF(InputOutputData!$E$36=2,'Rainfall Data'!D58,IF(InputOutputData!$E$36=3,'Rainfall Data'!E58,'Rainfall Data'!F58)))</f>
        <v>4.5999999999999996</v>
      </c>
      <c r="B71" s="24">
        <f t="shared" si="2"/>
        <v>0.31944444444444442</v>
      </c>
      <c r="C71" s="24">
        <f t="shared" si="3"/>
        <v>0.45999999999999996</v>
      </c>
      <c r="D71" s="24">
        <f t="shared" si="11"/>
        <v>56</v>
      </c>
      <c r="E71" s="24">
        <f t="shared" si="4"/>
        <v>23.40000000000002</v>
      </c>
      <c r="F71" s="24">
        <f t="shared" si="0"/>
        <v>97020.9</v>
      </c>
      <c r="G71" s="24">
        <f t="shared" si="5"/>
        <v>3.0894969362739746E-2</v>
      </c>
      <c r="H71" s="24">
        <f t="shared" si="6"/>
        <v>5011266.733616042</v>
      </c>
      <c r="I71" s="24">
        <f t="shared" si="7"/>
        <v>5447029.0582783064</v>
      </c>
      <c r="J71" s="24">
        <f t="shared" si="1"/>
        <v>2.2999999999999998</v>
      </c>
      <c r="K71" s="327">
        <f t="shared" si="8"/>
        <v>4600000</v>
      </c>
      <c r="L71" s="56">
        <f t="shared" si="9"/>
        <v>3456000</v>
      </c>
      <c r="M71" s="56">
        <f t="shared" si="10"/>
        <v>8903029.0582783073</v>
      </c>
      <c r="N71" s="11">
        <f>IF(COUNTIF(InputOutputData!K$20,"Chlorine") = 1,'More accurate Energy (Solar)'!M71,L71+K71+I71)</f>
        <v>8903029.0582783073</v>
      </c>
    </row>
    <row r="72" spans="1:14" ht="14.45">
      <c r="A72" s="24">
        <f>IF(InputOutputData!$E$36=1,'Rainfall Data'!C60,IF(InputOutputData!$E$36=2,'Rainfall Data'!D59,IF(InputOutputData!$E$36=3,'Rainfall Data'!E59,'Rainfall Data'!F59)))</f>
        <v>8.8000000000000007</v>
      </c>
      <c r="B72" s="24">
        <f t="shared" si="2"/>
        <v>0.61111111111111116</v>
      </c>
      <c r="C72" s="24">
        <f t="shared" si="3"/>
        <v>0.88</v>
      </c>
      <c r="D72" s="24">
        <f t="shared" si="11"/>
        <v>57</v>
      </c>
      <c r="E72" s="24">
        <f t="shared" si="4"/>
        <v>23.84800000000002</v>
      </c>
      <c r="F72" s="24">
        <f t="shared" si="0"/>
        <v>185605.2</v>
      </c>
      <c r="G72" s="24">
        <f t="shared" si="5"/>
        <v>4.4166373315363966E-2</v>
      </c>
      <c r="H72" s="24">
        <f t="shared" si="6"/>
        <v>6706074.7465597363</v>
      </c>
      <c r="I72" s="24">
        <f t="shared" si="7"/>
        <v>7289211.6810431909</v>
      </c>
      <c r="J72" s="24">
        <f t="shared" si="1"/>
        <v>4.4000000000000004</v>
      </c>
      <c r="K72" s="327">
        <f t="shared" si="8"/>
        <v>8800000</v>
      </c>
      <c r="L72" s="56">
        <f t="shared" si="9"/>
        <v>3456000</v>
      </c>
      <c r="M72" s="56">
        <f t="shared" si="10"/>
        <v>10745211.681043191</v>
      </c>
      <c r="N72" s="11">
        <f>IF(COUNTIF(InputOutputData!K$20,"Chlorine") = 1,'More accurate Energy (Solar)'!M72,L72+K72+I72)</f>
        <v>10745211.681043191</v>
      </c>
    </row>
    <row r="73" spans="1:14" ht="14.45">
      <c r="A73" s="24">
        <f>IF(InputOutputData!$E$36=1,'Rainfall Data'!C61,IF(InputOutputData!$E$36=2,'Rainfall Data'!D60,IF(InputOutputData!$E$36=3,'Rainfall Data'!E60,'Rainfall Data'!F60)))</f>
        <v>0.4</v>
      </c>
      <c r="B73" s="24">
        <f t="shared" si="2"/>
        <v>2.7777777777777776E-2</v>
      </c>
      <c r="C73" s="24">
        <f t="shared" si="3"/>
        <v>0.04</v>
      </c>
      <c r="D73" s="24">
        <f t="shared" si="11"/>
        <v>58</v>
      </c>
      <c r="E73" s="24">
        <f t="shared" si="4"/>
        <v>23.456000000000021</v>
      </c>
      <c r="F73" s="24">
        <f t="shared" si="0"/>
        <v>8436.6</v>
      </c>
      <c r="G73" s="24">
        <f t="shared" si="5"/>
        <v>8.0583980052267804E-3</v>
      </c>
      <c r="H73" s="24">
        <f t="shared" si="6"/>
        <v>1670662.5387756634</v>
      </c>
      <c r="I73" s="24">
        <f t="shared" si="7"/>
        <v>1815937.5421474602</v>
      </c>
      <c r="J73" s="24">
        <f t="shared" si="1"/>
        <v>0.2</v>
      </c>
      <c r="K73" s="327">
        <f t="shared" si="8"/>
        <v>400000</v>
      </c>
      <c r="L73" s="56">
        <f t="shared" si="9"/>
        <v>3456000</v>
      </c>
      <c r="M73" s="56">
        <f t="shared" si="10"/>
        <v>5271937.5421474604</v>
      </c>
      <c r="N73" s="11">
        <f>IF(COUNTIF(InputOutputData!K$20,"Chlorine") = 1,'More accurate Energy (Solar)'!M73,L73+K73+I73)</f>
        <v>5271937.5421474604</v>
      </c>
    </row>
    <row r="74" spans="1:14" ht="14.45">
      <c r="A74" s="24">
        <f>IF(InputOutputData!$E$36=1,'Rainfall Data'!C62,IF(InputOutputData!$E$36=2,'Rainfall Data'!D61,IF(InputOutputData!$E$36=3,'Rainfall Data'!E61,'Rainfall Data'!F61)))</f>
        <v>0</v>
      </c>
      <c r="B74" s="24">
        <f t="shared" si="2"/>
        <v>0</v>
      </c>
      <c r="C74" s="24">
        <f t="shared" si="3"/>
        <v>0</v>
      </c>
      <c r="D74" s="24">
        <f t="shared" si="11"/>
        <v>59</v>
      </c>
      <c r="E74" s="24">
        <f t="shared" si="4"/>
        <v>23.024000000000022</v>
      </c>
      <c r="F74" s="24">
        <f t="shared" si="0"/>
        <v>0</v>
      </c>
      <c r="G74" s="24">
        <f t="shared" si="5"/>
        <v>0</v>
      </c>
      <c r="H74" s="24">
        <f t="shared" si="6"/>
        <v>0</v>
      </c>
      <c r="I74" s="24">
        <f t="shared" si="7"/>
        <v>0</v>
      </c>
      <c r="J74" s="24">
        <f t="shared" si="1"/>
        <v>0</v>
      </c>
      <c r="K74" s="327">
        <f t="shared" si="8"/>
        <v>0</v>
      </c>
      <c r="L74" s="56">
        <f t="shared" si="9"/>
        <v>3456000</v>
      </c>
      <c r="M74" s="56">
        <f t="shared" si="10"/>
        <v>3456000</v>
      </c>
      <c r="N74" s="11">
        <f>IF(COUNTIF(InputOutputData!K$20,"Chlorine") = 1,'More accurate Energy (Solar)'!M74,L74+K74+I74)</f>
        <v>3456000</v>
      </c>
    </row>
    <row r="75" spans="1:14" ht="14.45">
      <c r="A75" s="24">
        <f>IF(InputOutputData!$E$36=1,'Rainfall Data'!C63,IF(InputOutputData!$E$36=2,'Rainfall Data'!D62,IF(InputOutputData!$E$36=3,'Rainfall Data'!E62,'Rainfall Data'!F62)))</f>
        <v>1.2</v>
      </c>
      <c r="B75" s="24">
        <f t="shared" si="2"/>
        <v>8.3333333333333329E-2</v>
      </c>
      <c r="C75" s="24">
        <f t="shared" si="3"/>
        <v>0.12</v>
      </c>
      <c r="D75" s="24">
        <f t="shared" si="11"/>
        <v>60</v>
      </c>
      <c r="E75" s="24">
        <f t="shared" si="4"/>
        <v>22.712000000000021</v>
      </c>
      <c r="F75" s="24">
        <f t="shared" si="0"/>
        <v>25309.8</v>
      </c>
      <c r="G75" s="24">
        <f t="shared" si="5"/>
        <v>1.4747350940040569E-2</v>
      </c>
      <c r="H75" s="24">
        <f t="shared" si="6"/>
        <v>2738701.4233160731</v>
      </c>
      <c r="I75" s="24">
        <f t="shared" si="7"/>
        <v>2976849.3731696447</v>
      </c>
      <c r="J75" s="24">
        <f t="shared" si="1"/>
        <v>0.6</v>
      </c>
      <c r="K75" s="327">
        <f t="shared" si="8"/>
        <v>1200000</v>
      </c>
      <c r="L75" s="56">
        <f t="shared" si="9"/>
        <v>3456000</v>
      </c>
      <c r="M75" s="56">
        <f t="shared" si="10"/>
        <v>6432849.3731696447</v>
      </c>
      <c r="N75" s="11">
        <f>IF(COUNTIF(InputOutputData!K$20,"Chlorine") = 1,'More accurate Energy (Solar)'!M75,L75+K75+I75)</f>
        <v>6432849.3731696447</v>
      </c>
    </row>
    <row r="76" spans="1:14" ht="14.45">
      <c r="A76" s="24">
        <f>IF(InputOutputData!$E$36=1,'Rainfall Data'!C64,IF(InputOutputData!$E$36=2,'Rainfall Data'!D63,IF(InputOutputData!$E$36=3,'Rainfall Data'!E63,'Rainfall Data'!F63)))</f>
        <v>0</v>
      </c>
      <c r="B76" s="24">
        <f t="shared" si="2"/>
        <v>0</v>
      </c>
      <c r="C76" s="24">
        <f t="shared" si="3"/>
        <v>0</v>
      </c>
      <c r="D76" s="24">
        <f t="shared" si="11"/>
        <v>61</v>
      </c>
      <c r="E76" s="24">
        <f t="shared" si="4"/>
        <v>22.280000000000022</v>
      </c>
      <c r="F76" s="24">
        <f t="shared" si="0"/>
        <v>0</v>
      </c>
      <c r="G76" s="24">
        <f t="shared" si="5"/>
        <v>0</v>
      </c>
      <c r="H76" s="24">
        <f t="shared" si="6"/>
        <v>0</v>
      </c>
      <c r="I76" s="24">
        <f t="shared" si="7"/>
        <v>0</v>
      </c>
      <c r="J76" s="24">
        <f t="shared" si="1"/>
        <v>0</v>
      </c>
      <c r="K76" s="327">
        <f t="shared" si="8"/>
        <v>0</v>
      </c>
      <c r="L76" s="56">
        <f t="shared" si="9"/>
        <v>3456000</v>
      </c>
      <c r="M76" s="56">
        <f t="shared" si="10"/>
        <v>3456000</v>
      </c>
      <c r="N76" s="11">
        <f>IF(COUNTIF(InputOutputData!K$20,"Chlorine") = 1,'More accurate Energy (Solar)'!M76,L76+K76+I76)</f>
        <v>3456000</v>
      </c>
    </row>
    <row r="77" spans="1:14" ht="14.45">
      <c r="A77" s="24">
        <f>IF(InputOutputData!$E$36=1,'Rainfall Data'!C65,IF(InputOutputData!$E$36=2,'Rainfall Data'!D64,IF(InputOutputData!$E$36=3,'Rainfall Data'!E64,'Rainfall Data'!F64)))</f>
        <v>0</v>
      </c>
      <c r="B77" s="24">
        <f t="shared" si="2"/>
        <v>0</v>
      </c>
      <c r="C77" s="24">
        <f t="shared" si="3"/>
        <v>0</v>
      </c>
      <c r="D77" s="24">
        <f t="shared" si="11"/>
        <v>62</v>
      </c>
      <c r="E77" s="24">
        <f t="shared" si="4"/>
        <v>21.848000000000024</v>
      </c>
      <c r="F77" s="24">
        <f t="shared" si="0"/>
        <v>0</v>
      </c>
      <c r="G77" s="24">
        <f t="shared" si="5"/>
        <v>0</v>
      </c>
      <c r="H77" s="24">
        <f t="shared" si="6"/>
        <v>0</v>
      </c>
      <c r="I77" s="24">
        <f t="shared" si="7"/>
        <v>0</v>
      </c>
      <c r="J77" s="24">
        <f t="shared" si="1"/>
        <v>0</v>
      </c>
      <c r="K77" s="327">
        <f t="shared" si="8"/>
        <v>0</v>
      </c>
      <c r="L77" s="56">
        <f t="shared" si="9"/>
        <v>3456000</v>
      </c>
      <c r="M77" s="56">
        <f t="shared" si="10"/>
        <v>3456000</v>
      </c>
      <c r="N77" s="11">
        <f>IF(COUNTIF(InputOutputData!K$20,"Chlorine") = 1,'More accurate Energy (Solar)'!M77,L77+K77+I77)</f>
        <v>3456000</v>
      </c>
    </row>
    <row r="78" spans="1:14" ht="14.45">
      <c r="A78" s="24">
        <f>IF(InputOutputData!$E$36=1,'Rainfall Data'!C66,IF(InputOutputData!$E$36=2,'Rainfall Data'!D65,IF(InputOutputData!$E$36=3,'Rainfall Data'!E65,'Rainfall Data'!F65)))</f>
        <v>0.4</v>
      </c>
      <c r="B78" s="24">
        <f t="shared" si="2"/>
        <v>2.7777777777777776E-2</v>
      </c>
      <c r="C78" s="24">
        <f t="shared" si="3"/>
        <v>0.04</v>
      </c>
      <c r="D78" s="24">
        <f t="shared" si="11"/>
        <v>63</v>
      </c>
      <c r="E78" s="24">
        <f t="shared" si="4"/>
        <v>21.456000000000024</v>
      </c>
      <c r="F78" s="24">
        <f t="shared" si="0"/>
        <v>8436.6</v>
      </c>
      <c r="G78" s="24">
        <f t="shared" si="5"/>
        <v>8.0583980052267804E-3</v>
      </c>
      <c r="H78" s="24">
        <f t="shared" si="6"/>
        <v>1670662.5387756634</v>
      </c>
      <c r="I78" s="24">
        <f t="shared" si="7"/>
        <v>1815937.5421474602</v>
      </c>
      <c r="J78" s="24">
        <f t="shared" si="1"/>
        <v>0.2</v>
      </c>
      <c r="K78" s="327">
        <f t="shared" si="8"/>
        <v>400000</v>
      </c>
      <c r="L78" s="56">
        <f t="shared" si="9"/>
        <v>3456000</v>
      </c>
      <c r="M78" s="56">
        <f t="shared" si="10"/>
        <v>5271937.5421474604</v>
      </c>
      <c r="N78" s="11">
        <f>IF(COUNTIF(InputOutputData!K$20,"Chlorine") = 1,'More accurate Energy (Solar)'!M78,L78+K78+I78)</f>
        <v>5271937.5421474604</v>
      </c>
    </row>
    <row r="79" spans="1:14" ht="14.45">
      <c r="A79" s="24">
        <f>IF(InputOutputData!$E$36=1,'Rainfall Data'!C67,IF(InputOutputData!$E$36=2,'Rainfall Data'!D66,IF(InputOutputData!$E$36=3,'Rainfall Data'!E66,'Rainfall Data'!F66)))</f>
        <v>1.8</v>
      </c>
      <c r="B79" s="24">
        <f t="shared" si="2"/>
        <v>0.125</v>
      </c>
      <c r="C79" s="24">
        <f t="shared" si="3"/>
        <v>0.18</v>
      </c>
      <c r="D79" s="24">
        <f t="shared" si="11"/>
        <v>64</v>
      </c>
      <c r="E79" s="24">
        <f t="shared" si="4"/>
        <v>21.204000000000025</v>
      </c>
      <c r="F79" s="24">
        <f t="shared" si="0"/>
        <v>37964.700000000004</v>
      </c>
      <c r="G79" s="24">
        <f t="shared" si="5"/>
        <v>1.843319716624707E-2</v>
      </c>
      <c r="H79" s="24">
        <f t="shared" si="6"/>
        <v>3286618.4833838325</v>
      </c>
      <c r="I79" s="24">
        <f t="shared" si="7"/>
        <v>3572411.3949824264</v>
      </c>
      <c r="J79" s="24">
        <f t="shared" si="1"/>
        <v>0.89999999999999991</v>
      </c>
      <c r="K79" s="327">
        <f t="shared" si="8"/>
        <v>1799999.9999999998</v>
      </c>
      <c r="L79" s="56">
        <f t="shared" si="9"/>
        <v>3456000</v>
      </c>
      <c r="M79" s="56">
        <f t="shared" si="10"/>
        <v>7028411.3949824264</v>
      </c>
      <c r="N79" s="11">
        <f>IF(COUNTIF(InputOutputData!K$20,"Chlorine") = 1,'More accurate Energy (Solar)'!M79,L79+K79+I79)</f>
        <v>7028411.3949824264</v>
      </c>
    </row>
    <row r="80" spans="1:14" ht="14.45">
      <c r="A80" s="24">
        <f>IF(InputOutputData!$E$36=1,'Rainfall Data'!C68,IF(InputOutputData!$E$36=2,'Rainfall Data'!D67,IF(InputOutputData!$E$36=3,'Rainfall Data'!E67,'Rainfall Data'!F67)))</f>
        <v>0.8</v>
      </c>
      <c r="B80" s="24">
        <f t="shared" si="2"/>
        <v>5.5555555555555552E-2</v>
      </c>
      <c r="C80" s="24">
        <f t="shared" si="3"/>
        <v>0.08</v>
      </c>
      <c r="D80" s="24">
        <f t="shared" si="11"/>
        <v>65</v>
      </c>
      <c r="E80" s="24">
        <f t="shared" si="4"/>
        <v>20.852000000000025</v>
      </c>
      <c r="F80" s="24">
        <f t="shared" ref="F80:F143" si="12">C80*$V$1*$V$2*$E$7</f>
        <v>16873.2</v>
      </c>
      <c r="G80" s="24">
        <f t="shared" si="5"/>
        <v>1.1798845559697837E-2</v>
      </c>
      <c r="H80" s="24">
        <f t="shared" si="6"/>
        <v>2282064.5633099871</v>
      </c>
      <c r="I80" s="24">
        <f t="shared" si="7"/>
        <v>2480504.960119551</v>
      </c>
      <c r="J80" s="24">
        <f t="shared" ref="J80:J143" si="13">($M$7 / $M$6) * C80</f>
        <v>0.4</v>
      </c>
      <c r="K80" s="327">
        <f t="shared" si="8"/>
        <v>800000</v>
      </c>
      <c r="L80" s="56">
        <f t="shared" si="9"/>
        <v>3456000</v>
      </c>
      <c r="M80" s="56">
        <f t="shared" si="10"/>
        <v>5936504.960119551</v>
      </c>
      <c r="N80" s="11">
        <f>IF(COUNTIF(InputOutputData!K$20,"Chlorine") = 1,'More accurate Energy (Solar)'!M80,L80+K80+I80)</f>
        <v>5936504.960119551</v>
      </c>
    </row>
    <row r="81" spans="1:14" ht="14.45">
      <c r="A81" s="24">
        <f>IF(InputOutputData!$E$36=1,'Rainfall Data'!C69,IF(InputOutputData!$E$36=2,'Rainfall Data'!D68,IF(InputOutputData!$E$36=3,'Rainfall Data'!E68,'Rainfall Data'!F68)))</f>
        <v>0</v>
      </c>
      <c r="B81" s="24">
        <f t="shared" ref="B81:B144" si="14">C81*100/144</f>
        <v>0</v>
      </c>
      <c r="C81" s="24">
        <f t="shared" ref="C81:C144" si="15">MIN((A81/1000)*$E$3,$E$4)</f>
        <v>0</v>
      </c>
      <c r="D81" s="24">
        <f t="shared" si="11"/>
        <v>66</v>
      </c>
      <c r="E81" s="24">
        <f t="shared" ref="E81:E144" si="16">MAX(MIN(C81 - (IF(D81 &gt; $E$8, $E$2 / 1000,0)) + E80, $E$5),0)</f>
        <v>20.420000000000027</v>
      </c>
      <c r="F81" s="24">
        <f t="shared" si="12"/>
        <v>0</v>
      </c>
      <c r="G81" s="24">
        <f t="shared" ref="G81:G144" si="17">1.2*$V$8*(EXP(B81/$M$3)-1-(1.72*((B81/$M$3)^4)))^($V$9)</f>
        <v>0</v>
      </c>
      <c r="H81" s="24">
        <f t="shared" ref="H81:H144" si="18">IF(C81 = 0,0,$M$2*C81/G81 * 1000)</f>
        <v>0</v>
      </c>
      <c r="I81" s="24">
        <f t="shared" ref="I81:I144" si="19">H81/0.92</f>
        <v>0</v>
      </c>
      <c r="J81" s="24">
        <f t="shared" si="13"/>
        <v>0</v>
      </c>
      <c r="K81" s="327">
        <f t="shared" ref="K81:K144" si="20">$M$8 * 10^6 * J81</f>
        <v>0</v>
      </c>
      <c r="L81" s="56">
        <f t="shared" ref="L81:L144" si="21">$Q$6 * 24 * 3600</f>
        <v>3456000</v>
      </c>
      <c r="M81" s="56">
        <f t="shared" ref="M81:M144" si="22">L81+I81</f>
        <v>3456000</v>
      </c>
      <c r="N81" s="11">
        <f>IF(COUNTIF(InputOutputData!K$20,"Chlorine") = 1,'More accurate Energy (Solar)'!M81,L81+K81+I81)</f>
        <v>3456000</v>
      </c>
    </row>
    <row r="82" spans="1:14" ht="14.45">
      <c r="A82" s="24">
        <f>IF(InputOutputData!$E$36=1,'Rainfall Data'!C70,IF(InputOutputData!$E$36=2,'Rainfall Data'!D69,IF(InputOutputData!$E$36=3,'Rainfall Data'!E69,'Rainfall Data'!F69)))</f>
        <v>0.4</v>
      </c>
      <c r="B82" s="24">
        <f t="shared" si="14"/>
        <v>2.7777777777777776E-2</v>
      </c>
      <c r="C82" s="24">
        <f t="shared" si="15"/>
        <v>0.04</v>
      </c>
      <c r="D82" s="24">
        <f t="shared" ref="D82:D145" si="23">D81+1</f>
        <v>67</v>
      </c>
      <c r="E82" s="24">
        <f t="shared" si="16"/>
        <v>20.028000000000027</v>
      </c>
      <c r="F82" s="24">
        <f t="shared" si="12"/>
        <v>8436.6</v>
      </c>
      <c r="G82" s="24">
        <f t="shared" si="17"/>
        <v>8.0583980052267804E-3</v>
      </c>
      <c r="H82" s="24">
        <f t="shared" si="18"/>
        <v>1670662.5387756634</v>
      </c>
      <c r="I82" s="24">
        <f t="shared" si="19"/>
        <v>1815937.5421474602</v>
      </c>
      <c r="J82" s="24">
        <f t="shared" si="13"/>
        <v>0.2</v>
      </c>
      <c r="K82" s="327">
        <f t="shared" si="20"/>
        <v>400000</v>
      </c>
      <c r="L82" s="56">
        <f t="shared" si="21"/>
        <v>3456000</v>
      </c>
      <c r="M82" s="56">
        <f t="shared" si="22"/>
        <v>5271937.5421474604</v>
      </c>
      <c r="N82" s="11">
        <f>IF(COUNTIF(InputOutputData!K$20,"Chlorine") = 1,'More accurate Energy (Solar)'!M82,L82+K82+I82)</f>
        <v>5271937.5421474604</v>
      </c>
    </row>
    <row r="83" spans="1:14" ht="14.45">
      <c r="A83" s="24">
        <f>IF(InputOutputData!$E$36=1,'Rainfall Data'!C71,IF(InputOutputData!$E$36=2,'Rainfall Data'!D70,IF(InputOutputData!$E$36=3,'Rainfall Data'!E70,'Rainfall Data'!F70)))</f>
        <v>0.4</v>
      </c>
      <c r="B83" s="24">
        <f t="shared" si="14"/>
        <v>2.7777777777777776E-2</v>
      </c>
      <c r="C83" s="24">
        <f t="shared" si="15"/>
        <v>0.04</v>
      </c>
      <c r="D83" s="24">
        <f t="shared" si="23"/>
        <v>68</v>
      </c>
      <c r="E83" s="24">
        <f t="shared" si="16"/>
        <v>19.636000000000028</v>
      </c>
      <c r="F83" s="24">
        <f t="shared" si="12"/>
        <v>8436.6</v>
      </c>
      <c r="G83" s="24">
        <f t="shared" si="17"/>
        <v>8.0583980052267804E-3</v>
      </c>
      <c r="H83" s="24">
        <f t="shared" si="18"/>
        <v>1670662.5387756634</v>
      </c>
      <c r="I83" s="24">
        <f t="shared" si="19"/>
        <v>1815937.5421474602</v>
      </c>
      <c r="J83" s="24">
        <f t="shared" si="13"/>
        <v>0.2</v>
      </c>
      <c r="K83" s="327">
        <f t="shared" si="20"/>
        <v>400000</v>
      </c>
      <c r="L83" s="56">
        <f t="shared" si="21"/>
        <v>3456000</v>
      </c>
      <c r="M83" s="56">
        <f t="shared" si="22"/>
        <v>5271937.5421474604</v>
      </c>
      <c r="N83" s="11">
        <f>IF(COUNTIF(InputOutputData!K$20,"Chlorine") = 1,'More accurate Energy (Solar)'!M83,L83+K83+I83)</f>
        <v>5271937.5421474604</v>
      </c>
    </row>
    <row r="84" spans="1:14" ht="14.45">
      <c r="A84" s="24">
        <f>IF(InputOutputData!$E$36=1,'Rainfall Data'!C72,IF(InputOutputData!$E$36=2,'Rainfall Data'!D71,IF(InputOutputData!$E$36=3,'Rainfall Data'!E71,'Rainfall Data'!F71)))</f>
        <v>2.8</v>
      </c>
      <c r="B84" s="24">
        <f t="shared" si="14"/>
        <v>0.19444444444444442</v>
      </c>
      <c r="C84" s="24">
        <f t="shared" si="15"/>
        <v>0.27999999999999997</v>
      </c>
      <c r="D84" s="24">
        <f t="shared" si="23"/>
        <v>69</v>
      </c>
      <c r="E84" s="24">
        <f t="shared" si="16"/>
        <v>19.484000000000027</v>
      </c>
      <c r="F84" s="24">
        <f t="shared" si="12"/>
        <v>59056.2</v>
      </c>
      <c r="G84" s="24">
        <f t="shared" si="17"/>
        <v>2.3507068854835791E-2</v>
      </c>
      <c r="H84" s="24">
        <f t="shared" si="18"/>
        <v>4009008.7909770021</v>
      </c>
      <c r="I84" s="24">
        <f t="shared" si="19"/>
        <v>4357618.2510619583</v>
      </c>
      <c r="J84" s="24">
        <f t="shared" si="13"/>
        <v>1.4</v>
      </c>
      <c r="K84" s="327">
        <f t="shared" si="20"/>
        <v>2800000</v>
      </c>
      <c r="L84" s="56">
        <f t="shared" si="21"/>
        <v>3456000</v>
      </c>
      <c r="M84" s="56">
        <f t="shared" si="22"/>
        <v>7813618.2510619583</v>
      </c>
      <c r="N84" s="11">
        <f>IF(COUNTIF(InputOutputData!K$20,"Chlorine") = 1,'More accurate Energy (Solar)'!M84,L84+K84+I84)</f>
        <v>7813618.2510619583</v>
      </c>
    </row>
    <row r="85" spans="1:14" ht="14.45">
      <c r="A85" s="24">
        <f>IF(InputOutputData!$E$36=1,'Rainfall Data'!C73,IF(InputOutputData!$E$36=2,'Rainfall Data'!D72,IF(InputOutputData!$E$36=3,'Rainfall Data'!E72,'Rainfall Data'!F72)))</f>
        <v>13.6</v>
      </c>
      <c r="B85" s="24">
        <f t="shared" si="14"/>
        <v>0.94444444444444442</v>
      </c>
      <c r="C85" s="24">
        <f t="shared" si="15"/>
        <v>1.3599999999999999</v>
      </c>
      <c r="D85" s="24">
        <f t="shared" si="23"/>
        <v>70</v>
      </c>
      <c r="E85" s="24">
        <f t="shared" si="16"/>
        <v>20.412000000000027</v>
      </c>
      <c r="F85" s="24">
        <f t="shared" si="12"/>
        <v>286844.39999999997</v>
      </c>
      <c r="G85" s="24">
        <f t="shared" si="17"/>
        <v>5.615190540878634E-2</v>
      </c>
      <c r="H85" s="24">
        <f t="shared" si="18"/>
        <v>8151769.0529552493</v>
      </c>
      <c r="I85" s="24">
        <f t="shared" si="19"/>
        <v>8860618.5358209219</v>
      </c>
      <c r="J85" s="24">
        <f t="shared" si="13"/>
        <v>6.7999999999999989</v>
      </c>
      <c r="K85" s="327">
        <f t="shared" si="20"/>
        <v>13599999.999999998</v>
      </c>
      <c r="L85" s="56">
        <f t="shared" si="21"/>
        <v>3456000</v>
      </c>
      <c r="M85" s="56">
        <f t="shared" si="22"/>
        <v>12316618.535820922</v>
      </c>
      <c r="N85" s="11">
        <f>IF(COUNTIF(InputOutputData!K$20,"Chlorine") = 1,'More accurate Energy (Solar)'!M85,L85+K85+I85)</f>
        <v>12316618.535820922</v>
      </c>
    </row>
    <row r="86" spans="1:14" ht="14.45">
      <c r="A86" s="24">
        <f>IF(InputOutputData!$E$36=1,'Rainfall Data'!C74,IF(InputOutputData!$E$36=2,'Rainfall Data'!D73,IF(InputOutputData!$E$36=3,'Rainfall Data'!E73,'Rainfall Data'!F73)))</f>
        <v>8.6</v>
      </c>
      <c r="B86" s="24">
        <f t="shared" si="14"/>
        <v>0.59722222222222221</v>
      </c>
      <c r="C86" s="24">
        <f t="shared" si="15"/>
        <v>0.86</v>
      </c>
      <c r="D86" s="24">
        <f t="shared" si="23"/>
        <v>71</v>
      </c>
      <c r="E86" s="24">
        <f t="shared" si="16"/>
        <v>20.840000000000028</v>
      </c>
      <c r="F86" s="24">
        <f t="shared" si="12"/>
        <v>181386.9</v>
      </c>
      <c r="G86" s="24">
        <f t="shared" si="17"/>
        <v>4.3610218123061879E-2</v>
      </c>
      <c r="H86" s="24">
        <f t="shared" si="18"/>
        <v>6637241.9437472699</v>
      </c>
      <c r="I86" s="24">
        <f t="shared" si="19"/>
        <v>7214393.4171165973</v>
      </c>
      <c r="J86" s="24">
        <f t="shared" si="13"/>
        <v>4.3</v>
      </c>
      <c r="K86" s="327">
        <f t="shared" si="20"/>
        <v>8600000</v>
      </c>
      <c r="L86" s="56">
        <f t="shared" si="21"/>
        <v>3456000</v>
      </c>
      <c r="M86" s="56">
        <f t="shared" si="22"/>
        <v>10670393.417116597</v>
      </c>
      <c r="N86" s="11">
        <f>IF(COUNTIF(InputOutputData!K$20,"Chlorine") = 1,'More accurate Energy (Solar)'!M86,L86+K86+I86)</f>
        <v>10670393.417116597</v>
      </c>
    </row>
    <row r="87" spans="1:14" ht="14.45">
      <c r="A87" s="24">
        <f>IF(InputOutputData!$E$36=1,'Rainfall Data'!C75,IF(InputOutputData!$E$36=2,'Rainfall Data'!D74,IF(InputOutputData!$E$36=3,'Rainfall Data'!E74,'Rainfall Data'!F74)))</f>
        <v>17.399999999999999</v>
      </c>
      <c r="B87" s="24">
        <f t="shared" si="14"/>
        <v>1.0416666666666667</v>
      </c>
      <c r="C87" s="24">
        <f t="shared" si="15"/>
        <v>1.5</v>
      </c>
      <c r="D87" s="24">
        <f t="shared" si="23"/>
        <v>72</v>
      </c>
      <c r="E87" s="24">
        <f t="shared" si="16"/>
        <v>21.90800000000003</v>
      </c>
      <c r="F87" s="24">
        <f t="shared" si="12"/>
        <v>316372.5</v>
      </c>
      <c r="G87" s="24">
        <f t="shared" si="17"/>
        <v>5.9272522795741148E-2</v>
      </c>
      <c r="H87" s="24">
        <f t="shared" si="18"/>
        <v>8517561.9968154822</v>
      </c>
      <c r="I87" s="24">
        <f t="shared" si="19"/>
        <v>9258219.5617559589</v>
      </c>
      <c r="J87" s="24">
        <f t="shared" si="13"/>
        <v>7.5</v>
      </c>
      <c r="K87" s="327">
        <f t="shared" si="20"/>
        <v>15000000</v>
      </c>
      <c r="L87" s="56">
        <f t="shared" si="21"/>
        <v>3456000</v>
      </c>
      <c r="M87" s="56">
        <f t="shared" si="22"/>
        <v>12714219.561755959</v>
      </c>
      <c r="N87" s="11">
        <f>IF(COUNTIF(InputOutputData!K$20,"Chlorine") = 1,'More accurate Energy (Solar)'!M87,L87+K87+I87)</f>
        <v>12714219.561755959</v>
      </c>
    </row>
    <row r="88" spans="1:14" ht="14.45">
      <c r="A88" s="24">
        <f>IF(InputOutputData!$E$36=1,'Rainfall Data'!C76,IF(InputOutputData!$E$36=2,'Rainfall Data'!D75,IF(InputOutputData!$E$36=3,'Rainfall Data'!E75,'Rainfall Data'!F75)))</f>
        <v>0.6</v>
      </c>
      <c r="B88" s="24">
        <f t="shared" si="14"/>
        <v>4.1666666666666664E-2</v>
      </c>
      <c r="C88" s="24">
        <f t="shared" si="15"/>
        <v>0.06</v>
      </c>
      <c r="D88" s="24">
        <f t="shared" si="23"/>
        <v>73</v>
      </c>
      <c r="E88" s="24">
        <f t="shared" si="16"/>
        <v>21.53600000000003</v>
      </c>
      <c r="F88" s="24">
        <f t="shared" si="12"/>
        <v>12654.9</v>
      </c>
      <c r="G88" s="24">
        <f t="shared" si="17"/>
        <v>1.0071891960946849E-2</v>
      </c>
      <c r="H88" s="24">
        <f t="shared" si="18"/>
        <v>2005015.1037280308</v>
      </c>
      <c r="I88" s="24">
        <f t="shared" si="19"/>
        <v>2179364.2431826419</v>
      </c>
      <c r="J88" s="24">
        <f t="shared" si="13"/>
        <v>0.3</v>
      </c>
      <c r="K88" s="327">
        <f t="shared" si="20"/>
        <v>600000</v>
      </c>
      <c r="L88" s="56">
        <f t="shared" si="21"/>
        <v>3456000</v>
      </c>
      <c r="M88" s="56">
        <f t="shared" si="22"/>
        <v>5635364.2431826424</v>
      </c>
      <c r="N88" s="11">
        <f>IF(COUNTIF(InputOutputData!K$20,"Chlorine") = 1,'More accurate Energy (Solar)'!M88,L88+K88+I88)</f>
        <v>5635364.2431826424</v>
      </c>
    </row>
    <row r="89" spans="1:14" ht="14.45">
      <c r="A89" s="24">
        <f>IF(InputOutputData!$E$36=1,'Rainfall Data'!C77,IF(InputOutputData!$E$36=2,'Rainfall Data'!D76,IF(InputOutputData!$E$36=3,'Rainfall Data'!E76,'Rainfall Data'!F76)))</f>
        <v>0</v>
      </c>
      <c r="B89" s="24">
        <f t="shared" si="14"/>
        <v>0</v>
      </c>
      <c r="C89" s="24">
        <f t="shared" si="15"/>
        <v>0</v>
      </c>
      <c r="D89" s="24">
        <f t="shared" si="23"/>
        <v>74</v>
      </c>
      <c r="E89" s="24">
        <f t="shared" si="16"/>
        <v>21.104000000000031</v>
      </c>
      <c r="F89" s="24">
        <f t="shared" si="12"/>
        <v>0</v>
      </c>
      <c r="G89" s="24">
        <f t="shared" si="17"/>
        <v>0</v>
      </c>
      <c r="H89" s="24">
        <f t="shared" si="18"/>
        <v>0</v>
      </c>
      <c r="I89" s="24">
        <f t="shared" si="19"/>
        <v>0</v>
      </c>
      <c r="J89" s="24">
        <f t="shared" si="13"/>
        <v>0</v>
      </c>
      <c r="K89" s="327">
        <f t="shared" si="20"/>
        <v>0</v>
      </c>
      <c r="L89" s="56">
        <f t="shared" si="21"/>
        <v>3456000</v>
      </c>
      <c r="M89" s="56">
        <f t="shared" si="22"/>
        <v>3456000</v>
      </c>
      <c r="N89" s="11">
        <f>IF(COUNTIF(InputOutputData!K$20,"Chlorine") = 1,'More accurate Energy (Solar)'!M89,L89+K89+I89)</f>
        <v>3456000</v>
      </c>
    </row>
    <row r="90" spans="1:14" ht="14.45">
      <c r="A90" s="24">
        <f>IF(InputOutputData!$E$36=1,'Rainfall Data'!C78,IF(InputOutputData!$E$36=2,'Rainfall Data'!D77,IF(InputOutputData!$E$36=3,'Rainfall Data'!E77,'Rainfall Data'!F77)))</f>
        <v>0</v>
      </c>
      <c r="B90" s="24">
        <f t="shared" si="14"/>
        <v>0</v>
      </c>
      <c r="C90" s="24">
        <f t="shared" si="15"/>
        <v>0</v>
      </c>
      <c r="D90" s="24">
        <f t="shared" si="23"/>
        <v>75</v>
      </c>
      <c r="E90" s="24">
        <f t="shared" si="16"/>
        <v>20.672000000000033</v>
      </c>
      <c r="F90" s="24">
        <f t="shared" si="12"/>
        <v>0</v>
      </c>
      <c r="G90" s="24">
        <f t="shared" si="17"/>
        <v>0</v>
      </c>
      <c r="H90" s="24">
        <f t="shared" si="18"/>
        <v>0</v>
      </c>
      <c r="I90" s="24">
        <f t="shared" si="19"/>
        <v>0</v>
      </c>
      <c r="J90" s="24">
        <f t="shared" si="13"/>
        <v>0</v>
      </c>
      <c r="K90" s="327">
        <f t="shared" si="20"/>
        <v>0</v>
      </c>
      <c r="L90" s="56">
        <f t="shared" si="21"/>
        <v>3456000</v>
      </c>
      <c r="M90" s="56">
        <f t="shared" si="22"/>
        <v>3456000</v>
      </c>
      <c r="N90" s="11">
        <f>IF(COUNTIF(InputOutputData!K$20,"Chlorine") = 1,'More accurate Energy (Solar)'!M90,L90+K90+I90)</f>
        <v>3456000</v>
      </c>
    </row>
    <row r="91" spans="1:14" ht="14.45">
      <c r="A91" s="24">
        <f>IF(InputOutputData!$E$36=1,'Rainfall Data'!C79,IF(InputOutputData!$E$36=2,'Rainfall Data'!D78,IF(InputOutputData!$E$36=3,'Rainfall Data'!E78,'Rainfall Data'!F78)))</f>
        <v>0</v>
      </c>
      <c r="B91" s="24">
        <f t="shared" si="14"/>
        <v>0</v>
      </c>
      <c r="C91" s="24">
        <f t="shared" si="15"/>
        <v>0</v>
      </c>
      <c r="D91" s="24">
        <f t="shared" si="23"/>
        <v>76</v>
      </c>
      <c r="E91" s="24">
        <f t="shared" si="16"/>
        <v>20.240000000000034</v>
      </c>
      <c r="F91" s="24">
        <f t="shared" si="12"/>
        <v>0</v>
      </c>
      <c r="G91" s="24">
        <f t="shared" si="17"/>
        <v>0</v>
      </c>
      <c r="H91" s="24">
        <f t="shared" si="18"/>
        <v>0</v>
      </c>
      <c r="I91" s="24">
        <f t="shared" si="19"/>
        <v>0</v>
      </c>
      <c r="J91" s="24">
        <f t="shared" si="13"/>
        <v>0</v>
      </c>
      <c r="K91" s="327">
        <f t="shared" si="20"/>
        <v>0</v>
      </c>
      <c r="L91" s="56">
        <f t="shared" si="21"/>
        <v>3456000</v>
      </c>
      <c r="M91" s="56">
        <f t="shared" si="22"/>
        <v>3456000</v>
      </c>
      <c r="N91" s="11">
        <f>IF(COUNTIF(InputOutputData!K$20,"Chlorine") = 1,'More accurate Energy (Solar)'!M91,L91+K91+I91)</f>
        <v>3456000</v>
      </c>
    </row>
    <row r="92" spans="1:14" ht="14.45">
      <c r="A92" s="24">
        <f>IF(InputOutputData!$E$36=1,'Rainfall Data'!C80,IF(InputOutputData!$E$36=2,'Rainfall Data'!D79,IF(InputOutputData!$E$36=3,'Rainfall Data'!E79,'Rainfall Data'!F79)))</f>
        <v>31</v>
      </c>
      <c r="B92" s="24">
        <f t="shared" si="14"/>
        <v>1.0416666666666667</v>
      </c>
      <c r="C92" s="24">
        <f t="shared" si="15"/>
        <v>1.5</v>
      </c>
      <c r="D92" s="24">
        <f t="shared" si="23"/>
        <v>77</v>
      </c>
      <c r="E92" s="24">
        <f t="shared" si="16"/>
        <v>21.308000000000035</v>
      </c>
      <c r="F92" s="24">
        <f t="shared" si="12"/>
        <v>316372.5</v>
      </c>
      <c r="G92" s="24">
        <f t="shared" si="17"/>
        <v>5.9272522795741148E-2</v>
      </c>
      <c r="H92" s="24">
        <f t="shared" si="18"/>
        <v>8517561.9968154822</v>
      </c>
      <c r="I92" s="24">
        <f t="shared" si="19"/>
        <v>9258219.5617559589</v>
      </c>
      <c r="J92" s="24">
        <f t="shared" si="13"/>
        <v>7.5</v>
      </c>
      <c r="K92" s="327">
        <f t="shared" si="20"/>
        <v>15000000</v>
      </c>
      <c r="L92" s="56">
        <f t="shared" si="21"/>
        <v>3456000</v>
      </c>
      <c r="M92" s="56">
        <f t="shared" si="22"/>
        <v>12714219.561755959</v>
      </c>
      <c r="N92" s="11">
        <f>IF(COUNTIF(InputOutputData!K$20,"Chlorine") = 1,'More accurate Energy (Solar)'!M92,L92+K92+I92)</f>
        <v>12714219.561755959</v>
      </c>
    </row>
    <row r="93" spans="1:14" ht="14.45">
      <c r="A93" s="24">
        <f>IF(InputOutputData!$E$36=1,'Rainfall Data'!C81,IF(InputOutputData!$E$36=2,'Rainfall Data'!D80,IF(InputOutputData!$E$36=3,'Rainfall Data'!E80,'Rainfall Data'!F80)))</f>
        <v>35.4</v>
      </c>
      <c r="B93" s="24">
        <f t="shared" si="14"/>
        <v>1.0416666666666667</v>
      </c>
      <c r="C93" s="24">
        <f t="shared" si="15"/>
        <v>1.5</v>
      </c>
      <c r="D93" s="24">
        <f t="shared" si="23"/>
        <v>78</v>
      </c>
      <c r="E93" s="24">
        <f t="shared" si="16"/>
        <v>22.376000000000037</v>
      </c>
      <c r="F93" s="24">
        <f t="shared" si="12"/>
        <v>316372.5</v>
      </c>
      <c r="G93" s="24">
        <f t="shared" si="17"/>
        <v>5.9272522795741148E-2</v>
      </c>
      <c r="H93" s="24">
        <f t="shared" si="18"/>
        <v>8517561.9968154822</v>
      </c>
      <c r="I93" s="24">
        <f t="shared" si="19"/>
        <v>9258219.5617559589</v>
      </c>
      <c r="J93" s="24">
        <f t="shared" si="13"/>
        <v>7.5</v>
      </c>
      <c r="K93" s="327">
        <f t="shared" si="20"/>
        <v>15000000</v>
      </c>
      <c r="L93" s="56">
        <f t="shared" si="21"/>
        <v>3456000</v>
      </c>
      <c r="M93" s="56">
        <f t="shared" si="22"/>
        <v>12714219.561755959</v>
      </c>
      <c r="N93" s="11">
        <f>IF(COUNTIF(InputOutputData!K$20,"Chlorine") = 1,'More accurate Energy (Solar)'!M93,L93+K93+I93)</f>
        <v>12714219.561755959</v>
      </c>
    </row>
    <row r="94" spans="1:14" ht="14.45">
      <c r="A94" s="24">
        <f>IF(InputOutputData!$E$36=1,'Rainfall Data'!C82,IF(InputOutputData!$E$36=2,'Rainfall Data'!D81,IF(InputOutputData!$E$36=3,'Rainfall Data'!E81,'Rainfall Data'!F81)))</f>
        <v>28.6</v>
      </c>
      <c r="B94" s="24">
        <f t="shared" si="14"/>
        <v>1.0416666666666667</v>
      </c>
      <c r="C94" s="24">
        <f t="shared" si="15"/>
        <v>1.5</v>
      </c>
      <c r="D94" s="24">
        <f t="shared" si="23"/>
        <v>79</v>
      </c>
      <c r="E94" s="24">
        <f t="shared" si="16"/>
        <v>23.444000000000038</v>
      </c>
      <c r="F94" s="24">
        <f t="shared" si="12"/>
        <v>316372.5</v>
      </c>
      <c r="G94" s="24">
        <f t="shared" si="17"/>
        <v>5.9272522795741148E-2</v>
      </c>
      <c r="H94" s="24">
        <f t="shared" si="18"/>
        <v>8517561.9968154822</v>
      </c>
      <c r="I94" s="24">
        <f t="shared" si="19"/>
        <v>9258219.5617559589</v>
      </c>
      <c r="J94" s="24">
        <f t="shared" si="13"/>
        <v>7.5</v>
      </c>
      <c r="K94" s="327">
        <f t="shared" si="20"/>
        <v>15000000</v>
      </c>
      <c r="L94" s="56">
        <f t="shared" si="21"/>
        <v>3456000</v>
      </c>
      <c r="M94" s="56">
        <f t="shared" si="22"/>
        <v>12714219.561755959</v>
      </c>
      <c r="N94" s="11">
        <f>IF(COUNTIF(InputOutputData!K$20,"Chlorine") = 1,'More accurate Energy (Solar)'!M94,L94+K94+I94)</f>
        <v>12714219.561755959</v>
      </c>
    </row>
    <row r="95" spans="1:14" ht="14.45">
      <c r="A95" s="24">
        <f>IF(InputOutputData!$E$36=1,'Rainfall Data'!C83,IF(InputOutputData!$E$36=2,'Rainfall Data'!D82,IF(InputOutputData!$E$36=3,'Rainfall Data'!E82,'Rainfall Data'!F82)))</f>
        <v>0</v>
      </c>
      <c r="B95" s="24">
        <f t="shared" si="14"/>
        <v>0</v>
      </c>
      <c r="C95" s="24">
        <f t="shared" si="15"/>
        <v>0</v>
      </c>
      <c r="D95" s="24">
        <f t="shared" si="23"/>
        <v>80</v>
      </c>
      <c r="E95" s="24">
        <f t="shared" si="16"/>
        <v>23.01200000000004</v>
      </c>
      <c r="F95" s="24">
        <f t="shared" si="12"/>
        <v>0</v>
      </c>
      <c r="G95" s="24">
        <f t="shared" si="17"/>
        <v>0</v>
      </c>
      <c r="H95" s="24">
        <f t="shared" si="18"/>
        <v>0</v>
      </c>
      <c r="I95" s="24">
        <f t="shared" si="19"/>
        <v>0</v>
      </c>
      <c r="J95" s="24">
        <f t="shared" si="13"/>
        <v>0</v>
      </c>
      <c r="K95" s="327">
        <f t="shared" si="20"/>
        <v>0</v>
      </c>
      <c r="L95" s="56">
        <f t="shared" si="21"/>
        <v>3456000</v>
      </c>
      <c r="M95" s="56">
        <f t="shared" si="22"/>
        <v>3456000</v>
      </c>
      <c r="N95" s="11">
        <f>IF(COUNTIF(InputOutputData!K$20,"Chlorine") = 1,'More accurate Energy (Solar)'!M95,L95+K95+I95)</f>
        <v>3456000</v>
      </c>
    </row>
    <row r="96" spans="1:14" ht="14.45">
      <c r="A96" s="24">
        <f>IF(InputOutputData!$E$36=1,'Rainfall Data'!C84,IF(InputOutputData!$E$36=2,'Rainfall Data'!D83,IF(InputOutputData!$E$36=3,'Rainfall Data'!E83,'Rainfall Data'!F83)))</f>
        <v>7</v>
      </c>
      <c r="B96" s="24">
        <f t="shared" si="14"/>
        <v>0.4861111111111111</v>
      </c>
      <c r="C96" s="24">
        <f t="shared" si="15"/>
        <v>0.70000000000000007</v>
      </c>
      <c r="D96" s="24">
        <f t="shared" si="23"/>
        <v>81</v>
      </c>
      <c r="E96" s="24">
        <f t="shared" si="16"/>
        <v>23.28000000000004</v>
      </c>
      <c r="F96" s="24">
        <f t="shared" si="12"/>
        <v>147640.50000000003</v>
      </c>
      <c r="G96" s="24">
        <f t="shared" si="17"/>
        <v>3.8933259753858931E-2</v>
      </c>
      <c r="H96" s="24">
        <f t="shared" si="18"/>
        <v>6051384.2332324646</v>
      </c>
      <c r="I96" s="24">
        <f t="shared" si="19"/>
        <v>6577591.5578613747</v>
      </c>
      <c r="J96" s="24">
        <f t="shared" si="13"/>
        <v>3.5000000000000004</v>
      </c>
      <c r="K96" s="327">
        <f t="shared" si="20"/>
        <v>7000000.0000000009</v>
      </c>
      <c r="L96" s="56">
        <f t="shared" si="21"/>
        <v>3456000</v>
      </c>
      <c r="M96" s="56">
        <f t="shared" si="22"/>
        <v>10033591.557861375</v>
      </c>
      <c r="N96" s="11">
        <f>IF(COUNTIF(InputOutputData!K$20,"Chlorine") = 1,'More accurate Energy (Solar)'!M96,L96+K96+I96)</f>
        <v>10033591.557861375</v>
      </c>
    </row>
    <row r="97" spans="1:14" ht="14.45">
      <c r="A97" s="24">
        <f>IF(InputOutputData!$E$36=1,'Rainfall Data'!C85,IF(InputOutputData!$E$36=2,'Rainfall Data'!D84,IF(InputOutputData!$E$36=3,'Rainfall Data'!E84,'Rainfall Data'!F84)))</f>
        <v>9.6</v>
      </c>
      <c r="B97" s="24">
        <f t="shared" si="14"/>
        <v>0.66666666666666663</v>
      </c>
      <c r="C97" s="24">
        <f t="shared" si="15"/>
        <v>0.96</v>
      </c>
      <c r="D97" s="24">
        <f t="shared" si="23"/>
        <v>82</v>
      </c>
      <c r="E97" s="24">
        <f t="shared" si="16"/>
        <v>23.808000000000039</v>
      </c>
      <c r="F97" s="24">
        <f t="shared" si="12"/>
        <v>202478.4</v>
      </c>
      <c r="G97" s="24">
        <f t="shared" si="17"/>
        <v>4.6336591370803239E-2</v>
      </c>
      <c r="H97" s="24">
        <f t="shared" si="18"/>
        <v>6973079.3422288122</v>
      </c>
      <c r="I97" s="24">
        <f t="shared" si="19"/>
        <v>7579434.0676400131</v>
      </c>
      <c r="J97" s="24">
        <f t="shared" si="13"/>
        <v>4.8</v>
      </c>
      <c r="K97" s="327">
        <f t="shared" si="20"/>
        <v>9600000</v>
      </c>
      <c r="L97" s="56">
        <f t="shared" si="21"/>
        <v>3456000</v>
      </c>
      <c r="M97" s="56">
        <f t="shared" si="22"/>
        <v>11035434.067640014</v>
      </c>
      <c r="N97" s="11">
        <f>IF(COUNTIF(InputOutputData!K$20,"Chlorine") = 1,'More accurate Energy (Solar)'!M97,L97+K97+I97)</f>
        <v>11035434.067640014</v>
      </c>
    </row>
    <row r="98" spans="1:14" ht="14.45">
      <c r="A98" s="24">
        <f>IF(InputOutputData!$E$36=1,'Rainfall Data'!C86,IF(InputOutputData!$E$36=2,'Rainfall Data'!D85,IF(InputOutputData!$E$36=3,'Rainfall Data'!E85,'Rainfall Data'!F85)))</f>
        <v>18.2</v>
      </c>
      <c r="B98" s="24">
        <f t="shared" si="14"/>
        <v>1.0416666666666667</v>
      </c>
      <c r="C98" s="24">
        <f t="shared" si="15"/>
        <v>1.5</v>
      </c>
      <c r="D98" s="24">
        <f t="shared" si="23"/>
        <v>83</v>
      </c>
      <c r="E98" s="24">
        <f t="shared" si="16"/>
        <v>24.87600000000004</v>
      </c>
      <c r="F98" s="24">
        <f t="shared" si="12"/>
        <v>316372.5</v>
      </c>
      <c r="G98" s="24">
        <f t="shared" si="17"/>
        <v>5.9272522795741148E-2</v>
      </c>
      <c r="H98" s="24">
        <f t="shared" si="18"/>
        <v>8517561.9968154822</v>
      </c>
      <c r="I98" s="24">
        <f t="shared" si="19"/>
        <v>9258219.5617559589</v>
      </c>
      <c r="J98" s="24">
        <f t="shared" si="13"/>
        <v>7.5</v>
      </c>
      <c r="K98" s="327">
        <f t="shared" si="20"/>
        <v>15000000</v>
      </c>
      <c r="L98" s="56">
        <f t="shared" si="21"/>
        <v>3456000</v>
      </c>
      <c r="M98" s="56">
        <f t="shared" si="22"/>
        <v>12714219.561755959</v>
      </c>
      <c r="N98" s="11">
        <f>IF(COUNTIF(InputOutputData!K$20,"Chlorine") = 1,'More accurate Energy (Solar)'!M98,L98+K98+I98)</f>
        <v>12714219.561755959</v>
      </c>
    </row>
    <row r="99" spans="1:14" ht="14.45">
      <c r="A99" s="24">
        <f>IF(InputOutputData!$E$36=1,'Rainfall Data'!C87,IF(InputOutputData!$E$36=2,'Rainfall Data'!D86,IF(InputOutputData!$E$36=3,'Rainfall Data'!E86,'Rainfall Data'!F86)))</f>
        <v>104.4</v>
      </c>
      <c r="B99" s="24">
        <f t="shared" si="14"/>
        <v>1.0416666666666667</v>
      </c>
      <c r="C99" s="24">
        <f t="shared" si="15"/>
        <v>1.5</v>
      </c>
      <c r="D99" s="24">
        <f t="shared" si="23"/>
        <v>84</v>
      </c>
      <c r="E99" s="24">
        <f t="shared" si="16"/>
        <v>25.944000000000042</v>
      </c>
      <c r="F99" s="24">
        <f t="shared" si="12"/>
        <v>316372.5</v>
      </c>
      <c r="G99" s="24">
        <f t="shared" si="17"/>
        <v>5.9272522795741148E-2</v>
      </c>
      <c r="H99" s="24">
        <f t="shared" si="18"/>
        <v>8517561.9968154822</v>
      </c>
      <c r="I99" s="24">
        <f t="shared" si="19"/>
        <v>9258219.5617559589</v>
      </c>
      <c r="J99" s="24">
        <f t="shared" si="13"/>
        <v>7.5</v>
      </c>
      <c r="K99" s="327">
        <f t="shared" si="20"/>
        <v>15000000</v>
      </c>
      <c r="L99" s="56">
        <f t="shared" si="21"/>
        <v>3456000</v>
      </c>
      <c r="M99" s="56">
        <f t="shared" si="22"/>
        <v>12714219.561755959</v>
      </c>
      <c r="N99" s="11">
        <f>IF(COUNTIF(InputOutputData!K$20,"Chlorine") = 1,'More accurate Energy (Solar)'!M99,L99+K99+I99)</f>
        <v>12714219.561755959</v>
      </c>
    </row>
    <row r="100" spans="1:14" ht="14.45">
      <c r="A100" s="24">
        <f>IF(InputOutputData!$E$36=1,'Rainfall Data'!C88,IF(InputOutputData!$E$36=2,'Rainfall Data'!D87,IF(InputOutputData!$E$36=3,'Rainfall Data'!E87,'Rainfall Data'!F87)))</f>
        <v>33.200000000000003</v>
      </c>
      <c r="B100" s="24">
        <f t="shared" si="14"/>
        <v>1.0416666666666667</v>
      </c>
      <c r="C100" s="24">
        <f t="shared" si="15"/>
        <v>1.5</v>
      </c>
      <c r="D100" s="24">
        <f t="shared" si="23"/>
        <v>85</v>
      </c>
      <c r="E100" s="24">
        <f t="shared" si="16"/>
        <v>27.012000000000043</v>
      </c>
      <c r="F100" s="24">
        <f t="shared" si="12"/>
        <v>316372.5</v>
      </c>
      <c r="G100" s="24">
        <f t="shared" si="17"/>
        <v>5.9272522795741148E-2</v>
      </c>
      <c r="H100" s="24">
        <f t="shared" si="18"/>
        <v>8517561.9968154822</v>
      </c>
      <c r="I100" s="24">
        <f t="shared" si="19"/>
        <v>9258219.5617559589</v>
      </c>
      <c r="J100" s="24">
        <f t="shared" si="13"/>
        <v>7.5</v>
      </c>
      <c r="K100" s="327">
        <f t="shared" si="20"/>
        <v>15000000</v>
      </c>
      <c r="L100" s="56">
        <f t="shared" si="21"/>
        <v>3456000</v>
      </c>
      <c r="M100" s="56">
        <f t="shared" si="22"/>
        <v>12714219.561755959</v>
      </c>
      <c r="N100" s="11">
        <f>IF(COUNTIF(InputOutputData!K$20,"Chlorine") = 1,'More accurate Energy (Solar)'!M100,L100+K100+I100)</f>
        <v>12714219.561755959</v>
      </c>
    </row>
    <row r="101" spans="1:14" ht="14.45">
      <c r="A101" s="24">
        <f>IF(InputOutputData!$E$36=1,'Rainfall Data'!C89,IF(InputOutputData!$E$36=2,'Rainfall Data'!D88,IF(InputOutputData!$E$36=3,'Rainfall Data'!E88,'Rainfall Data'!F88)))</f>
        <v>26.2</v>
      </c>
      <c r="B101" s="24">
        <f t="shared" si="14"/>
        <v>1.0416666666666667</v>
      </c>
      <c r="C101" s="24">
        <f t="shared" si="15"/>
        <v>1.5</v>
      </c>
      <c r="D101" s="24">
        <f t="shared" si="23"/>
        <v>86</v>
      </c>
      <c r="E101" s="24">
        <f t="shared" si="16"/>
        <v>28.080000000000044</v>
      </c>
      <c r="F101" s="24">
        <f t="shared" si="12"/>
        <v>316372.5</v>
      </c>
      <c r="G101" s="24">
        <f t="shared" si="17"/>
        <v>5.9272522795741148E-2</v>
      </c>
      <c r="H101" s="24">
        <f t="shared" si="18"/>
        <v>8517561.9968154822</v>
      </c>
      <c r="I101" s="24">
        <f t="shared" si="19"/>
        <v>9258219.5617559589</v>
      </c>
      <c r="J101" s="24">
        <f t="shared" si="13"/>
        <v>7.5</v>
      </c>
      <c r="K101" s="327">
        <f t="shared" si="20"/>
        <v>15000000</v>
      </c>
      <c r="L101" s="56">
        <f t="shared" si="21"/>
        <v>3456000</v>
      </c>
      <c r="M101" s="56">
        <f t="shared" si="22"/>
        <v>12714219.561755959</v>
      </c>
      <c r="N101" s="11">
        <f>IF(COUNTIF(InputOutputData!K$20,"Chlorine") = 1,'More accurate Energy (Solar)'!M101,L101+K101+I101)</f>
        <v>12714219.561755959</v>
      </c>
    </row>
    <row r="102" spans="1:14" ht="14.45">
      <c r="A102" s="24">
        <f>IF(InputOutputData!$E$36=1,'Rainfall Data'!C90,IF(InputOutputData!$E$36=2,'Rainfall Data'!D89,IF(InputOutputData!$E$36=3,'Rainfall Data'!E89,'Rainfall Data'!F89)))</f>
        <v>68.8</v>
      </c>
      <c r="B102" s="24">
        <f t="shared" si="14"/>
        <v>1.0416666666666667</v>
      </c>
      <c r="C102" s="24">
        <f t="shared" si="15"/>
        <v>1.5</v>
      </c>
      <c r="D102" s="24">
        <f t="shared" si="23"/>
        <v>87</v>
      </c>
      <c r="E102" s="24">
        <f t="shared" si="16"/>
        <v>29.148000000000046</v>
      </c>
      <c r="F102" s="24">
        <f t="shared" si="12"/>
        <v>316372.5</v>
      </c>
      <c r="G102" s="24">
        <f t="shared" si="17"/>
        <v>5.9272522795741148E-2</v>
      </c>
      <c r="H102" s="24">
        <f t="shared" si="18"/>
        <v>8517561.9968154822</v>
      </c>
      <c r="I102" s="24">
        <f t="shared" si="19"/>
        <v>9258219.5617559589</v>
      </c>
      <c r="J102" s="24">
        <f t="shared" si="13"/>
        <v>7.5</v>
      </c>
      <c r="K102" s="327">
        <f t="shared" si="20"/>
        <v>15000000</v>
      </c>
      <c r="L102" s="56">
        <f t="shared" si="21"/>
        <v>3456000</v>
      </c>
      <c r="M102" s="56">
        <f t="shared" si="22"/>
        <v>12714219.561755959</v>
      </c>
      <c r="N102" s="11">
        <f>IF(COUNTIF(InputOutputData!K$20,"Chlorine") = 1,'More accurate Energy (Solar)'!M102,L102+K102+I102)</f>
        <v>12714219.561755959</v>
      </c>
    </row>
    <row r="103" spans="1:14" ht="14.45">
      <c r="A103" s="24">
        <f>IF(InputOutputData!$E$36=1,'Rainfall Data'!C91,IF(InputOutputData!$E$36=2,'Rainfall Data'!D90,IF(InputOutputData!$E$36=3,'Rainfall Data'!E90,'Rainfall Data'!F90)))</f>
        <v>10</v>
      </c>
      <c r="B103" s="24">
        <f t="shared" si="14"/>
        <v>0.69444444444444442</v>
      </c>
      <c r="C103" s="24">
        <f t="shared" si="15"/>
        <v>1</v>
      </c>
      <c r="D103" s="24">
        <f t="shared" si="23"/>
        <v>88</v>
      </c>
      <c r="E103" s="24">
        <f t="shared" si="16"/>
        <v>29.716000000000047</v>
      </c>
      <c r="F103" s="24">
        <f t="shared" si="12"/>
        <v>210915</v>
      </c>
      <c r="G103" s="24">
        <f t="shared" si="17"/>
        <v>4.7391365567291351E-2</v>
      </c>
      <c r="H103" s="24">
        <f t="shared" si="18"/>
        <v>7101960.1929178918</v>
      </c>
      <c r="I103" s="24">
        <f t="shared" si="19"/>
        <v>7719521.9488237947</v>
      </c>
      <c r="J103" s="24">
        <f t="shared" si="13"/>
        <v>5</v>
      </c>
      <c r="K103" s="327">
        <f t="shared" si="20"/>
        <v>10000000</v>
      </c>
      <c r="L103" s="56">
        <f t="shared" si="21"/>
        <v>3456000</v>
      </c>
      <c r="M103" s="56">
        <f t="shared" si="22"/>
        <v>11175521.948823795</v>
      </c>
      <c r="N103" s="11">
        <f>IF(COUNTIF(InputOutputData!K$20,"Chlorine") = 1,'More accurate Energy (Solar)'!M103,L103+K103+I103)</f>
        <v>11175521.948823795</v>
      </c>
    </row>
    <row r="104" spans="1:14" ht="14.45">
      <c r="A104" s="24">
        <f>IF(InputOutputData!$E$36=1,'Rainfall Data'!C92,IF(InputOutputData!$E$36=2,'Rainfall Data'!D91,IF(InputOutputData!$E$36=3,'Rainfall Data'!E91,'Rainfall Data'!F91)))</f>
        <v>37.700000000000003</v>
      </c>
      <c r="B104" s="24">
        <f t="shared" si="14"/>
        <v>1.0416666666666667</v>
      </c>
      <c r="C104" s="24">
        <f t="shared" si="15"/>
        <v>1.5</v>
      </c>
      <c r="D104" s="24">
        <f t="shared" si="23"/>
        <v>89</v>
      </c>
      <c r="E104" s="24">
        <f t="shared" si="16"/>
        <v>30.784000000000049</v>
      </c>
      <c r="F104" s="24">
        <f t="shared" si="12"/>
        <v>316372.5</v>
      </c>
      <c r="G104" s="24">
        <f t="shared" si="17"/>
        <v>5.9272522795741148E-2</v>
      </c>
      <c r="H104" s="24">
        <f t="shared" si="18"/>
        <v>8517561.9968154822</v>
      </c>
      <c r="I104" s="24">
        <f t="shared" si="19"/>
        <v>9258219.5617559589</v>
      </c>
      <c r="J104" s="24">
        <f t="shared" si="13"/>
        <v>7.5</v>
      </c>
      <c r="K104" s="327">
        <f t="shared" si="20"/>
        <v>15000000</v>
      </c>
      <c r="L104" s="56">
        <f t="shared" si="21"/>
        <v>3456000</v>
      </c>
      <c r="M104" s="56">
        <f t="shared" si="22"/>
        <v>12714219.561755959</v>
      </c>
      <c r="N104" s="11">
        <f>IF(COUNTIF(InputOutputData!K$20,"Chlorine") = 1,'More accurate Energy (Solar)'!M104,L104+K104+I104)</f>
        <v>12714219.561755959</v>
      </c>
    </row>
    <row r="105" spans="1:14" ht="14.45">
      <c r="A105" s="24">
        <f>IF(InputOutputData!$E$36=1,'Rainfall Data'!C93,IF(InputOutputData!$E$36=2,'Rainfall Data'!D92,IF(InputOutputData!$E$36=3,'Rainfall Data'!E92,'Rainfall Data'!F92)))</f>
        <v>11.6</v>
      </c>
      <c r="B105" s="24">
        <f t="shared" si="14"/>
        <v>0.80555555555555547</v>
      </c>
      <c r="C105" s="24">
        <f t="shared" si="15"/>
        <v>1.1599999999999999</v>
      </c>
      <c r="D105" s="24">
        <f t="shared" si="23"/>
        <v>90</v>
      </c>
      <c r="E105" s="24">
        <f t="shared" si="16"/>
        <v>31.51200000000005</v>
      </c>
      <c r="F105" s="24">
        <f t="shared" si="12"/>
        <v>244661.4</v>
      </c>
      <c r="G105" s="24">
        <f t="shared" si="17"/>
        <v>5.1433774056957753E-2</v>
      </c>
      <c r="H105" s="24">
        <f t="shared" si="18"/>
        <v>7590791.334776951</v>
      </c>
      <c r="I105" s="24">
        <f t="shared" si="19"/>
        <v>8250860.1464966852</v>
      </c>
      <c r="J105" s="24">
        <f t="shared" si="13"/>
        <v>5.8</v>
      </c>
      <c r="K105" s="327">
        <f t="shared" si="20"/>
        <v>11600000</v>
      </c>
      <c r="L105" s="56">
        <f t="shared" si="21"/>
        <v>3456000</v>
      </c>
      <c r="M105" s="56">
        <f t="shared" si="22"/>
        <v>11706860.146496685</v>
      </c>
      <c r="N105" s="11">
        <f>IF(COUNTIF(InputOutputData!K$20,"Chlorine") = 1,'More accurate Energy (Solar)'!M105,L105+K105+I105)</f>
        <v>11706860.146496685</v>
      </c>
    </row>
    <row r="106" spans="1:14" ht="14.45">
      <c r="A106" s="24">
        <f>IF(InputOutputData!$E$36=1,'Rainfall Data'!C94,IF(InputOutputData!$E$36=2,'Rainfall Data'!D93,IF(InputOutputData!$E$36=3,'Rainfall Data'!E93,'Rainfall Data'!F93)))</f>
        <v>0</v>
      </c>
      <c r="B106" s="24">
        <f t="shared" si="14"/>
        <v>0</v>
      </c>
      <c r="C106" s="24">
        <f t="shared" si="15"/>
        <v>0</v>
      </c>
      <c r="D106" s="24">
        <f t="shared" si="23"/>
        <v>91</v>
      </c>
      <c r="E106" s="24">
        <f t="shared" si="16"/>
        <v>31.080000000000052</v>
      </c>
      <c r="F106" s="24">
        <f t="shared" si="12"/>
        <v>0</v>
      </c>
      <c r="G106" s="24">
        <f t="shared" si="17"/>
        <v>0</v>
      </c>
      <c r="H106" s="24">
        <f t="shared" si="18"/>
        <v>0</v>
      </c>
      <c r="I106" s="24">
        <f t="shared" si="19"/>
        <v>0</v>
      </c>
      <c r="J106" s="24">
        <f t="shared" si="13"/>
        <v>0</v>
      </c>
      <c r="K106" s="327">
        <f t="shared" si="20"/>
        <v>0</v>
      </c>
      <c r="L106" s="56">
        <f t="shared" si="21"/>
        <v>3456000</v>
      </c>
      <c r="M106" s="56">
        <f t="shared" si="22"/>
        <v>3456000</v>
      </c>
      <c r="N106" s="11">
        <f>IF(COUNTIF(InputOutputData!K$20,"Chlorine") = 1,'More accurate Energy (Solar)'!M106,L106+K106+I106)</f>
        <v>3456000</v>
      </c>
    </row>
    <row r="107" spans="1:14" ht="14.45">
      <c r="A107" s="24">
        <f>IF(InputOutputData!$E$36=1,'Rainfall Data'!C95,IF(InputOutputData!$E$36=2,'Rainfall Data'!D94,IF(InputOutputData!$E$36=3,'Rainfall Data'!E94,'Rainfall Data'!F94)))</f>
        <v>33.700000000000003</v>
      </c>
      <c r="B107" s="24">
        <f t="shared" si="14"/>
        <v>1.0416666666666667</v>
      </c>
      <c r="C107" s="24">
        <f t="shared" si="15"/>
        <v>1.5</v>
      </c>
      <c r="D107" s="24">
        <f t="shared" si="23"/>
        <v>92</v>
      </c>
      <c r="E107" s="24">
        <f t="shared" si="16"/>
        <v>32.148000000000053</v>
      </c>
      <c r="F107" s="24">
        <f t="shared" si="12"/>
        <v>316372.5</v>
      </c>
      <c r="G107" s="24">
        <f t="shared" si="17"/>
        <v>5.9272522795741148E-2</v>
      </c>
      <c r="H107" s="24">
        <f t="shared" si="18"/>
        <v>8517561.9968154822</v>
      </c>
      <c r="I107" s="24">
        <f t="shared" si="19"/>
        <v>9258219.5617559589</v>
      </c>
      <c r="J107" s="24">
        <f t="shared" si="13"/>
        <v>7.5</v>
      </c>
      <c r="K107" s="327">
        <f t="shared" si="20"/>
        <v>15000000</v>
      </c>
      <c r="L107" s="56">
        <f t="shared" si="21"/>
        <v>3456000</v>
      </c>
      <c r="M107" s="56">
        <f t="shared" si="22"/>
        <v>12714219.561755959</v>
      </c>
      <c r="N107" s="11">
        <f>IF(COUNTIF(InputOutputData!K$20,"Chlorine") = 1,'More accurate Energy (Solar)'!M107,L107+K107+I107)</f>
        <v>12714219.561755959</v>
      </c>
    </row>
    <row r="108" spans="1:14" ht="14.45">
      <c r="A108" s="24">
        <f>IF(InputOutputData!$E$36=1,'Rainfall Data'!C96,IF(InputOutputData!$E$36=2,'Rainfall Data'!D95,IF(InputOutputData!$E$36=3,'Rainfall Data'!E95,'Rainfall Data'!F95)))</f>
        <v>9</v>
      </c>
      <c r="B108" s="24">
        <f t="shared" si="14"/>
        <v>0.62499999999999989</v>
      </c>
      <c r="C108" s="24">
        <f t="shared" si="15"/>
        <v>0.89999999999999991</v>
      </c>
      <c r="D108" s="24">
        <f t="shared" si="23"/>
        <v>93</v>
      </c>
      <c r="E108" s="24">
        <f t="shared" si="16"/>
        <v>32.616000000000049</v>
      </c>
      <c r="F108" s="24">
        <f t="shared" si="12"/>
        <v>189823.5</v>
      </c>
      <c r="G108" s="24">
        <f t="shared" si="17"/>
        <v>4.471691233294018E-2</v>
      </c>
      <c r="H108" s="24">
        <f t="shared" si="18"/>
        <v>6774046.2560759634</v>
      </c>
      <c r="I108" s="24">
        <f t="shared" si="19"/>
        <v>7363093.7566043073</v>
      </c>
      <c r="J108" s="24">
        <f t="shared" si="13"/>
        <v>4.5</v>
      </c>
      <c r="K108" s="327">
        <f t="shared" si="20"/>
        <v>9000000</v>
      </c>
      <c r="L108" s="56">
        <f t="shared" si="21"/>
        <v>3456000</v>
      </c>
      <c r="M108" s="56">
        <f t="shared" si="22"/>
        <v>10819093.756604306</v>
      </c>
      <c r="N108" s="11">
        <f>IF(COUNTIF(InputOutputData!K$20,"Chlorine") = 1,'More accurate Energy (Solar)'!M108,L108+K108+I108)</f>
        <v>10819093.756604306</v>
      </c>
    </row>
    <row r="109" spans="1:14" ht="14.45">
      <c r="A109" s="24">
        <f>IF(InputOutputData!$E$36=1,'Rainfall Data'!C97,IF(InputOutputData!$E$36=2,'Rainfall Data'!D96,IF(InputOutputData!$E$36=3,'Rainfall Data'!E96,'Rainfall Data'!F96)))</f>
        <v>8.4</v>
      </c>
      <c r="B109" s="24">
        <f t="shared" si="14"/>
        <v>0.58333333333333348</v>
      </c>
      <c r="C109" s="24">
        <f t="shared" si="15"/>
        <v>0.84000000000000008</v>
      </c>
      <c r="D109" s="24">
        <f t="shared" si="23"/>
        <v>94</v>
      </c>
      <c r="E109" s="24">
        <f t="shared" si="16"/>
        <v>33.024000000000051</v>
      </c>
      <c r="F109" s="24">
        <f t="shared" si="12"/>
        <v>177168.60000000003</v>
      </c>
      <c r="G109" s="24">
        <f t="shared" si="17"/>
        <v>4.3048255778827801E-2</v>
      </c>
      <c r="H109" s="24">
        <f t="shared" si="18"/>
        <v>6567516.6613013847</v>
      </c>
      <c r="I109" s="24">
        <f t="shared" si="19"/>
        <v>7138605.0666319393</v>
      </c>
      <c r="J109" s="24">
        <f t="shared" si="13"/>
        <v>4.2</v>
      </c>
      <c r="K109" s="327">
        <f t="shared" si="20"/>
        <v>8400000</v>
      </c>
      <c r="L109" s="56">
        <f t="shared" si="21"/>
        <v>3456000</v>
      </c>
      <c r="M109" s="56">
        <f t="shared" si="22"/>
        <v>10594605.066631939</v>
      </c>
      <c r="N109" s="11">
        <f>IF(COUNTIF(InputOutputData!K$20,"Chlorine") = 1,'More accurate Energy (Solar)'!M109,L109+K109+I109)</f>
        <v>10594605.066631939</v>
      </c>
    </row>
    <row r="110" spans="1:14" ht="14.45">
      <c r="A110" s="24">
        <f>IF(InputOutputData!$E$36=1,'Rainfall Data'!C98,IF(InputOutputData!$E$36=2,'Rainfall Data'!D97,IF(InputOutputData!$E$36=3,'Rainfall Data'!E97,'Rainfall Data'!F97)))</f>
        <v>0.6</v>
      </c>
      <c r="B110" s="24">
        <f t="shared" si="14"/>
        <v>4.1666666666666664E-2</v>
      </c>
      <c r="C110" s="24">
        <f t="shared" si="15"/>
        <v>0.06</v>
      </c>
      <c r="D110" s="24">
        <f t="shared" si="23"/>
        <v>95</v>
      </c>
      <c r="E110" s="24">
        <f t="shared" si="16"/>
        <v>32.652000000000051</v>
      </c>
      <c r="F110" s="24">
        <f t="shared" si="12"/>
        <v>12654.9</v>
      </c>
      <c r="G110" s="24">
        <f t="shared" si="17"/>
        <v>1.0071891960946849E-2</v>
      </c>
      <c r="H110" s="24">
        <f t="shared" si="18"/>
        <v>2005015.1037280308</v>
      </c>
      <c r="I110" s="24">
        <f t="shared" si="19"/>
        <v>2179364.2431826419</v>
      </c>
      <c r="J110" s="24">
        <f t="shared" si="13"/>
        <v>0.3</v>
      </c>
      <c r="K110" s="327">
        <f t="shared" si="20"/>
        <v>600000</v>
      </c>
      <c r="L110" s="56">
        <f t="shared" si="21"/>
        <v>3456000</v>
      </c>
      <c r="M110" s="56">
        <f t="shared" si="22"/>
        <v>5635364.2431826424</v>
      </c>
      <c r="N110" s="11">
        <f>IF(COUNTIF(InputOutputData!K$20,"Chlorine") = 1,'More accurate Energy (Solar)'!M110,L110+K110+I110)</f>
        <v>5635364.2431826424</v>
      </c>
    </row>
    <row r="111" spans="1:14" ht="14.45">
      <c r="A111" s="24">
        <f>IF(InputOutputData!$E$36=1,'Rainfall Data'!C99,IF(InputOutputData!$E$36=2,'Rainfall Data'!D98,IF(InputOutputData!$E$36=3,'Rainfall Data'!E98,'Rainfall Data'!F98)))</f>
        <v>0</v>
      </c>
      <c r="B111" s="24">
        <f t="shared" si="14"/>
        <v>0</v>
      </c>
      <c r="C111" s="24">
        <f t="shared" si="15"/>
        <v>0</v>
      </c>
      <c r="D111" s="24">
        <f t="shared" si="23"/>
        <v>96</v>
      </c>
      <c r="E111" s="24">
        <f t="shared" si="16"/>
        <v>32.220000000000049</v>
      </c>
      <c r="F111" s="24">
        <f t="shared" si="12"/>
        <v>0</v>
      </c>
      <c r="G111" s="24">
        <f t="shared" si="17"/>
        <v>0</v>
      </c>
      <c r="H111" s="24">
        <f t="shared" si="18"/>
        <v>0</v>
      </c>
      <c r="I111" s="24">
        <f t="shared" si="19"/>
        <v>0</v>
      </c>
      <c r="J111" s="24">
        <f t="shared" si="13"/>
        <v>0</v>
      </c>
      <c r="K111" s="327">
        <f t="shared" si="20"/>
        <v>0</v>
      </c>
      <c r="L111" s="56">
        <f t="shared" si="21"/>
        <v>3456000</v>
      </c>
      <c r="M111" s="56">
        <f t="shared" si="22"/>
        <v>3456000</v>
      </c>
      <c r="N111" s="11">
        <f>IF(COUNTIF(InputOutputData!K$20,"Chlorine") = 1,'More accurate Energy (Solar)'!M111,L111+K111+I111)</f>
        <v>3456000</v>
      </c>
    </row>
    <row r="112" spans="1:14" ht="14.45">
      <c r="A112" s="24">
        <f>IF(InputOutputData!$E$36=1,'Rainfall Data'!C100,IF(InputOutputData!$E$36=2,'Rainfall Data'!D99,IF(InputOutputData!$E$36=3,'Rainfall Data'!E99,'Rainfall Data'!F99)))</f>
        <v>0</v>
      </c>
      <c r="B112" s="24">
        <f t="shared" si="14"/>
        <v>0</v>
      </c>
      <c r="C112" s="24">
        <f t="shared" si="15"/>
        <v>0</v>
      </c>
      <c r="D112" s="24">
        <f t="shared" si="23"/>
        <v>97</v>
      </c>
      <c r="E112" s="24">
        <f t="shared" si="16"/>
        <v>31.78800000000005</v>
      </c>
      <c r="F112" s="24">
        <f t="shared" si="12"/>
        <v>0</v>
      </c>
      <c r="G112" s="24">
        <f t="shared" si="17"/>
        <v>0</v>
      </c>
      <c r="H112" s="24">
        <f t="shared" si="18"/>
        <v>0</v>
      </c>
      <c r="I112" s="24">
        <f t="shared" si="19"/>
        <v>0</v>
      </c>
      <c r="J112" s="24">
        <f t="shared" si="13"/>
        <v>0</v>
      </c>
      <c r="K112" s="327">
        <f t="shared" si="20"/>
        <v>0</v>
      </c>
      <c r="L112" s="56">
        <f t="shared" si="21"/>
        <v>3456000</v>
      </c>
      <c r="M112" s="56">
        <f t="shared" si="22"/>
        <v>3456000</v>
      </c>
      <c r="N112" s="11">
        <f>IF(COUNTIF(InputOutputData!K$20,"Chlorine") = 1,'More accurate Energy (Solar)'!M112,L112+K112+I112)</f>
        <v>3456000</v>
      </c>
    </row>
    <row r="113" spans="1:14" ht="14.45">
      <c r="A113" s="24">
        <f>IF(InputOutputData!$E$36=1,'Rainfall Data'!C101,IF(InputOutputData!$E$36=2,'Rainfall Data'!D100,IF(InputOutputData!$E$36=3,'Rainfall Data'!E100,'Rainfall Data'!F100)))</f>
        <v>0</v>
      </c>
      <c r="B113" s="24">
        <f t="shared" si="14"/>
        <v>0</v>
      </c>
      <c r="C113" s="24">
        <f t="shared" si="15"/>
        <v>0</v>
      </c>
      <c r="D113" s="24">
        <f t="shared" si="23"/>
        <v>98</v>
      </c>
      <c r="E113" s="24">
        <f t="shared" si="16"/>
        <v>31.356000000000051</v>
      </c>
      <c r="F113" s="24">
        <f t="shared" si="12"/>
        <v>0</v>
      </c>
      <c r="G113" s="24">
        <f t="shared" si="17"/>
        <v>0</v>
      </c>
      <c r="H113" s="24">
        <f t="shared" si="18"/>
        <v>0</v>
      </c>
      <c r="I113" s="24">
        <f t="shared" si="19"/>
        <v>0</v>
      </c>
      <c r="J113" s="24">
        <f t="shared" si="13"/>
        <v>0</v>
      </c>
      <c r="K113" s="327">
        <f t="shared" si="20"/>
        <v>0</v>
      </c>
      <c r="L113" s="56">
        <f t="shared" si="21"/>
        <v>3456000</v>
      </c>
      <c r="M113" s="56">
        <f t="shared" si="22"/>
        <v>3456000</v>
      </c>
      <c r="N113" s="11">
        <f>IF(COUNTIF(InputOutputData!K$20,"Chlorine") = 1,'More accurate Energy (Solar)'!M113,L113+K113+I113)</f>
        <v>3456000</v>
      </c>
    </row>
    <row r="114" spans="1:14" ht="14.45">
      <c r="A114" s="24">
        <f>IF(InputOutputData!$E$36=1,'Rainfall Data'!C102,IF(InputOutputData!$E$36=2,'Rainfall Data'!D101,IF(InputOutputData!$E$36=3,'Rainfall Data'!E101,'Rainfall Data'!F101)))</f>
        <v>3.2</v>
      </c>
      <c r="B114" s="24">
        <f t="shared" si="14"/>
        <v>0.22222222222222221</v>
      </c>
      <c r="C114" s="24">
        <f t="shared" si="15"/>
        <v>0.32</v>
      </c>
      <c r="D114" s="24">
        <f t="shared" si="23"/>
        <v>99</v>
      </c>
      <c r="E114" s="24">
        <f t="shared" si="16"/>
        <v>31.244000000000053</v>
      </c>
      <c r="F114" s="24">
        <f t="shared" si="12"/>
        <v>67492.800000000003</v>
      </c>
      <c r="G114" s="24">
        <f t="shared" si="17"/>
        <v>2.5299874105163656E-2</v>
      </c>
      <c r="H114" s="24">
        <f t="shared" si="18"/>
        <v>4257053.1739141475</v>
      </c>
      <c r="I114" s="24">
        <f t="shared" si="19"/>
        <v>4627231.7107762471</v>
      </c>
      <c r="J114" s="24">
        <f t="shared" si="13"/>
        <v>1.6</v>
      </c>
      <c r="K114" s="327">
        <f t="shared" si="20"/>
        <v>3200000</v>
      </c>
      <c r="L114" s="56">
        <f t="shared" si="21"/>
        <v>3456000</v>
      </c>
      <c r="M114" s="56">
        <f t="shared" si="22"/>
        <v>8083231.7107762471</v>
      </c>
      <c r="N114" s="11">
        <f>IF(COUNTIF(InputOutputData!K$20,"Chlorine") = 1,'More accurate Energy (Solar)'!M114,L114+K114+I114)</f>
        <v>8083231.7107762471</v>
      </c>
    </row>
    <row r="115" spans="1:14" ht="14.45">
      <c r="A115" s="24">
        <f>IF(InputOutputData!$E$36=1,'Rainfall Data'!C103,IF(InputOutputData!$E$36=2,'Rainfall Data'!D102,IF(InputOutputData!$E$36=3,'Rainfall Data'!E102,'Rainfall Data'!F102)))</f>
        <v>40.200000000000003</v>
      </c>
      <c r="B115" s="24">
        <f t="shared" si="14"/>
        <v>1.0416666666666667</v>
      </c>
      <c r="C115" s="24">
        <f t="shared" si="15"/>
        <v>1.5</v>
      </c>
      <c r="D115" s="24">
        <f t="shared" si="23"/>
        <v>100</v>
      </c>
      <c r="E115" s="24">
        <f t="shared" si="16"/>
        <v>32.312000000000054</v>
      </c>
      <c r="F115" s="24">
        <f t="shared" si="12"/>
        <v>316372.5</v>
      </c>
      <c r="G115" s="24">
        <f t="shared" si="17"/>
        <v>5.9272522795741148E-2</v>
      </c>
      <c r="H115" s="24">
        <f t="shared" si="18"/>
        <v>8517561.9968154822</v>
      </c>
      <c r="I115" s="24">
        <f t="shared" si="19"/>
        <v>9258219.5617559589</v>
      </c>
      <c r="J115" s="24">
        <f t="shared" si="13"/>
        <v>7.5</v>
      </c>
      <c r="K115" s="327">
        <f t="shared" si="20"/>
        <v>15000000</v>
      </c>
      <c r="L115" s="56">
        <f t="shared" si="21"/>
        <v>3456000</v>
      </c>
      <c r="M115" s="56">
        <f t="shared" si="22"/>
        <v>12714219.561755959</v>
      </c>
      <c r="N115" s="11">
        <f>IF(COUNTIF(InputOutputData!K$20,"Chlorine") = 1,'More accurate Energy (Solar)'!M115,L115+K115+I115)</f>
        <v>12714219.561755959</v>
      </c>
    </row>
    <row r="116" spans="1:14" ht="14.45">
      <c r="A116" s="24">
        <f>IF(InputOutputData!$E$36=1,'Rainfall Data'!C104,IF(InputOutputData!$E$36=2,'Rainfall Data'!D103,IF(InputOutputData!$E$36=3,'Rainfall Data'!E103,'Rainfall Data'!F103)))</f>
        <v>9.1999999999999993</v>
      </c>
      <c r="B116" s="24">
        <f t="shared" si="14"/>
        <v>0.63888888888888884</v>
      </c>
      <c r="C116" s="24">
        <f t="shared" si="15"/>
        <v>0.91999999999999993</v>
      </c>
      <c r="D116" s="24">
        <f t="shared" si="23"/>
        <v>101</v>
      </c>
      <c r="E116" s="24">
        <f t="shared" si="16"/>
        <v>32.800000000000054</v>
      </c>
      <c r="F116" s="24">
        <f t="shared" si="12"/>
        <v>194041.8</v>
      </c>
      <c r="G116" s="24">
        <f t="shared" si="17"/>
        <v>4.5262015799365396E-2</v>
      </c>
      <c r="H116" s="24">
        <f t="shared" si="18"/>
        <v>6841185.9025401697</v>
      </c>
      <c r="I116" s="24">
        <f t="shared" si="19"/>
        <v>7436071.6331958361</v>
      </c>
      <c r="J116" s="24">
        <f t="shared" si="13"/>
        <v>4.5999999999999996</v>
      </c>
      <c r="K116" s="327">
        <f t="shared" si="20"/>
        <v>9200000</v>
      </c>
      <c r="L116" s="56">
        <f t="shared" si="21"/>
        <v>3456000</v>
      </c>
      <c r="M116" s="56">
        <f t="shared" si="22"/>
        <v>10892071.633195836</v>
      </c>
      <c r="N116" s="11">
        <f>IF(COUNTIF(InputOutputData!K$20,"Chlorine") = 1,'More accurate Energy (Solar)'!M116,L116+K116+I116)</f>
        <v>10892071.633195836</v>
      </c>
    </row>
    <row r="117" spans="1:14" ht="14.45">
      <c r="A117" s="24">
        <f>IF(InputOutputData!$E$36=1,'Rainfall Data'!C105,IF(InputOutputData!$E$36=2,'Rainfall Data'!D104,IF(InputOutputData!$E$36=3,'Rainfall Data'!E104,'Rainfall Data'!F104)))</f>
        <v>24.4</v>
      </c>
      <c r="B117" s="24">
        <f t="shared" si="14"/>
        <v>1.0416666666666667</v>
      </c>
      <c r="C117" s="24">
        <f t="shared" si="15"/>
        <v>1.5</v>
      </c>
      <c r="D117" s="24">
        <f t="shared" si="23"/>
        <v>102</v>
      </c>
      <c r="E117" s="24">
        <f t="shared" si="16"/>
        <v>33.868000000000052</v>
      </c>
      <c r="F117" s="24">
        <f t="shared" si="12"/>
        <v>316372.5</v>
      </c>
      <c r="G117" s="24">
        <f t="shared" si="17"/>
        <v>5.9272522795741148E-2</v>
      </c>
      <c r="H117" s="24">
        <f t="shared" si="18"/>
        <v>8517561.9968154822</v>
      </c>
      <c r="I117" s="24">
        <f t="shared" si="19"/>
        <v>9258219.5617559589</v>
      </c>
      <c r="J117" s="24">
        <f t="shared" si="13"/>
        <v>7.5</v>
      </c>
      <c r="K117" s="327">
        <f t="shared" si="20"/>
        <v>15000000</v>
      </c>
      <c r="L117" s="56">
        <f t="shared" si="21"/>
        <v>3456000</v>
      </c>
      <c r="M117" s="56">
        <f t="shared" si="22"/>
        <v>12714219.561755959</v>
      </c>
      <c r="N117" s="11">
        <f>IF(COUNTIF(InputOutputData!K$20,"Chlorine") = 1,'More accurate Energy (Solar)'!M117,L117+K117+I117)</f>
        <v>12714219.561755959</v>
      </c>
    </row>
    <row r="118" spans="1:14" ht="14.45">
      <c r="A118" s="24">
        <f>IF(InputOutputData!$E$36=1,'Rainfall Data'!C106,IF(InputOutputData!$E$36=2,'Rainfall Data'!D105,IF(InputOutputData!$E$36=3,'Rainfall Data'!E105,'Rainfall Data'!F105)))</f>
        <v>16.2</v>
      </c>
      <c r="B118" s="24">
        <f t="shared" si="14"/>
        <v>1.0416666666666667</v>
      </c>
      <c r="C118" s="24">
        <f t="shared" si="15"/>
        <v>1.5</v>
      </c>
      <c r="D118" s="24">
        <f t="shared" si="23"/>
        <v>103</v>
      </c>
      <c r="E118" s="24">
        <f t="shared" si="16"/>
        <v>34.93600000000005</v>
      </c>
      <c r="F118" s="24">
        <f t="shared" si="12"/>
        <v>316372.5</v>
      </c>
      <c r="G118" s="24">
        <f t="shared" si="17"/>
        <v>5.9272522795741148E-2</v>
      </c>
      <c r="H118" s="24">
        <f t="shared" si="18"/>
        <v>8517561.9968154822</v>
      </c>
      <c r="I118" s="24">
        <f t="shared" si="19"/>
        <v>9258219.5617559589</v>
      </c>
      <c r="J118" s="24">
        <f t="shared" si="13"/>
        <v>7.5</v>
      </c>
      <c r="K118" s="327">
        <f t="shared" si="20"/>
        <v>15000000</v>
      </c>
      <c r="L118" s="56">
        <f t="shared" si="21"/>
        <v>3456000</v>
      </c>
      <c r="M118" s="56">
        <f t="shared" si="22"/>
        <v>12714219.561755959</v>
      </c>
      <c r="N118" s="11">
        <f>IF(COUNTIF(InputOutputData!K$20,"Chlorine") = 1,'More accurate Energy (Solar)'!M118,L118+K118+I118)</f>
        <v>12714219.561755959</v>
      </c>
    </row>
    <row r="119" spans="1:14" ht="14.45">
      <c r="A119" s="24">
        <f>IF(InputOutputData!$E$36=1,'Rainfall Data'!C107,IF(InputOutputData!$E$36=2,'Rainfall Data'!D106,IF(InputOutputData!$E$36=3,'Rainfall Data'!E106,'Rainfall Data'!F106)))</f>
        <v>1.5</v>
      </c>
      <c r="B119" s="24">
        <f t="shared" si="14"/>
        <v>0.10416666666666667</v>
      </c>
      <c r="C119" s="24">
        <f t="shared" si="15"/>
        <v>0.15</v>
      </c>
      <c r="D119" s="24">
        <f t="shared" si="23"/>
        <v>104</v>
      </c>
      <c r="E119" s="24">
        <f t="shared" si="16"/>
        <v>34.654000000000053</v>
      </c>
      <c r="F119" s="24">
        <f t="shared" si="12"/>
        <v>31637.25</v>
      </c>
      <c r="G119" s="24">
        <f t="shared" si="17"/>
        <v>1.6673729535269036E-2</v>
      </c>
      <c r="H119" s="24">
        <f t="shared" si="18"/>
        <v>3027861.2025731062</v>
      </c>
      <c r="I119" s="24">
        <f t="shared" si="19"/>
        <v>3291153.481057724</v>
      </c>
      <c r="J119" s="24">
        <f t="shared" si="13"/>
        <v>0.75</v>
      </c>
      <c r="K119" s="327">
        <f t="shared" si="20"/>
        <v>1500000</v>
      </c>
      <c r="L119" s="56">
        <f t="shared" si="21"/>
        <v>3456000</v>
      </c>
      <c r="M119" s="56">
        <f t="shared" si="22"/>
        <v>6747153.481057724</v>
      </c>
      <c r="N119" s="11">
        <f>IF(COUNTIF(InputOutputData!K$20,"Chlorine") = 1,'More accurate Energy (Solar)'!M119,L119+K119+I119)</f>
        <v>6747153.481057724</v>
      </c>
    </row>
    <row r="120" spans="1:14" ht="14.45">
      <c r="A120" s="24">
        <f>IF(InputOutputData!$E$36=1,'Rainfall Data'!C108,IF(InputOutputData!$E$36=2,'Rainfall Data'!D107,IF(InputOutputData!$E$36=3,'Rainfall Data'!E107,'Rainfall Data'!F107)))</f>
        <v>37.200000000000003</v>
      </c>
      <c r="B120" s="24">
        <f t="shared" si="14"/>
        <v>1.0416666666666667</v>
      </c>
      <c r="C120" s="24">
        <f t="shared" si="15"/>
        <v>1.5</v>
      </c>
      <c r="D120" s="24">
        <f t="shared" si="23"/>
        <v>105</v>
      </c>
      <c r="E120" s="24">
        <f t="shared" si="16"/>
        <v>35.722000000000051</v>
      </c>
      <c r="F120" s="24">
        <f t="shared" si="12"/>
        <v>316372.5</v>
      </c>
      <c r="G120" s="24">
        <f t="shared" si="17"/>
        <v>5.9272522795741148E-2</v>
      </c>
      <c r="H120" s="24">
        <f t="shared" si="18"/>
        <v>8517561.9968154822</v>
      </c>
      <c r="I120" s="24">
        <f t="shared" si="19"/>
        <v>9258219.5617559589</v>
      </c>
      <c r="J120" s="24">
        <f t="shared" si="13"/>
        <v>7.5</v>
      </c>
      <c r="K120" s="327">
        <f t="shared" si="20"/>
        <v>15000000</v>
      </c>
      <c r="L120" s="56">
        <f t="shared" si="21"/>
        <v>3456000</v>
      </c>
      <c r="M120" s="56">
        <f t="shared" si="22"/>
        <v>12714219.561755959</v>
      </c>
      <c r="N120" s="11">
        <f>IF(COUNTIF(InputOutputData!K$20,"Chlorine") = 1,'More accurate Energy (Solar)'!M120,L120+K120+I120)</f>
        <v>12714219.561755959</v>
      </c>
    </row>
    <row r="121" spans="1:14" ht="14.45">
      <c r="A121" s="24">
        <f>IF(InputOutputData!$E$36=1,'Rainfall Data'!C109,IF(InputOutputData!$E$36=2,'Rainfall Data'!D108,IF(InputOutputData!$E$36=3,'Rainfall Data'!E108,'Rainfall Data'!F108)))</f>
        <v>3</v>
      </c>
      <c r="B121" s="24">
        <f t="shared" si="14"/>
        <v>0.20833333333333334</v>
      </c>
      <c r="C121" s="24">
        <f t="shared" si="15"/>
        <v>0.3</v>
      </c>
      <c r="D121" s="24">
        <f t="shared" si="23"/>
        <v>106</v>
      </c>
      <c r="E121" s="24">
        <f t="shared" si="16"/>
        <v>35.590000000000053</v>
      </c>
      <c r="F121" s="24">
        <f t="shared" si="12"/>
        <v>63274.5</v>
      </c>
      <c r="G121" s="24">
        <f t="shared" si="17"/>
        <v>2.4416893397727592E-2</v>
      </c>
      <c r="H121" s="24">
        <f t="shared" si="18"/>
        <v>4135312.2151679611</v>
      </c>
      <c r="I121" s="24">
        <f t="shared" si="19"/>
        <v>4494904.5817043055</v>
      </c>
      <c r="J121" s="24">
        <f t="shared" si="13"/>
        <v>1.5</v>
      </c>
      <c r="K121" s="327">
        <f t="shared" si="20"/>
        <v>3000000</v>
      </c>
      <c r="L121" s="56">
        <f t="shared" si="21"/>
        <v>3456000</v>
      </c>
      <c r="M121" s="56">
        <f t="shared" si="22"/>
        <v>7950904.5817043055</v>
      </c>
      <c r="N121" s="11">
        <f>IF(COUNTIF(InputOutputData!K$20,"Chlorine") = 1,'More accurate Energy (Solar)'!M121,L121+K121+I121)</f>
        <v>7950904.5817043055</v>
      </c>
    </row>
    <row r="122" spans="1:14" ht="14.45">
      <c r="A122" s="24">
        <f>IF(InputOutputData!$E$36=1,'Rainfall Data'!C110,IF(InputOutputData!$E$36=2,'Rainfall Data'!D109,IF(InputOutputData!$E$36=3,'Rainfall Data'!E109,'Rainfall Data'!F109)))</f>
        <v>0</v>
      </c>
      <c r="B122" s="24">
        <f t="shared" si="14"/>
        <v>0</v>
      </c>
      <c r="C122" s="24">
        <f t="shared" si="15"/>
        <v>0</v>
      </c>
      <c r="D122" s="24">
        <f t="shared" si="23"/>
        <v>107</v>
      </c>
      <c r="E122" s="24">
        <f t="shared" si="16"/>
        <v>35.158000000000051</v>
      </c>
      <c r="F122" s="24">
        <f t="shared" si="12"/>
        <v>0</v>
      </c>
      <c r="G122" s="24">
        <f t="shared" si="17"/>
        <v>0</v>
      </c>
      <c r="H122" s="24">
        <f t="shared" si="18"/>
        <v>0</v>
      </c>
      <c r="I122" s="24">
        <f t="shared" si="19"/>
        <v>0</v>
      </c>
      <c r="J122" s="24">
        <f t="shared" si="13"/>
        <v>0</v>
      </c>
      <c r="K122" s="327">
        <f t="shared" si="20"/>
        <v>0</v>
      </c>
      <c r="L122" s="56">
        <f t="shared" si="21"/>
        <v>3456000</v>
      </c>
      <c r="M122" s="56">
        <f t="shared" si="22"/>
        <v>3456000</v>
      </c>
      <c r="N122" s="11">
        <f>IF(COUNTIF(InputOutputData!K$20,"Chlorine") = 1,'More accurate Energy (Solar)'!M122,L122+K122+I122)</f>
        <v>3456000</v>
      </c>
    </row>
    <row r="123" spans="1:14" ht="14.45">
      <c r="A123" s="24">
        <f>IF(InputOutputData!$E$36=1,'Rainfall Data'!C111,IF(InputOutputData!$E$36=2,'Rainfall Data'!D110,IF(InputOutputData!$E$36=3,'Rainfall Data'!E110,'Rainfall Data'!F110)))</f>
        <v>0</v>
      </c>
      <c r="B123" s="24">
        <f t="shared" si="14"/>
        <v>0</v>
      </c>
      <c r="C123" s="24">
        <f t="shared" si="15"/>
        <v>0</v>
      </c>
      <c r="D123" s="24">
        <f t="shared" si="23"/>
        <v>108</v>
      </c>
      <c r="E123" s="24">
        <f t="shared" si="16"/>
        <v>34.726000000000049</v>
      </c>
      <c r="F123" s="24">
        <f t="shared" si="12"/>
        <v>0</v>
      </c>
      <c r="G123" s="24">
        <f t="shared" si="17"/>
        <v>0</v>
      </c>
      <c r="H123" s="24">
        <f t="shared" si="18"/>
        <v>0</v>
      </c>
      <c r="I123" s="24">
        <f t="shared" si="19"/>
        <v>0</v>
      </c>
      <c r="J123" s="24">
        <f t="shared" si="13"/>
        <v>0</v>
      </c>
      <c r="K123" s="327">
        <f t="shared" si="20"/>
        <v>0</v>
      </c>
      <c r="L123" s="56">
        <f t="shared" si="21"/>
        <v>3456000</v>
      </c>
      <c r="M123" s="56">
        <f t="shared" si="22"/>
        <v>3456000</v>
      </c>
      <c r="N123" s="11">
        <f>IF(COUNTIF(InputOutputData!K$20,"Chlorine") = 1,'More accurate Energy (Solar)'!M123,L123+K123+I123)</f>
        <v>3456000</v>
      </c>
    </row>
    <row r="124" spans="1:14" ht="14.45">
      <c r="A124" s="24">
        <f>IF(InputOutputData!$E$36=1,'Rainfall Data'!C112,IF(InputOutputData!$E$36=2,'Rainfall Data'!D111,IF(InputOutputData!$E$36=3,'Rainfall Data'!E111,'Rainfall Data'!F111)))</f>
        <v>0</v>
      </c>
      <c r="B124" s="24">
        <f t="shared" si="14"/>
        <v>0</v>
      </c>
      <c r="C124" s="24">
        <f t="shared" si="15"/>
        <v>0</v>
      </c>
      <c r="D124" s="24">
        <f t="shared" si="23"/>
        <v>109</v>
      </c>
      <c r="E124" s="24">
        <f t="shared" si="16"/>
        <v>34.294000000000047</v>
      </c>
      <c r="F124" s="24">
        <f t="shared" si="12"/>
        <v>0</v>
      </c>
      <c r="G124" s="24">
        <f t="shared" si="17"/>
        <v>0</v>
      </c>
      <c r="H124" s="24">
        <f t="shared" si="18"/>
        <v>0</v>
      </c>
      <c r="I124" s="24">
        <f t="shared" si="19"/>
        <v>0</v>
      </c>
      <c r="J124" s="24">
        <f t="shared" si="13"/>
        <v>0</v>
      </c>
      <c r="K124" s="327">
        <f t="shared" si="20"/>
        <v>0</v>
      </c>
      <c r="L124" s="56">
        <f t="shared" si="21"/>
        <v>3456000</v>
      </c>
      <c r="M124" s="56">
        <f t="shared" si="22"/>
        <v>3456000</v>
      </c>
      <c r="N124" s="11">
        <f>IF(COUNTIF(InputOutputData!K$20,"Chlorine") = 1,'More accurate Energy (Solar)'!M124,L124+K124+I124)</f>
        <v>3456000</v>
      </c>
    </row>
    <row r="125" spans="1:14" ht="14.45">
      <c r="A125" s="24">
        <f>IF(InputOutputData!$E$36=1,'Rainfall Data'!C113,IF(InputOutputData!$E$36=2,'Rainfall Data'!D112,IF(InputOutputData!$E$36=3,'Rainfall Data'!E112,'Rainfall Data'!F112)))</f>
        <v>1.1000000000000001</v>
      </c>
      <c r="B125" s="24">
        <f t="shared" si="14"/>
        <v>7.6388888888888895E-2</v>
      </c>
      <c r="C125" s="24">
        <f t="shared" si="15"/>
        <v>0.11</v>
      </c>
      <c r="D125" s="24">
        <f t="shared" si="23"/>
        <v>110</v>
      </c>
      <c r="E125" s="24">
        <f t="shared" si="16"/>
        <v>33.972000000000044</v>
      </c>
      <c r="F125" s="24">
        <f t="shared" si="12"/>
        <v>23200.65</v>
      </c>
      <c r="G125" s="24">
        <f t="shared" si="17"/>
        <v>1.4058022370781723E-2</v>
      </c>
      <c r="H125" s="24">
        <f t="shared" si="18"/>
        <v>2633576.3392374502</v>
      </c>
      <c r="I125" s="24">
        <f t="shared" si="19"/>
        <v>2862582.9774320107</v>
      </c>
      <c r="J125" s="24">
        <f t="shared" si="13"/>
        <v>0.55000000000000004</v>
      </c>
      <c r="K125" s="327">
        <f t="shared" si="20"/>
        <v>1100000</v>
      </c>
      <c r="L125" s="56">
        <f t="shared" si="21"/>
        <v>3456000</v>
      </c>
      <c r="M125" s="56">
        <f t="shared" si="22"/>
        <v>6318582.9774320107</v>
      </c>
      <c r="N125" s="11">
        <f>IF(COUNTIF(InputOutputData!K$20,"Chlorine") = 1,'More accurate Energy (Solar)'!M125,L125+K125+I125)</f>
        <v>6318582.9774320107</v>
      </c>
    </row>
    <row r="126" spans="1:14" ht="14.45">
      <c r="A126" s="24">
        <f>IF(InputOutputData!$E$36=1,'Rainfall Data'!C114,IF(InputOutputData!$E$36=2,'Rainfall Data'!D113,IF(InputOutputData!$E$36=3,'Rainfall Data'!E113,'Rainfall Data'!F113)))</f>
        <v>0.4</v>
      </c>
      <c r="B126" s="24">
        <f t="shared" si="14"/>
        <v>2.7777777777777776E-2</v>
      </c>
      <c r="C126" s="24">
        <f t="shared" si="15"/>
        <v>0.04</v>
      </c>
      <c r="D126" s="24">
        <f t="shared" si="23"/>
        <v>111</v>
      </c>
      <c r="E126" s="24">
        <f t="shared" si="16"/>
        <v>33.580000000000041</v>
      </c>
      <c r="F126" s="24">
        <f t="shared" si="12"/>
        <v>8436.6</v>
      </c>
      <c r="G126" s="24">
        <f t="shared" si="17"/>
        <v>8.0583980052267804E-3</v>
      </c>
      <c r="H126" s="24">
        <f t="shared" si="18"/>
        <v>1670662.5387756634</v>
      </c>
      <c r="I126" s="24">
        <f t="shared" si="19"/>
        <v>1815937.5421474602</v>
      </c>
      <c r="J126" s="24">
        <f t="shared" si="13"/>
        <v>0.2</v>
      </c>
      <c r="K126" s="327">
        <f t="shared" si="20"/>
        <v>400000</v>
      </c>
      <c r="L126" s="56">
        <f t="shared" si="21"/>
        <v>3456000</v>
      </c>
      <c r="M126" s="56">
        <f t="shared" si="22"/>
        <v>5271937.5421474604</v>
      </c>
      <c r="N126" s="11">
        <f>IF(COUNTIF(InputOutputData!K$20,"Chlorine") = 1,'More accurate Energy (Solar)'!M126,L126+K126+I126)</f>
        <v>5271937.5421474604</v>
      </c>
    </row>
    <row r="127" spans="1:14" ht="14.45">
      <c r="A127" s="24">
        <f>IF(InputOutputData!$E$36=1,'Rainfall Data'!C115,IF(InputOutputData!$E$36=2,'Rainfall Data'!D114,IF(InputOutputData!$E$36=3,'Rainfall Data'!E114,'Rainfall Data'!F114)))</f>
        <v>8.1999999999999993</v>
      </c>
      <c r="B127" s="24">
        <f t="shared" si="14"/>
        <v>0.56944444444444431</v>
      </c>
      <c r="C127" s="24">
        <f t="shared" si="15"/>
        <v>0.81999999999999984</v>
      </c>
      <c r="D127" s="24">
        <f t="shared" si="23"/>
        <v>112</v>
      </c>
      <c r="E127" s="24">
        <f t="shared" si="16"/>
        <v>33.968000000000039</v>
      </c>
      <c r="F127" s="24">
        <f t="shared" si="12"/>
        <v>172950.3</v>
      </c>
      <c r="G127" s="24">
        <f t="shared" si="17"/>
        <v>4.2480284096305033E-2</v>
      </c>
      <c r="H127" s="24">
        <f t="shared" si="18"/>
        <v>6496865.8073659716</v>
      </c>
      <c r="I127" s="24">
        <f t="shared" si="19"/>
        <v>7061810.6601804039</v>
      </c>
      <c r="J127" s="24">
        <f t="shared" si="13"/>
        <v>4.0999999999999996</v>
      </c>
      <c r="K127" s="327">
        <f t="shared" si="20"/>
        <v>8199999.9999999991</v>
      </c>
      <c r="L127" s="56">
        <f t="shared" si="21"/>
        <v>3456000</v>
      </c>
      <c r="M127" s="56">
        <f t="shared" si="22"/>
        <v>10517810.660180405</v>
      </c>
      <c r="N127" s="11">
        <f>IF(COUNTIF(InputOutputData!K$20,"Chlorine") = 1,'More accurate Energy (Solar)'!M127,L127+K127+I127)</f>
        <v>10517810.660180405</v>
      </c>
    </row>
    <row r="128" spans="1:14" ht="14.45">
      <c r="A128" s="24">
        <f>IF(InputOutputData!$E$36=1,'Rainfall Data'!C116,IF(InputOutputData!$E$36=2,'Rainfall Data'!D115,IF(InputOutputData!$E$36=3,'Rainfall Data'!E115,'Rainfall Data'!F115)))</f>
        <v>8.4</v>
      </c>
      <c r="B128" s="24">
        <f t="shared" si="14"/>
        <v>0.58333333333333348</v>
      </c>
      <c r="C128" s="24">
        <f t="shared" si="15"/>
        <v>0.84000000000000008</v>
      </c>
      <c r="D128" s="24">
        <f t="shared" si="23"/>
        <v>113</v>
      </c>
      <c r="E128" s="24">
        <f t="shared" si="16"/>
        <v>34.37600000000004</v>
      </c>
      <c r="F128" s="24">
        <f t="shared" si="12"/>
        <v>177168.60000000003</v>
      </c>
      <c r="G128" s="24">
        <f t="shared" si="17"/>
        <v>4.3048255778827801E-2</v>
      </c>
      <c r="H128" s="24">
        <f t="shared" si="18"/>
        <v>6567516.6613013847</v>
      </c>
      <c r="I128" s="24">
        <f t="shared" si="19"/>
        <v>7138605.0666319393</v>
      </c>
      <c r="J128" s="24">
        <f t="shared" si="13"/>
        <v>4.2</v>
      </c>
      <c r="K128" s="327">
        <f t="shared" si="20"/>
        <v>8400000</v>
      </c>
      <c r="L128" s="56">
        <f t="shared" si="21"/>
        <v>3456000</v>
      </c>
      <c r="M128" s="56">
        <f t="shared" si="22"/>
        <v>10594605.066631939</v>
      </c>
      <c r="N128" s="11">
        <f>IF(COUNTIF(InputOutputData!K$20,"Chlorine") = 1,'More accurate Energy (Solar)'!M128,L128+K128+I128)</f>
        <v>10594605.066631939</v>
      </c>
    </row>
    <row r="129" spans="1:14" ht="14.45">
      <c r="A129" s="24">
        <f>IF(InputOutputData!$E$36=1,'Rainfall Data'!C117,IF(InputOutputData!$E$36=2,'Rainfall Data'!D116,IF(InputOutputData!$E$36=3,'Rainfall Data'!E116,'Rainfall Data'!F116)))</f>
        <v>1.8</v>
      </c>
      <c r="B129" s="24">
        <f t="shared" si="14"/>
        <v>0.125</v>
      </c>
      <c r="C129" s="24">
        <f t="shared" si="15"/>
        <v>0.18</v>
      </c>
      <c r="D129" s="24">
        <f t="shared" si="23"/>
        <v>114</v>
      </c>
      <c r="E129" s="24">
        <f t="shared" si="16"/>
        <v>34.124000000000038</v>
      </c>
      <c r="F129" s="24">
        <f t="shared" si="12"/>
        <v>37964.700000000004</v>
      </c>
      <c r="G129" s="24">
        <f t="shared" si="17"/>
        <v>1.843319716624707E-2</v>
      </c>
      <c r="H129" s="24">
        <f t="shared" si="18"/>
        <v>3286618.4833838325</v>
      </c>
      <c r="I129" s="24">
        <f t="shared" si="19"/>
        <v>3572411.3949824264</v>
      </c>
      <c r="J129" s="24">
        <f t="shared" si="13"/>
        <v>0.89999999999999991</v>
      </c>
      <c r="K129" s="327">
        <f t="shared" si="20"/>
        <v>1799999.9999999998</v>
      </c>
      <c r="L129" s="56">
        <f t="shared" si="21"/>
        <v>3456000</v>
      </c>
      <c r="M129" s="56">
        <f t="shared" si="22"/>
        <v>7028411.3949824264</v>
      </c>
      <c r="N129" s="11">
        <f>IF(COUNTIF(InputOutputData!K$20,"Chlorine") = 1,'More accurate Energy (Solar)'!M129,L129+K129+I129)</f>
        <v>7028411.3949824264</v>
      </c>
    </row>
    <row r="130" spans="1:14" ht="14.45">
      <c r="A130" s="24">
        <f>IF(InputOutputData!$E$36=1,'Rainfall Data'!C118,IF(InputOutputData!$E$36=2,'Rainfall Data'!D117,IF(InputOutputData!$E$36=3,'Rainfall Data'!E117,'Rainfall Data'!F117)))</f>
        <v>0</v>
      </c>
      <c r="B130" s="24">
        <f t="shared" si="14"/>
        <v>0</v>
      </c>
      <c r="C130" s="24">
        <f t="shared" si="15"/>
        <v>0</v>
      </c>
      <c r="D130" s="24">
        <f t="shared" si="23"/>
        <v>115</v>
      </c>
      <c r="E130" s="24">
        <f t="shared" si="16"/>
        <v>33.692000000000036</v>
      </c>
      <c r="F130" s="24">
        <f t="shared" si="12"/>
        <v>0</v>
      </c>
      <c r="G130" s="24">
        <f t="shared" si="17"/>
        <v>0</v>
      </c>
      <c r="H130" s="24">
        <f t="shared" si="18"/>
        <v>0</v>
      </c>
      <c r="I130" s="24">
        <f t="shared" si="19"/>
        <v>0</v>
      </c>
      <c r="J130" s="24">
        <f t="shared" si="13"/>
        <v>0</v>
      </c>
      <c r="K130" s="327">
        <f t="shared" si="20"/>
        <v>0</v>
      </c>
      <c r="L130" s="56">
        <f t="shared" si="21"/>
        <v>3456000</v>
      </c>
      <c r="M130" s="56">
        <f t="shared" si="22"/>
        <v>3456000</v>
      </c>
      <c r="N130" s="11">
        <f>IF(COUNTIF(InputOutputData!K$20,"Chlorine") = 1,'More accurate Energy (Solar)'!M130,L130+K130+I130)</f>
        <v>3456000</v>
      </c>
    </row>
    <row r="131" spans="1:14" ht="14.45">
      <c r="A131" s="24">
        <f>IF(InputOutputData!$E$36=1,'Rainfall Data'!C119,IF(InputOutputData!$E$36=2,'Rainfall Data'!D118,IF(InputOutputData!$E$36=3,'Rainfall Data'!E118,'Rainfall Data'!F118)))</f>
        <v>4.2</v>
      </c>
      <c r="B131" s="24">
        <f t="shared" si="14"/>
        <v>0.29166666666666674</v>
      </c>
      <c r="C131" s="24">
        <f t="shared" si="15"/>
        <v>0.42000000000000004</v>
      </c>
      <c r="D131" s="24">
        <f t="shared" si="23"/>
        <v>116</v>
      </c>
      <c r="E131" s="24">
        <f t="shared" si="16"/>
        <v>33.680000000000035</v>
      </c>
      <c r="F131" s="24">
        <f t="shared" si="12"/>
        <v>88584.300000000017</v>
      </c>
      <c r="G131" s="24">
        <f t="shared" si="17"/>
        <v>2.938554563262399E-2</v>
      </c>
      <c r="H131" s="24">
        <f t="shared" si="18"/>
        <v>4810530.6704521049</v>
      </c>
      <c r="I131" s="24">
        <f t="shared" si="19"/>
        <v>5228837.6852740264</v>
      </c>
      <c r="J131" s="24">
        <f t="shared" si="13"/>
        <v>2.1</v>
      </c>
      <c r="K131" s="327">
        <f t="shared" si="20"/>
        <v>4200000</v>
      </c>
      <c r="L131" s="56">
        <f t="shared" si="21"/>
        <v>3456000</v>
      </c>
      <c r="M131" s="56">
        <f t="shared" si="22"/>
        <v>8684837.6852740273</v>
      </c>
      <c r="N131" s="11">
        <f>IF(COUNTIF(InputOutputData!K$20,"Chlorine") = 1,'More accurate Energy (Solar)'!M131,L131+K131+I131)</f>
        <v>8684837.6852740273</v>
      </c>
    </row>
    <row r="132" spans="1:14" ht="14.45">
      <c r="A132" s="24">
        <f>IF(InputOutputData!$E$36=1,'Rainfall Data'!C120,IF(InputOutputData!$E$36=2,'Rainfall Data'!D119,IF(InputOutputData!$E$36=3,'Rainfall Data'!E119,'Rainfall Data'!F119)))</f>
        <v>22.4</v>
      </c>
      <c r="B132" s="24">
        <f t="shared" si="14"/>
        <v>1.0416666666666667</v>
      </c>
      <c r="C132" s="24">
        <f t="shared" si="15"/>
        <v>1.5</v>
      </c>
      <c r="D132" s="24">
        <f t="shared" si="23"/>
        <v>117</v>
      </c>
      <c r="E132" s="24">
        <f t="shared" si="16"/>
        <v>34.748000000000033</v>
      </c>
      <c r="F132" s="24">
        <f t="shared" si="12"/>
        <v>316372.5</v>
      </c>
      <c r="G132" s="24">
        <f t="shared" si="17"/>
        <v>5.9272522795741148E-2</v>
      </c>
      <c r="H132" s="24">
        <f t="shared" si="18"/>
        <v>8517561.9968154822</v>
      </c>
      <c r="I132" s="24">
        <f t="shared" si="19"/>
        <v>9258219.5617559589</v>
      </c>
      <c r="J132" s="24">
        <f t="shared" si="13"/>
        <v>7.5</v>
      </c>
      <c r="K132" s="327">
        <f t="shared" si="20"/>
        <v>15000000</v>
      </c>
      <c r="L132" s="56">
        <f t="shared" si="21"/>
        <v>3456000</v>
      </c>
      <c r="M132" s="56">
        <f t="shared" si="22"/>
        <v>12714219.561755959</v>
      </c>
      <c r="N132" s="11">
        <f>IF(COUNTIF(InputOutputData!K$20,"Chlorine") = 1,'More accurate Energy (Solar)'!M132,L132+K132+I132)</f>
        <v>12714219.561755959</v>
      </c>
    </row>
    <row r="133" spans="1:14" ht="14.45">
      <c r="A133" s="24">
        <f>IF(InputOutputData!$E$36=1,'Rainfall Data'!C121,IF(InputOutputData!$E$36=2,'Rainfall Data'!D120,IF(InputOutputData!$E$36=3,'Rainfall Data'!E120,'Rainfall Data'!F120)))</f>
        <v>15.4</v>
      </c>
      <c r="B133" s="24">
        <f t="shared" si="14"/>
        <v>1.0416666666666667</v>
      </c>
      <c r="C133" s="24">
        <f t="shared" si="15"/>
        <v>1.5</v>
      </c>
      <c r="D133" s="24">
        <f t="shared" si="23"/>
        <v>118</v>
      </c>
      <c r="E133" s="24">
        <f t="shared" si="16"/>
        <v>35.816000000000031</v>
      </c>
      <c r="F133" s="24">
        <f t="shared" si="12"/>
        <v>316372.5</v>
      </c>
      <c r="G133" s="24">
        <f t="shared" si="17"/>
        <v>5.9272522795741148E-2</v>
      </c>
      <c r="H133" s="24">
        <f t="shared" si="18"/>
        <v>8517561.9968154822</v>
      </c>
      <c r="I133" s="24">
        <f t="shared" si="19"/>
        <v>9258219.5617559589</v>
      </c>
      <c r="J133" s="24">
        <f t="shared" si="13"/>
        <v>7.5</v>
      </c>
      <c r="K133" s="327">
        <f t="shared" si="20"/>
        <v>15000000</v>
      </c>
      <c r="L133" s="56">
        <f t="shared" si="21"/>
        <v>3456000</v>
      </c>
      <c r="M133" s="56">
        <f t="shared" si="22"/>
        <v>12714219.561755959</v>
      </c>
      <c r="N133" s="11">
        <f>IF(COUNTIF(InputOutputData!K$20,"Chlorine") = 1,'More accurate Energy (Solar)'!M133,L133+K133+I133)</f>
        <v>12714219.561755959</v>
      </c>
    </row>
    <row r="134" spans="1:14" ht="14.45">
      <c r="A134" s="24">
        <f>IF(InputOutputData!$E$36=1,'Rainfall Data'!C122,IF(InputOutputData!$E$36=2,'Rainfall Data'!D121,IF(InputOutputData!$E$36=3,'Rainfall Data'!E121,'Rainfall Data'!F121)))</f>
        <v>27.6</v>
      </c>
      <c r="B134" s="24">
        <f t="shared" si="14"/>
        <v>1.0416666666666667</v>
      </c>
      <c r="C134" s="24">
        <f t="shared" si="15"/>
        <v>1.5</v>
      </c>
      <c r="D134" s="24">
        <f t="shared" si="23"/>
        <v>119</v>
      </c>
      <c r="E134" s="24">
        <f t="shared" si="16"/>
        <v>36</v>
      </c>
      <c r="F134" s="24">
        <f t="shared" si="12"/>
        <v>316372.5</v>
      </c>
      <c r="G134" s="24">
        <f t="shared" si="17"/>
        <v>5.9272522795741148E-2</v>
      </c>
      <c r="H134" s="24">
        <f t="shared" si="18"/>
        <v>8517561.9968154822</v>
      </c>
      <c r="I134" s="24">
        <f t="shared" si="19"/>
        <v>9258219.5617559589</v>
      </c>
      <c r="J134" s="24">
        <f t="shared" si="13"/>
        <v>7.5</v>
      </c>
      <c r="K134" s="327">
        <f t="shared" si="20"/>
        <v>15000000</v>
      </c>
      <c r="L134" s="56">
        <f t="shared" si="21"/>
        <v>3456000</v>
      </c>
      <c r="M134" s="56">
        <f t="shared" si="22"/>
        <v>12714219.561755959</v>
      </c>
      <c r="N134" s="11">
        <f>IF(COUNTIF(InputOutputData!K$20,"Chlorine") = 1,'More accurate Energy (Solar)'!M134,L134+K134+I134)</f>
        <v>12714219.561755959</v>
      </c>
    </row>
    <row r="135" spans="1:14" ht="14.45">
      <c r="A135" s="24">
        <f>IF(InputOutputData!$E$36=1,'Rainfall Data'!C123,IF(InputOutputData!$E$36=2,'Rainfall Data'!D122,IF(InputOutputData!$E$36=3,'Rainfall Data'!E122,'Rainfall Data'!F122)))</f>
        <v>4.8</v>
      </c>
      <c r="B135" s="24">
        <f t="shared" si="14"/>
        <v>0.33333333333333331</v>
      </c>
      <c r="C135" s="24">
        <f t="shared" si="15"/>
        <v>0.48</v>
      </c>
      <c r="D135" s="24">
        <f t="shared" si="23"/>
        <v>120</v>
      </c>
      <c r="E135" s="24">
        <f t="shared" si="16"/>
        <v>36</v>
      </c>
      <c r="F135" s="24">
        <f t="shared" si="12"/>
        <v>101239.2</v>
      </c>
      <c r="G135" s="24">
        <f t="shared" si="17"/>
        <v>3.162756800739009E-2</v>
      </c>
      <c r="H135" s="24">
        <f t="shared" si="18"/>
        <v>5108023.6077833809</v>
      </c>
      <c r="I135" s="24">
        <f t="shared" si="19"/>
        <v>5552199.5736775873</v>
      </c>
      <c r="J135" s="24">
        <f t="shared" si="13"/>
        <v>2.4</v>
      </c>
      <c r="K135" s="327">
        <f t="shared" si="20"/>
        <v>4800000</v>
      </c>
      <c r="L135" s="56">
        <f t="shared" si="21"/>
        <v>3456000</v>
      </c>
      <c r="M135" s="56">
        <f t="shared" si="22"/>
        <v>9008199.5736775883</v>
      </c>
      <c r="N135" s="11">
        <f>IF(COUNTIF(InputOutputData!K$20,"Chlorine") = 1,'More accurate Energy (Solar)'!M135,L135+K135+I135)</f>
        <v>9008199.5736775883</v>
      </c>
    </row>
    <row r="136" spans="1:14" ht="14.45">
      <c r="A136" s="24">
        <f>IF(InputOutputData!$E$36=1,'Rainfall Data'!C124,IF(InputOutputData!$E$36=2,'Rainfall Data'!D123,IF(InputOutputData!$E$36=3,'Rainfall Data'!E123,'Rainfall Data'!F123)))</f>
        <v>0.8</v>
      </c>
      <c r="B136" s="24">
        <f t="shared" si="14"/>
        <v>5.5555555555555552E-2</v>
      </c>
      <c r="C136" s="24">
        <f t="shared" si="15"/>
        <v>0.08</v>
      </c>
      <c r="D136" s="24">
        <f t="shared" si="23"/>
        <v>121</v>
      </c>
      <c r="E136" s="24">
        <f t="shared" si="16"/>
        <v>35.648000000000003</v>
      </c>
      <c r="F136" s="24">
        <f t="shared" si="12"/>
        <v>16873.2</v>
      </c>
      <c r="G136" s="24">
        <f t="shared" si="17"/>
        <v>1.1798845559697837E-2</v>
      </c>
      <c r="H136" s="24">
        <f t="shared" si="18"/>
        <v>2282064.5633099871</v>
      </c>
      <c r="I136" s="24">
        <f t="shared" si="19"/>
        <v>2480504.960119551</v>
      </c>
      <c r="J136" s="24">
        <f t="shared" si="13"/>
        <v>0.4</v>
      </c>
      <c r="K136" s="327">
        <f t="shared" si="20"/>
        <v>800000</v>
      </c>
      <c r="L136" s="56">
        <f t="shared" si="21"/>
        <v>3456000</v>
      </c>
      <c r="M136" s="56">
        <f t="shared" si="22"/>
        <v>5936504.960119551</v>
      </c>
      <c r="N136" s="11">
        <f>IF(COUNTIF(InputOutputData!K$20,"Chlorine") = 1,'More accurate Energy (Solar)'!M136,L136+K136+I136)</f>
        <v>5936504.960119551</v>
      </c>
    </row>
    <row r="137" spans="1:14" ht="14.45">
      <c r="A137" s="24">
        <f>IF(InputOutputData!$E$36=1,'Rainfall Data'!C125,IF(InputOutputData!$E$36=2,'Rainfall Data'!D124,IF(InputOutputData!$E$36=3,'Rainfall Data'!E124,'Rainfall Data'!F124)))</f>
        <v>0</v>
      </c>
      <c r="B137" s="24">
        <f t="shared" si="14"/>
        <v>0</v>
      </c>
      <c r="C137" s="24">
        <f t="shared" si="15"/>
        <v>0</v>
      </c>
      <c r="D137" s="24">
        <f t="shared" si="23"/>
        <v>122</v>
      </c>
      <c r="E137" s="24">
        <f t="shared" si="16"/>
        <v>35.216000000000001</v>
      </c>
      <c r="F137" s="24">
        <f t="shared" si="12"/>
        <v>0</v>
      </c>
      <c r="G137" s="24">
        <f t="shared" si="17"/>
        <v>0</v>
      </c>
      <c r="H137" s="24">
        <f t="shared" si="18"/>
        <v>0</v>
      </c>
      <c r="I137" s="24">
        <f t="shared" si="19"/>
        <v>0</v>
      </c>
      <c r="J137" s="24">
        <f t="shared" si="13"/>
        <v>0</v>
      </c>
      <c r="K137" s="327">
        <f t="shared" si="20"/>
        <v>0</v>
      </c>
      <c r="L137" s="56">
        <f t="shared" si="21"/>
        <v>3456000</v>
      </c>
      <c r="M137" s="56">
        <f t="shared" si="22"/>
        <v>3456000</v>
      </c>
      <c r="N137" s="11">
        <f>IF(COUNTIF(InputOutputData!K$20,"Chlorine") = 1,'More accurate Energy (Solar)'!M137,L137+K137+I137)</f>
        <v>3456000</v>
      </c>
    </row>
    <row r="138" spans="1:14" ht="14.45">
      <c r="A138" s="24">
        <f>IF(InputOutputData!$E$36=1,'Rainfall Data'!C126,IF(InputOutputData!$E$36=2,'Rainfall Data'!D125,IF(InputOutputData!$E$36=3,'Rainfall Data'!E125,'Rainfall Data'!F125)))</f>
        <v>0</v>
      </c>
      <c r="B138" s="24">
        <f t="shared" si="14"/>
        <v>0</v>
      </c>
      <c r="C138" s="24">
        <f t="shared" si="15"/>
        <v>0</v>
      </c>
      <c r="D138" s="24">
        <f t="shared" si="23"/>
        <v>123</v>
      </c>
      <c r="E138" s="24">
        <f t="shared" si="16"/>
        <v>34.783999999999999</v>
      </c>
      <c r="F138" s="24">
        <f t="shared" si="12"/>
        <v>0</v>
      </c>
      <c r="G138" s="24">
        <f t="shared" si="17"/>
        <v>0</v>
      </c>
      <c r="H138" s="24">
        <f t="shared" si="18"/>
        <v>0</v>
      </c>
      <c r="I138" s="24">
        <f t="shared" si="19"/>
        <v>0</v>
      </c>
      <c r="J138" s="24">
        <f t="shared" si="13"/>
        <v>0</v>
      </c>
      <c r="K138" s="327">
        <f t="shared" si="20"/>
        <v>0</v>
      </c>
      <c r="L138" s="56">
        <f t="shared" si="21"/>
        <v>3456000</v>
      </c>
      <c r="M138" s="56">
        <f t="shared" si="22"/>
        <v>3456000</v>
      </c>
      <c r="N138" s="11">
        <f>IF(COUNTIF(InputOutputData!K$20,"Chlorine") = 1,'More accurate Energy (Solar)'!M138,L138+K138+I138)</f>
        <v>3456000</v>
      </c>
    </row>
    <row r="139" spans="1:14" ht="14.45">
      <c r="A139" s="24">
        <f>IF(InputOutputData!$E$36=1,'Rainfall Data'!C127,IF(InputOutputData!$E$36=2,'Rainfall Data'!D126,IF(InputOutputData!$E$36=3,'Rainfall Data'!E126,'Rainfall Data'!F126)))</f>
        <v>19.8</v>
      </c>
      <c r="B139" s="24">
        <f t="shared" si="14"/>
        <v>1.0416666666666667</v>
      </c>
      <c r="C139" s="24">
        <f t="shared" si="15"/>
        <v>1.5</v>
      </c>
      <c r="D139" s="24">
        <f t="shared" si="23"/>
        <v>124</v>
      </c>
      <c r="E139" s="24">
        <f t="shared" si="16"/>
        <v>35.851999999999997</v>
      </c>
      <c r="F139" s="24">
        <f t="shared" si="12"/>
        <v>316372.5</v>
      </c>
      <c r="G139" s="24">
        <f t="shared" si="17"/>
        <v>5.9272522795741148E-2</v>
      </c>
      <c r="H139" s="24">
        <f t="shared" si="18"/>
        <v>8517561.9968154822</v>
      </c>
      <c r="I139" s="24">
        <f t="shared" si="19"/>
        <v>9258219.5617559589</v>
      </c>
      <c r="J139" s="24">
        <f t="shared" si="13"/>
        <v>7.5</v>
      </c>
      <c r="K139" s="327">
        <f t="shared" si="20"/>
        <v>15000000</v>
      </c>
      <c r="L139" s="56">
        <f t="shared" si="21"/>
        <v>3456000</v>
      </c>
      <c r="M139" s="56">
        <f t="shared" si="22"/>
        <v>12714219.561755959</v>
      </c>
      <c r="N139" s="11">
        <f>IF(COUNTIF(InputOutputData!K$20,"Chlorine") = 1,'More accurate Energy (Solar)'!M139,L139+K139+I139)</f>
        <v>12714219.561755959</v>
      </c>
    </row>
    <row r="140" spans="1:14" ht="14.45">
      <c r="A140" s="24">
        <f>IF(InputOutputData!$E$36=1,'Rainfall Data'!C128,IF(InputOutputData!$E$36=2,'Rainfall Data'!D127,IF(InputOutputData!$E$36=3,'Rainfall Data'!E127,'Rainfall Data'!F127)))</f>
        <v>0.4</v>
      </c>
      <c r="B140" s="24">
        <f t="shared" si="14"/>
        <v>2.7777777777777776E-2</v>
      </c>
      <c r="C140" s="24">
        <f t="shared" si="15"/>
        <v>0.04</v>
      </c>
      <c r="D140" s="24">
        <f t="shared" si="23"/>
        <v>125</v>
      </c>
      <c r="E140" s="24">
        <f t="shared" si="16"/>
        <v>35.459999999999994</v>
      </c>
      <c r="F140" s="24">
        <f t="shared" si="12"/>
        <v>8436.6</v>
      </c>
      <c r="G140" s="24">
        <f t="shared" si="17"/>
        <v>8.0583980052267804E-3</v>
      </c>
      <c r="H140" s="24">
        <f t="shared" si="18"/>
        <v>1670662.5387756634</v>
      </c>
      <c r="I140" s="24">
        <f t="shared" si="19"/>
        <v>1815937.5421474602</v>
      </c>
      <c r="J140" s="24">
        <f t="shared" si="13"/>
        <v>0.2</v>
      </c>
      <c r="K140" s="327">
        <f t="shared" si="20"/>
        <v>400000</v>
      </c>
      <c r="L140" s="56">
        <f t="shared" si="21"/>
        <v>3456000</v>
      </c>
      <c r="M140" s="56">
        <f t="shared" si="22"/>
        <v>5271937.5421474604</v>
      </c>
      <c r="N140" s="11">
        <f>IF(COUNTIF(InputOutputData!K$20,"Chlorine") = 1,'More accurate Energy (Solar)'!M140,L140+K140+I140)</f>
        <v>5271937.5421474604</v>
      </c>
    </row>
    <row r="141" spans="1:14" ht="14.45">
      <c r="A141" s="24">
        <f>IF(InputOutputData!$E$36=1,'Rainfall Data'!C129,IF(InputOutputData!$E$36=2,'Rainfall Data'!D128,IF(InputOutputData!$E$36=3,'Rainfall Data'!E128,'Rainfall Data'!F128)))</f>
        <v>0</v>
      </c>
      <c r="B141" s="24">
        <f t="shared" si="14"/>
        <v>0</v>
      </c>
      <c r="C141" s="24">
        <f t="shared" si="15"/>
        <v>0</v>
      </c>
      <c r="D141" s="24">
        <f t="shared" si="23"/>
        <v>126</v>
      </c>
      <c r="E141" s="24">
        <f t="shared" si="16"/>
        <v>35.027999999999992</v>
      </c>
      <c r="F141" s="24">
        <f t="shared" si="12"/>
        <v>0</v>
      </c>
      <c r="G141" s="24">
        <f t="shared" si="17"/>
        <v>0</v>
      </c>
      <c r="H141" s="24">
        <f t="shared" si="18"/>
        <v>0</v>
      </c>
      <c r="I141" s="24">
        <f t="shared" si="19"/>
        <v>0</v>
      </c>
      <c r="J141" s="24">
        <f t="shared" si="13"/>
        <v>0</v>
      </c>
      <c r="K141" s="327">
        <f t="shared" si="20"/>
        <v>0</v>
      </c>
      <c r="L141" s="56">
        <f t="shared" si="21"/>
        <v>3456000</v>
      </c>
      <c r="M141" s="56">
        <f t="shared" si="22"/>
        <v>3456000</v>
      </c>
      <c r="N141" s="11">
        <f>IF(COUNTIF(InputOutputData!K$20,"Chlorine") = 1,'More accurate Energy (Solar)'!M141,L141+K141+I141)</f>
        <v>3456000</v>
      </c>
    </row>
    <row r="142" spans="1:14" ht="14.45">
      <c r="A142" s="24">
        <f>IF(InputOutputData!$E$36=1,'Rainfall Data'!C130,IF(InputOutputData!$E$36=2,'Rainfall Data'!D129,IF(InputOutputData!$E$36=3,'Rainfall Data'!E129,'Rainfall Data'!F129)))</f>
        <v>0</v>
      </c>
      <c r="B142" s="24">
        <f t="shared" si="14"/>
        <v>0</v>
      </c>
      <c r="C142" s="24">
        <f t="shared" si="15"/>
        <v>0</v>
      </c>
      <c r="D142" s="24">
        <f t="shared" si="23"/>
        <v>127</v>
      </c>
      <c r="E142" s="24">
        <f t="shared" si="16"/>
        <v>34.595999999999989</v>
      </c>
      <c r="F142" s="24">
        <f t="shared" si="12"/>
        <v>0</v>
      </c>
      <c r="G142" s="24">
        <f t="shared" si="17"/>
        <v>0</v>
      </c>
      <c r="H142" s="24">
        <f t="shared" si="18"/>
        <v>0</v>
      </c>
      <c r="I142" s="24">
        <f t="shared" si="19"/>
        <v>0</v>
      </c>
      <c r="J142" s="24">
        <f t="shared" si="13"/>
        <v>0</v>
      </c>
      <c r="K142" s="327">
        <f t="shared" si="20"/>
        <v>0</v>
      </c>
      <c r="L142" s="56">
        <f t="shared" si="21"/>
        <v>3456000</v>
      </c>
      <c r="M142" s="56">
        <f t="shared" si="22"/>
        <v>3456000</v>
      </c>
      <c r="N142" s="11">
        <f>IF(COUNTIF(InputOutputData!K$20,"Chlorine") = 1,'More accurate Energy (Solar)'!M142,L142+K142+I142)</f>
        <v>3456000</v>
      </c>
    </row>
    <row r="143" spans="1:14" ht="14.45">
      <c r="A143" s="24">
        <f>IF(InputOutputData!$E$36=1,'Rainfall Data'!C131,IF(InputOutputData!$E$36=2,'Rainfall Data'!D130,IF(InputOutputData!$E$36=3,'Rainfall Data'!E130,'Rainfall Data'!F130)))</f>
        <v>0</v>
      </c>
      <c r="B143" s="24">
        <f t="shared" si="14"/>
        <v>0</v>
      </c>
      <c r="C143" s="24">
        <f t="shared" si="15"/>
        <v>0</v>
      </c>
      <c r="D143" s="24">
        <f t="shared" si="23"/>
        <v>128</v>
      </c>
      <c r="E143" s="24">
        <f t="shared" si="16"/>
        <v>34.163999999999987</v>
      </c>
      <c r="F143" s="24">
        <f t="shared" si="12"/>
        <v>0</v>
      </c>
      <c r="G143" s="24">
        <f t="shared" si="17"/>
        <v>0</v>
      </c>
      <c r="H143" s="24">
        <f t="shared" si="18"/>
        <v>0</v>
      </c>
      <c r="I143" s="24">
        <f t="shared" si="19"/>
        <v>0</v>
      </c>
      <c r="J143" s="24">
        <f t="shared" si="13"/>
        <v>0</v>
      </c>
      <c r="K143" s="327">
        <f t="shared" si="20"/>
        <v>0</v>
      </c>
      <c r="L143" s="56">
        <f t="shared" si="21"/>
        <v>3456000</v>
      </c>
      <c r="M143" s="56">
        <f t="shared" si="22"/>
        <v>3456000</v>
      </c>
      <c r="N143" s="11">
        <f>IF(COUNTIF(InputOutputData!K$20,"Chlorine") = 1,'More accurate Energy (Solar)'!M143,L143+K143+I143)</f>
        <v>3456000</v>
      </c>
    </row>
    <row r="144" spans="1:14" ht="14.45">
      <c r="A144" s="24">
        <f>IF(InputOutputData!$E$36=1,'Rainfall Data'!C132,IF(InputOutputData!$E$36=2,'Rainfall Data'!D131,IF(InputOutputData!$E$36=3,'Rainfall Data'!E131,'Rainfall Data'!F131)))</f>
        <v>0</v>
      </c>
      <c r="B144" s="24">
        <f t="shared" si="14"/>
        <v>0</v>
      </c>
      <c r="C144" s="24">
        <f t="shared" si="15"/>
        <v>0</v>
      </c>
      <c r="D144" s="24">
        <f t="shared" si="23"/>
        <v>129</v>
      </c>
      <c r="E144" s="24">
        <f t="shared" si="16"/>
        <v>33.731999999999985</v>
      </c>
      <c r="F144" s="24">
        <f t="shared" ref="F144:F207" si="24">C144*$V$1*$V$2*$E$7</f>
        <v>0</v>
      </c>
      <c r="G144" s="24">
        <f t="shared" si="17"/>
        <v>0</v>
      </c>
      <c r="H144" s="24">
        <f t="shared" si="18"/>
        <v>0</v>
      </c>
      <c r="I144" s="24">
        <f t="shared" si="19"/>
        <v>0</v>
      </c>
      <c r="J144" s="24">
        <f t="shared" ref="J144:J207" si="25">($M$7 / $M$6) * C144</f>
        <v>0</v>
      </c>
      <c r="K144" s="327">
        <f t="shared" si="20"/>
        <v>0</v>
      </c>
      <c r="L144" s="56">
        <f t="shared" si="21"/>
        <v>3456000</v>
      </c>
      <c r="M144" s="56">
        <f t="shared" si="22"/>
        <v>3456000</v>
      </c>
      <c r="N144" s="11">
        <f>IF(COUNTIF(InputOutputData!K$20,"Chlorine") = 1,'More accurate Energy (Solar)'!M144,L144+K144+I144)</f>
        <v>3456000</v>
      </c>
    </row>
    <row r="145" spans="1:14" ht="14.45">
      <c r="A145" s="24">
        <f>IF(InputOutputData!$E$36=1,'Rainfall Data'!C133,IF(InputOutputData!$E$36=2,'Rainfall Data'!D132,IF(InputOutputData!$E$36=3,'Rainfall Data'!E132,'Rainfall Data'!F132)))</f>
        <v>0.4</v>
      </c>
      <c r="B145" s="24">
        <f t="shared" ref="B145:B208" si="26">C145*100/144</f>
        <v>2.7777777777777776E-2</v>
      </c>
      <c r="C145" s="24">
        <f t="shared" ref="C145:C208" si="27">MIN((A145/1000)*$E$3,$E$4)</f>
        <v>0.04</v>
      </c>
      <c r="D145" s="24">
        <f t="shared" si="23"/>
        <v>130</v>
      </c>
      <c r="E145" s="24">
        <f t="shared" ref="E145:E208" si="28">MAX(MIN(C145 - (IF(D145 &gt; $E$8, $E$2 / 1000,0)) + E144, $E$5),0)</f>
        <v>33.339999999999982</v>
      </c>
      <c r="F145" s="24">
        <f t="shared" si="24"/>
        <v>8436.6</v>
      </c>
      <c r="G145" s="24">
        <f t="shared" ref="G145:G208" si="29">1.2*$V$8*(EXP(B145/$M$3)-1-(1.72*((B145/$M$3)^4)))^($V$9)</f>
        <v>8.0583980052267804E-3</v>
      </c>
      <c r="H145" s="24">
        <f t="shared" ref="H145:H208" si="30">IF(C145 = 0,0,$M$2*C145/G145 * 1000)</f>
        <v>1670662.5387756634</v>
      </c>
      <c r="I145" s="24">
        <f t="shared" ref="I145:I208" si="31">H145/0.92</f>
        <v>1815937.5421474602</v>
      </c>
      <c r="J145" s="24">
        <f t="shared" si="25"/>
        <v>0.2</v>
      </c>
      <c r="K145" s="327">
        <f t="shared" ref="K145:K208" si="32">$M$8 * 10^6 * J145</f>
        <v>400000</v>
      </c>
      <c r="L145" s="56">
        <f t="shared" ref="L145:L208" si="33">$Q$6 * 24 * 3600</f>
        <v>3456000</v>
      </c>
      <c r="M145" s="56">
        <f t="shared" ref="M145:M208" si="34">L145+I145</f>
        <v>5271937.5421474604</v>
      </c>
      <c r="N145" s="11">
        <f>IF(COUNTIF(InputOutputData!K$20,"Chlorine") = 1,'More accurate Energy (Solar)'!M145,L145+K145+I145)</f>
        <v>5271937.5421474604</v>
      </c>
    </row>
    <row r="146" spans="1:14" ht="14.45">
      <c r="A146" s="24">
        <f>IF(InputOutputData!$E$36=1,'Rainfall Data'!C134,IF(InputOutputData!$E$36=2,'Rainfall Data'!D133,IF(InputOutputData!$E$36=3,'Rainfall Data'!E133,'Rainfall Data'!F133)))</f>
        <v>0</v>
      </c>
      <c r="B146" s="24">
        <f t="shared" si="26"/>
        <v>0</v>
      </c>
      <c r="C146" s="24">
        <f t="shared" si="27"/>
        <v>0</v>
      </c>
      <c r="D146" s="24">
        <f t="shared" ref="D146:D209" si="35">D145+1</f>
        <v>131</v>
      </c>
      <c r="E146" s="24">
        <f t="shared" si="28"/>
        <v>32.90799999999998</v>
      </c>
      <c r="F146" s="24">
        <f t="shared" si="24"/>
        <v>0</v>
      </c>
      <c r="G146" s="24">
        <f t="shared" si="29"/>
        <v>0</v>
      </c>
      <c r="H146" s="24">
        <f t="shared" si="30"/>
        <v>0</v>
      </c>
      <c r="I146" s="24">
        <f t="shared" si="31"/>
        <v>0</v>
      </c>
      <c r="J146" s="24">
        <f t="shared" si="25"/>
        <v>0</v>
      </c>
      <c r="K146" s="327">
        <f t="shared" si="32"/>
        <v>0</v>
      </c>
      <c r="L146" s="56">
        <f t="shared" si="33"/>
        <v>3456000</v>
      </c>
      <c r="M146" s="56">
        <f t="shared" si="34"/>
        <v>3456000</v>
      </c>
      <c r="N146" s="11">
        <f>IF(COUNTIF(InputOutputData!K$20,"Chlorine") = 1,'More accurate Energy (Solar)'!M146,L146+K146+I146)</f>
        <v>3456000</v>
      </c>
    </row>
    <row r="147" spans="1:14" ht="14.45">
      <c r="A147" s="24">
        <f>IF(InputOutputData!$E$36=1,'Rainfall Data'!C135,IF(InputOutputData!$E$36=2,'Rainfall Data'!D134,IF(InputOutputData!$E$36=3,'Rainfall Data'!E134,'Rainfall Data'!F134)))</f>
        <v>0</v>
      </c>
      <c r="B147" s="24">
        <f t="shared" si="26"/>
        <v>0</v>
      </c>
      <c r="C147" s="24">
        <f t="shared" si="27"/>
        <v>0</v>
      </c>
      <c r="D147" s="24">
        <f t="shared" si="35"/>
        <v>132</v>
      </c>
      <c r="E147" s="24">
        <f t="shared" si="28"/>
        <v>32.475999999999978</v>
      </c>
      <c r="F147" s="24">
        <f t="shared" si="24"/>
        <v>0</v>
      </c>
      <c r="G147" s="24">
        <f t="shared" si="29"/>
        <v>0</v>
      </c>
      <c r="H147" s="24">
        <f t="shared" si="30"/>
        <v>0</v>
      </c>
      <c r="I147" s="24">
        <f t="shared" si="31"/>
        <v>0</v>
      </c>
      <c r="J147" s="24">
        <f t="shared" si="25"/>
        <v>0</v>
      </c>
      <c r="K147" s="327">
        <f t="shared" si="32"/>
        <v>0</v>
      </c>
      <c r="L147" s="56">
        <f t="shared" si="33"/>
        <v>3456000</v>
      </c>
      <c r="M147" s="56">
        <f t="shared" si="34"/>
        <v>3456000</v>
      </c>
      <c r="N147" s="11">
        <f>IF(COUNTIF(InputOutputData!K$20,"Chlorine") = 1,'More accurate Energy (Solar)'!M147,L147+K147+I147)</f>
        <v>3456000</v>
      </c>
    </row>
    <row r="148" spans="1:14" ht="14.45">
      <c r="A148" s="24">
        <f>IF(InputOutputData!$E$36=1,'Rainfall Data'!C136,IF(InputOutputData!$E$36=2,'Rainfall Data'!D135,IF(InputOutputData!$E$36=3,'Rainfall Data'!E135,'Rainfall Data'!F135)))</f>
        <v>0</v>
      </c>
      <c r="B148" s="24">
        <f t="shared" si="26"/>
        <v>0</v>
      </c>
      <c r="C148" s="24">
        <f t="shared" si="27"/>
        <v>0</v>
      </c>
      <c r="D148" s="24">
        <f t="shared" si="35"/>
        <v>133</v>
      </c>
      <c r="E148" s="24">
        <f t="shared" si="28"/>
        <v>32.043999999999976</v>
      </c>
      <c r="F148" s="24">
        <f t="shared" si="24"/>
        <v>0</v>
      </c>
      <c r="G148" s="24">
        <f t="shared" si="29"/>
        <v>0</v>
      </c>
      <c r="H148" s="24">
        <f t="shared" si="30"/>
        <v>0</v>
      </c>
      <c r="I148" s="24">
        <f t="shared" si="31"/>
        <v>0</v>
      </c>
      <c r="J148" s="24">
        <f t="shared" si="25"/>
        <v>0</v>
      </c>
      <c r="K148" s="327">
        <f t="shared" si="32"/>
        <v>0</v>
      </c>
      <c r="L148" s="56">
        <f t="shared" si="33"/>
        <v>3456000</v>
      </c>
      <c r="M148" s="56">
        <f t="shared" si="34"/>
        <v>3456000</v>
      </c>
      <c r="N148" s="11">
        <f>IF(COUNTIF(InputOutputData!K$20,"Chlorine") = 1,'More accurate Energy (Solar)'!M148,L148+K148+I148)</f>
        <v>3456000</v>
      </c>
    </row>
    <row r="149" spans="1:14" ht="14.45">
      <c r="A149" s="24">
        <f>IF(InputOutputData!$E$36=1,'Rainfall Data'!C137,IF(InputOutputData!$E$36=2,'Rainfall Data'!D136,IF(InputOutputData!$E$36=3,'Rainfall Data'!E136,'Rainfall Data'!F136)))</f>
        <v>0</v>
      </c>
      <c r="B149" s="24">
        <f t="shared" si="26"/>
        <v>0</v>
      </c>
      <c r="C149" s="24">
        <f t="shared" si="27"/>
        <v>0</v>
      </c>
      <c r="D149" s="24">
        <f t="shared" si="35"/>
        <v>134</v>
      </c>
      <c r="E149" s="24">
        <f t="shared" si="28"/>
        <v>31.611999999999977</v>
      </c>
      <c r="F149" s="24">
        <f t="shared" si="24"/>
        <v>0</v>
      </c>
      <c r="G149" s="24">
        <f t="shared" si="29"/>
        <v>0</v>
      </c>
      <c r="H149" s="24">
        <f t="shared" si="30"/>
        <v>0</v>
      </c>
      <c r="I149" s="24">
        <f t="shared" si="31"/>
        <v>0</v>
      </c>
      <c r="J149" s="24">
        <f t="shared" si="25"/>
        <v>0</v>
      </c>
      <c r="K149" s="327">
        <f t="shared" si="32"/>
        <v>0</v>
      </c>
      <c r="L149" s="56">
        <f t="shared" si="33"/>
        <v>3456000</v>
      </c>
      <c r="M149" s="56">
        <f t="shared" si="34"/>
        <v>3456000</v>
      </c>
      <c r="N149" s="11">
        <f>IF(COUNTIF(InputOutputData!K$20,"Chlorine") = 1,'More accurate Energy (Solar)'!M149,L149+K149+I149)</f>
        <v>3456000</v>
      </c>
    </row>
    <row r="150" spans="1:14" ht="14.45">
      <c r="A150" s="24">
        <f>IF(InputOutputData!$E$36=1,'Rainfall Data'!C138,IF(InputOutputData!$E$36=2,'Rainfall Data'!D137,IF(InputOutputData!$E$36=3,'Rainfall Data'!E137,'Rainfall Data'!F137)))</f>
        <v>0</v>
      </c>
      <c r="B150" s="24">
        <f t="shared" si="26"/>
        <v>0</v>
      </c>
      <c r="C150" s="24">
        <f t="shared" si="27"/>
        <v>0</v>
      </c>
      <c r="D150" s="24">
        <f t="shared" si="35"/>
        <v>135</v>
      </c>
      <c r="E150" s="24">
        <f t="shared" si="28"/>
        <v>31.179999999999978</v>
      </c>
      <c r="F150" s="24">
        <f t="shared" si="24"/>
        <v>0</v>
      </c>
      <c r="G150" s="24">
        <f t="shared" si="29"/>
        <v>0</v>
      </c>
      <c r="H150" s="24">
        <f t="shared" si="30"/>
        <v>0</v>
      </c>
      <c r="I150" s="24">
        <f t="shared" si="31"/>
        <v>0</v>
      </c>
      <c r="J150" s="24">
        <f t="shared" si="25"/>
        <v>0</v>
      </c>
      <c r="K150" s="327">
        <f t="shared" si="32"/>
        <v>0</v>
      </c>
      <c r="L150" s="56">
        <f t="shared" si="33"/>
        <v>3456000</v>
      </c>
      <c r="M150" s="56">
        <f t="shared" si="34"/>
        <v>3456000</v>
      </c>
      <c r="N150" s="11">
        <f>IF(COUNTIF(InputOutputData!K$20,"Chlorine") = 1,'More accurate Energy (Solar)'!M150,L150+K150+I150)</f>
        <v>3456000</v>
      </c>
    </row>
    <row r="151" spans="1:14" ht="14.45">
      <c r="A151" s="24">
        <f>IF(InputOutputData!$E$36=1,'Rainfall Data'!C139,IF(InputOutputData!$E$36=2,'Rainfall Data'!D138,IF(InputOutputData!$E$36=3,'Rainfall Data'!E138,'Rainfall Data'!F138)))</f>
        <v>0.2</v>
      </c>
      <c r="B151" s="24">
        <f t="shared" si="26"/>
        <v>1.3888888888888888E-2</v>
      </c>
      <c r="C151" s="24">
        <f t="shared" si="27"/>
        <v>0.02</v>
      </c>
      <c r="D151" s="24">
        <f t="shared" si="35"/>
        <v>136</v>
      </c>
      <c r="E151" s="24">
        <f t="shared" si="28"/>
        <v>30.767999999999979</v>
      </c>
      <c r="F151" s="24">
        <f t="shared" si="24"/>
        <v>4218.3</v>
      </c>
      <c r="G151" s="24">
        <f t="shared" si="29"/>
        <v>5.5038940280191058E-3</v>
      </c>
      <c r="H151" s="24">
        <f t="shared" si="30"/>
        <v>1223030.785235004</v>
      </c>
      <c r="I151" s="24">
        <f t="shared" si="31"/>
        <v>1329381.2882989175</v>
      </c>
      <c r="J151" s="24">
        <f t="shared" si="25"/>
        <v>0.1</v>
      </c>
      <c r="K151" s="327">
        <f t="shared" si="32"/>
        <v>200000</v>
      </c>
      <c r="L151" s="56">
        <f t="shared" si="33"/>
        <v>3456000</v>
      </c>
      <c r="M151" s="56">
        <f t="shared" si="34"/>
        <v>4785381.2882989179</v>
      </c>
      <c r="N151" s="11">
        <f>IF(COUNTIF(InputOutputData!K$20,"Chlorine") = 1,'More accurate Energy (Solar)'!M151,L151+K151+I151)</f>
        <v>4785381.2882989179</v>
      </c>
    </row>
    <row r="152" spans="1:14" ht="14.45">
      <c r="A152" s="24">
        <f>IF(InputOutputData!$E$36=1,'Rainfall Data'!C140,IF(InputOutputData!$E$36=2,'Rainfall Data'!D139,IF(InputOutputData!$E$36=3,'Rainfall Data'!E139,'Rainfall Data'!F139)))</f>
        <v>0</v>
      </c>
      <c r="B152" s="24">
        <f t="shared" si="26"/>
        <v>0</v>
      </c>
      <c r="C152" s="24">
        <f t="shared" si="27"/>
        <v>0</v>
      </c>
      <c r="D152" s="24">
        <f t="shared" si="35"/>
        <v>137</v>
      </c>
      <c r="E152" s="24">
        <f t="shared" si="28"/>
        <v>30.335999999999981</v>
      </c>
      <c r="F152" s="24">
        <f t="shared" si="24"/>
        <v>0</v>
      </c>
      <c r="G152" s="24">
        <f t="shared" si="29"/>
        <v>0</v>
      </c>
      <c r="H152" s="24">
        <f t="shared" si="30"/>
        <v>0</v>
      </c>
      <c r="I152" s="24">
        <f t="shared" si="31"/>
        <v>0</v>
      </c>
      <c r="J152" s="24">
        <f t="shared" si="25"/>
        <v>0</v>
      </c>
      <c r="K152" s="327">
        <f t="shared" si="32"/>
        <v>0</v>
      </c>
      <c r="L152" s="56">
        <f t="shared" si="33"/>
        <v>3456000</v>
      </c>
      <c r="M152" s="56">
        <f t="shared" si="34"/>
        <v>3456000</v>
      </c>
      <c r="N152" s="11">
        <f>IF(COUNTIF(InputOutputData!K$20,"Chlorine") = 1,'More accurate Energy (Solar)'!M152,L152+K152+I152)</f>
        <v>3456000</v>
      </c>
    </row>
    <row r="153" spans="1:14" ht="14.45">
      <c r="A153" s="24">
        <f>IF(InputOutputData!$E$36=1,'Rainfall Data'!C141,IF(InputOutputData!$E$36=2,'Rainfall Data'!D140,IF(InputOutputData!$E$36=3,'Rainfall Data'!E140,'Rainfall Data'!F140)))</f>
        <v>0</v>
      </c>
      <c r="B153" s="24">
        <f t="shared" si="26"/>
        <v>0</v>
      </c>
      <c r="C153" s="24">
        <f t="shared" si="27"/>
        <v>0</v>
      </c>
      <c r="D153" s="24">
        <f t="shared" si="35"/>
        <v>138</v>
      </c>
      <c r="E153" s="24">
        <f t="shared" si="28"/>
        <v>29.903999999999982</v>
      </c>
      <c r="F153" s="24">
        <f t="shared" si="24"/>
        <v>0</v>
      </c>
      <c r="G153" s="24">
        <f t="shared" si="29"/>
        <v>0</v>
      </c>
      <c r="H153" s="24">
        <f t="shared" si="30"/>
        <v>0</v>
      </c>
      <c r="I153" s="24">
        <f t="shared" si="31"/>
        <v>0</v>
      </c>
      <c r="J153" s="24">
        <f t="shared" si="25"/>
        <v>0</v>
      </c>
      <c r="K153" s="327">
        <f t="shared" si="32"/>
        <v>0</v>
      </c>
      <c r="L153" s="56">
        <f t="shared" si="33"/>
        <v>3456000</v>
      </c>
      <c r="M153" s="56">
        <f t="shared" si="34"/>
        <v>3456000</v>
      </c>
      <c r="N153" s="11">
        <f>IF(COUNTIF(InputOutputData!K$20,"Chlorine") = 1,'More accurate Energy (Solar)'!M153,L153+K153+I153)</f>
        <v>3456000</v>
      </c>
    </row>
    <row r="154" spans="1:14" ht="14.45">
      <c r="A154" s="24">
        <f>IF(InputOutputData!$E$36=1,'Rainfall Data'!C142,IF(InputOutputData!$E$36=2,'Rainfall Data'!D141,IF(InputOutputData!$E$36=3,'Rainfall Data'!E141,'Rainfall Data'!F141)))</f>
        <v>0</v>
      </c>
      <c r="B154" s="24">
        <f t="shared" si="26"/>
        <v>0</v>
      </c>
      <c r="C154" s="24">
        <f t="shared" si="27"/>
        <v>0</v>
      </c>
      <c r="D154" s="24">
        <f t="shared" si="35"/>
        <v>139</v>
      </c>
      <c r="E154" s="24">
        <f t="shared" si="28"/>
        <v>29.471999999999984</v>
      </c>
      <c r="F154" s="24">
        <f t="shared" si="24"/>
        <v>0</v>
      </c>
      <c r="G154" s="24">
        <f t="shared" si="29"/>
        <v>0</v>
      </c>
      <c r="H154" s="24">
        <f t="shared" si="30"/>
        <v>0</v>
      </c>
      <c r="I154" s="24">
        <f t="shared" si="31"/>
        <v>0</v>
      </c>
      <c r="J154" s="24">
        <f t="shared" si="25"/>
        <v>0</v>
      </c>
      <c r="K154" s="327">
        <f t="shared" si="32"/>
        <v>0</v>
      </c>
      <c r="L154" s="56">
        <f t="shared" si="33"/>
        <v>3456000</v>
      </c>
      <c r="M154" s="56">
        <f t="shared" si="34"/>
        <v>3456000</v>
      </c>
      <c r="N154" s="11">
        <f>IF(COUNTIF(InputOutputData!K$20,"Chlorine") = 1,'More accurate Energy (Solar)'!M154,L154+K154+I154)</f>
        <v>3456000</v>
      </c>
    </row>
    <row r="155" spans="1:14" ht="14.45">
      <c r="A155" s="24">
        <f>IF(InputOutputData!$E$36=1,'Rainfall Data'!C143,IF(InputOutputData!$E$36=2,'Rainfall Data'!D142,IF(InputOutputData!$E$36=3,'Rainfall Data'!E142,'Rainfall Data'!F142)))</f>
        <v>0</v>
      </c>
      <c r="B155" s="24">
        <f t="shared" si="26"/>
        <v>0</v>
      </c>
      <c r="C155" s="24">
        <f t="shared" si="27"/>
        <v>0</v>
      </c>
      <c r="D155" s="24">
        <f t="shared" si="35"/>
        <v>140</v>
      </c>
      <c r="E155" s="24">
        <f t="shared" si="28"/>
        <v>29.039999999999985</v>
      </c>
      <c r="F155" s="24">
        <f t="shared" si="24"/>
        <v>0</v>
      </c>
      <c r="G155" s="24">
        <f t="shared" si="29"/>
        <v>0</v>
      </c>
      <c r="H155" s="24">
        <f t="shared" si="30"/>
        <v>0</v>
      </c>
      <c r="I155" s="24">
        <f t="shared" si="31"/>
        <v>0</v>
      </c>
      <c r="J155" s="24">
        <f t="shared" si="25"/>
        <v>0</v>
      </c>
      <c r="K155" s="327">
        <f t="shared" si="32"/>
        <v>0</v>
      </c>
      <c r="L155" s="56">
        <f t="shared" si="33"/>
        <v>3456000</v>
      </c>
      <c r="M155" s="56">
        <f t="shared" si="34"/>
        <v>3456000</v>
      </c>
      <c r="N155" s="11">
        <f>IF(COUNTIF(InputOutputData!K$20,"Chlorine") = 1,'More accurate Energy (Solar)'!M155,L155+K155+I155)</f>
        <v>3456000</v>
      </c>
    </row>
    <row r="156" spans="1:14" ht="14.45">
      <c r="A156" s="24">
        <f>IF(InputOutputData!$E$36=1,'Rainfall Data'!C144,IF(InputOutputData!$E$36=2,'Rainfall Data'!D143,IF(InputOutputData!$E$36=3,'Rainfall Data'!E143,'Rainfall Data'!F143)))</f>
        <v>0</v>
      </c>
      <c r="B156" s="24">
        <f t="shared" si="26"/>
        <v>0</v>
      </c>
      <c r="C156" s="24">
        <f t="shared" si="27"/>
        <v>0</v>
      </c>
      <c r="D156" s="24">
        <f t="shared" si="35"/>
        <v>141</v>
      </c>
      <c r="E156" s="24">
        <f t="shared" si="28"/>
        <v>28.607999999999986</v>
      </c>
      <c r="F156" s="24">
        <f t="shared" si="24"/>
        <v>0</v>
      </c>
      <c r="G156" s="24">
        <f t="shared" si="29"/>
        <v>0</v>
      </c>
      <c r="H156" s="24">
        <f t="shared" si="30"/>
        <v>0</v>
      </c>
      <c r="I156" s="24">
        <f t="shared" si="31"/>
        <v>0</v>
      </c>
      <c r="J156" s="24">
        <f t="shared" si="25"/>
        <v>0</v>
      </c>
      <c r="K156" s="327">
        <f t="shared" si="32"/>
        <v>0</v>
      </c>
      <c r="L156" s="56">
        <f t="shared" si="33"/>
        <v>3456000</v>
      </c>
      <c r="M156" s="56">
        <f t="shared" si="34"/>
        <v>3456000</v>
      </c>
      <c r="N156" s="11">
        <f>IF(COUNTIF(InputOutputData!K$20,"Chlorine") = 1,'More accurate Energy (Solar)'!M156,L156+K156+I156)</f>
        <v>3456000</v>
      </c>
    </row>
    <row r="157" spans="1:14" ht="14.45">
      <c r="A157" s="24">
        <f>IF(InputOutputData!$E$36=1,'Rainfall Data'!C145,IF(InputOutputData!$E$36=2,'Rainfall Data'!D144,IF(InputOutputData!$E$36=3,'Rainfall Data'!E144,'Rainfall Data'!F144)))</f>
        <v>0.2</v>
      </c>
      <c r="B157" s="24">
        <f t="shared" si="26"/>
        <v>1.3888888888888888E-2</v>
      </c>
      <c r="C157" s="24">
        <f t="shared" si="27"/>
        <v>0.02</v>
      </c>
      <c r="D157" s="24">
        <f t="shared" si="35"/>
        <v>142</v>
      </c>
      <c r="E157" s="24">
        <f t="shared" si="28"/>
        <v>28.195999999999987</v>
      </c>
      <c r="F157" s="24">
        <f t="shared" si="24"/>
        <v>4218.3</v>
      </c>
      <c r="G157" s="24">
        <f t="shared" si="29"/>
        <v>5.5038940280191058E-3</v>
      </c>
      <c r="H157" s="24">
        <f t="shared" si="30"/>
        <v>1223030.785235004</v>
      </c>
      <c r="I157" s="24">
        <f t="shared" si="31"/>
        <v>1329381.2882989175</v>
      </c>
      <c r="J157" s="24">
        <f t="shared" si="25"/>
        <v>0.1</v>
      </c>
      <c r="K157" s="327">
        <f t="shared" si="32"/>
        <v>200000</v>
      </c>
      <c r="L157" s="56">
        <f t="shared" si="33"/>
        <v>3456000</v>
      </c>
      <c r="M157" s="56">
        <f t="shared" si="34"/>
        <v>4785381.2882989179</v>
      </c>
      <c r="N157" s="11">
        <f>IF(COUNTIF(InputOutputData!K$20,"Chlorine") = 1,'More accurate Energy (Solar)'!M157,L157+K157+I157)</f>
        <v>4785381.2882989179</v>
      </c>
    </row>
    <row r="158" spans="1:14" ht="14.45">
      <c r="A158" s="24">
        <f>IF(InputOutputData!$E$36=1,'Rainfall Data'!C146,IF(InputOutputData!$E$36=2,'Rainfall Data'!D145,IF(InputOutputData!$E$36=3,'Rainfall Data'!E145,'Rainfall Data'!F145)))</f>
        <v>0.2</v>
      </c>
      <c r="B158" s="24">
        <f t="shared" si="26"/>
        <v>1.3888888888888888E-2</v>
      </c>
      <c r="C158" s="24">
        <f t="shared" si="27"/>
        <v>0.02</v>
      </c>
      <c r="D158" s="24">
        <f t="shared" si="35"/>
        <v>143</v>
      </c>
      <c r="E158" s="24">
        <f t="shared" si="28"/>
        <v>27.783999999999988</v>
      </c>
      <c r="F158" s="24">
        <f t="shared" si="24"/>
        <v>4218.3</v>
      </c>
      <c r="G158" s="24">
        <f t="shared" si="29"/>
        <v>5.5038940280191058E-3</v>
      </c>
      <c r="H158" s="24">
        <f t="shared" si="30"/>
        <v>1223030.785235004</v>
      </c>
      <c r="I158" s="24">
        <f t="shared" si="31"/>
        <v>1329381.2882989175</v>
      </c>
      <c r="J158" s="24">
        <f t="shared" si="25"/>
        <v>0.1</v>
      </c>
      <c r="K158" s="327">
        <f t="shared" si="32"/>
        <v>200000</v>
      </c>
      <c r="L158" s="56">
        <f t="shared" si="33"/>
        <v>3456000</v>
      </c>
      <c r="M158" s="56">
        <f t="shared" si="34"/>
        <v>4785381.2882989179</v>
      </c>
      <c r="N158" s="11">
        <f>IF(COUNTIF(InputOutputData!K$20,"Chlorine") = 1,'More accurate Energy (Solar)'!M158,L158+K158+I158)</f>
        <v>4785381.2882989179</v>
      </c>
    </row>
    <row r="159" spans="1:14" ht="14.45">
      <c r="A159" s="24">
        <f>IF(InputOutputData!$E$36=1,'Rainfall Data'!C147,IF(InputOutputData!$E$36=2,'Rainfall Data'!D146,IF(InputOutputData!$E$36=3,'Rainfall Data'!E146,'Rainfall Data'!F146)))</f>
        <v>0</v>
      </c>
      <c r="B159" s="24">
        <f t="shared" si="26"/>
        <v>0</v>
      </c>
      <c r="C159" s="24">
        <f t="shared" si="27"/>
        <v>0</v>
      </c>
      <c r="D159" s="24">
        <f t="shared" si="35"/>
        <v>144</v>
      </c>
      <c r="E159" s="24">
        <f t="shared" si="28"/>
        <v>27.35199999999999</v>
      </c>
      <c r="F159" s="24">
        <f t="shared" si="24"/>
        <v>0</v>
      </c>
      <c r="G159" s="24">
        <f t="shared" si="29"/>
        <v>0</v>
      </c>
      <c r="H159" s="24">
        <f t="shared" si="30"/>
        <v>0</v>
      </c>
      <c r="I159" s="24">
        <f t="shared" si="31"/>
        <v>0</v>
      </c>
      <c r="J159" s="24">
        <f t="shared" si="25"/>
        <v>0</v>
      </c>
      <c r="K159" s="327">
        <f t="shared" si="32"/>
        <v>0</v>
      </c>
      <c r="L159" s="56">
        <f t="shared" si="33"/>
        <v>3456000</v>
      </c>
      <c r="M159" s="56">
        <f t="shared" si="34"/>
        <v>3456000</v>
      </c>
      <c r="N159" s="11">
        <f>IF(COUNTIF(InputOutputData!K$20,"Chlorine") = 1,'More accurate Energy (Solar)'!M159,L159+K159+I159)</f>
        <v>3456000</v>
      </c>
    </row>
    <row r="160" spans="1:14" ht="14.45">
      <c r="A160" s="24">
        <f>IF(InputOutputData!$E$36=1,'Rainfall Data'!C148,IF(InputOutputData!$E$36=2,'Rainfall Data'!D147,IF(InputOutputData!$E$36=3,'Rainfall Data'!E147,'Rainfall Data'!F147)))</f>
        <v>0</v>
      </c>
      <c r="B160" s="24">
        <f t="shared" si="26"/>
        <v>0</v>
      </c>
      <c r="C160" s="24">
        <f t="shared" si="27"/>
        <v>0</v>
      </c>
      <c r="D160" s="24">
        <f t="shared" si="35"/>
        <v>145</v>
      </c>
      <c r="E160" s="24">
        <f t="shared" si="28"/>
        <v>26.919999999999991</v>
      </c>
      <c r="F160" s="24">
        <f t="shared" si="24"/>
        <v>0</v>
      </c>
      <c r="G160" s="24">
        <f t="shared" si="29"/>
        <v>0</v>
      </c>
      <c r="H160" s="24">
        <f t="shared" si="30"/>
        <v>0</v>
      </c>
      <c r="I160" s="24">
        <f t="shared" si="31"/>
        <v>0</v>
      </c>
      <c r="J160" s="24">
        <f t="shared" si="25"/>
        <v>0</v>
      </c>
      <c r="K160" s="327">
        <f t="shared" si="32"/>
        <v>0</v>
      </c>
      <c r="L160" s="56">
        <f t="shared" si="33"/>
        <v>3456000</v>
      </c>
      <c r="M160" s="56">
        <f t="shared" si="34"/>
        <v>3456000</v>
      </c>
      <c r="N160" s="11">
        <f>IF(COUNTIF(InputOutputData!K$20,"Chlorine") = 1,'More accurate Energy (Solar)'!M160,L160+K160+I160)</f>
        <v>3456000</v>
      </c>
    </row>
    <row r="161" spans="1:14" ht="14.45">
      <c r="A161" s="24">
        <f>IF(InputOutputData!$E$36=1,'Rainfall Data'!C149,IF(InputOutputData!$E$36=2,'Rainfall Data'!D148,IF(InputOutputData!$E$36=3,'Rainfall Data'!E148,'Rainfall Data'!F148)))</f>
        <v>0</v>
      </c>
      <c r="B161" s="24">
        <f t="shared" si="26"/>
        <v>0</v>
      </c>
      <c r="C161" s="24">
        <f t="shared" si="27"/>
        <v>0</v>
      </c>
      <c r="D161" s="24">
        <f t="shared" si="35"/>
        <v>146</v>
      </c>
      <c r="E161" s="24">
        <f t="shared" si="28"/>
        <v>26.487999999999992</v>
      </c>
      <c r="F161" s="24">
        <f t="shared" si="24"/>
        <v>0</v>
      </c>
      <c r="G161" s="24">
        <f t="shared" si="29"/>
        <v>0</v>
      </c>
      <c r="H161" s="24">
        <f t="shared" si="30"/>
        <v>0</v>
      </c>
      <c r="I161" s="24">
        <f t="shared" si="31"/>
        <v>0</v>
      </c>
      <c r="J161" s="24">
        <f t="shared" si="25"/>
        <v>0</v>
      </c>
      <c r="K161" s="327">
        <f t="shared" si="32"/>
        <v>0</v>
      </c>
      <c r="L161" s="56">
        <f t="shared" si="33"/>
        <v>3456000</v>
      </c>
      <c r="M161" s="56">
        <f t="shared" si="34"/>
        <v>3456000</v>
      </c>
      <c r="N161" s="11">
        <f>IF(COUNTIF(InputOutputData!K$20,"Chlorine") = 1,'More accurate Energy (Solar)'!M161,L161+K161+I161)</f>
        <v>3456000</v>
      </c>
    </row>
    <row r="162" spans="1:14" ht="14.45">
      <c r="A162" s="24">
        <f>IF(InputOutputData!$E$36=1,'Rainfall Data'!C150,IF(InputOutputData!$E$36=2,'Rainfall Data'!D149,IF(InputOutputData!$E$36=3,'Rainfall Data'!E149,'Rainfall Data'!F149)))</f>
        <v>0</v>
      </c>
      <c r="B162" s="24">
        <f t="shared" si="26"/>
        <v>0</v>
      </c>
      <c r="C162" s="24">
        <f t="shared" si="27"/>
        <v>0</v>
      </c>
      <c r="D162" s="24">
        <f t="shared" si="35"/>
        <v>147</v>
      </c>
      <c r="E162" s="24">
        <f t="shared" si="28"/>
        <v>26.055999999999994</v>
      </c>
      <c r="F162" s="24">
        <f t="shared" si="24"/>
        <v>0</v>
      </c>
      <c r="G162" s="24">
        <f t="shared" si="29"/>
        <v>0</v>
      </c>
      <c r="H162" s="24">
        <f t="shared" si="30"/>
        <v>0</v>
      </c>
      <c r="I162" s="24">
        <f t="shared" si="31"/>
        <v>0</v>
      </c>
      <c r="J162" s="24">
        <f t="shared" si="25"/>
        <v>0</v>
      </c>
      <c r="K162" s="327">
        <f t="shared" si="32"/>
        <v>0</v>
      </c>
      <c r="L162" s="56">
        <f t="shared" si="33"/>
        <v>3456000</v>
      </c>
      <c r="M162" s="56">
        <f t="shared" si="34"/>
        <v>3456000</v>
      </c>
      <c r="N162" s="11">
        <f>IF(COUNTIF(InputOutputData!K$20,"Chlorine") = 1,'More accurate Energy (Solar)'!M162,L162+K162+I162)</f>
        <v>3456000</v>
      </c>
    </row>
    <row r="163" spans="1:14" ht="14.45">
      <c r="A163" s="24">
        <f>IF(InputOutputData!$E$36=1,'Rainfall Data'!C151,IF(InputOutputData!$E$36=2,'Rainfall Data'!D150,IF(InputOutputData!$E$36=3,'Rainfall Data'!E150,'Rainfall Data'!F150)))</f>
        <v>0</v>
      </c>
      <c r="B163" s="24">
        <f t="shared" si="26"/>
        <v>0</v>
      </c>
      <c r="C163" s="24">
        <f t="shared" si="27"/>
        <v>0</v>
      </c>
      <c r="D163" s="24">
        <f t="shared" si="35"/>
        <v>148</v>
      </c>
      <c r="E163" s="24">
        <f t="shared" si="28"/>
        <v>25.623999999999995</v>
      </c>
      <c r="F163" s="24">
        <f t="shared" si="24"/>
        <v>0</v>
      </c>
      <c r="G163" s="24">
        <f t="shared" si="29"/>
        <v>0</v>
      </c>
      <c r="H163" s="24">
        <f t="shared" si="30"/>
        <v>0</v>
      </c>
      <c r="I163" s="24">
        <f t="shared" si="31"/>
        <v>0</v>
      </c>
      <c r="J163" s="24">
        <f t="shared" si="25"/>
        <v>0</v>
      </c>
      <c r="K163" s="327">
        <f t="shared" si="32"/>
        <v>0</v>
      </c>
      <c r="L163" s="56">
        <f t="shared" si="33"/>
        <v>3456000</v>
      </c>
      <c r="M163" s="56">
        <f t="shared" si="34"/>
        <v>3456000</v>
      </c>
      <c r="N163" s="11">
        <f>IF(COUNTIF(InputOutputData!K$20,"Chlorine") = 1,'More accurate Energy (Solar)'!M163,L163+K163+I163)</f>
        <v>3456000</v>
      </c>
    </row>
    <row r="164" spans="1:14" ht="14.45">
      <c r="A164" s="24">
        <f>IF(InputOutputData!$E$36=1,'Rainfall Data'!C152,IF(InputOutputData!$E$36=2,'Rainfall Data'!D151,IF(InputOutputData!$E$36=3,'Rainfall Data'!E151,'Rainfall Data'!F151)))</f>
        <v>0</v>
      </c>
      <c r="B164" s="24">
        <f t="shared" si="26"/>
        <v>0</v>
      </c>
      <c r="C164" s="24">
        <f t="shared" si="27"/>
        <v>0</v>
      </c>
      <c r="D164" s="24">
        <f t="shared" si="35"/>
        <v>149</v>
      </c>
      <c r="E164" s="24">
        <f t="shared" si="28"/>
        <v>25.191999999999997</v>
      </c>
      <c r="F164" s="24">
        <f t="shared" si="24"/>
        <v>0</v>
      </c>
      <c r="G164" s="24">
        <f t="shared" si="29"/>
        <v>0</v>
      </c>
      <c r="H164" s="24">
        <f t="shared" si="30"/>
        <v>0</v>
      </c>
      <c r="I164" s="24">
        <f t="shared" si="31"/>
        <v>0</v>
      </c>
      <c r="J164" s="24">
        <f t="shared" si="25"/>
        <v>0</v>
      </c>
      <c r="K164" s="327">
        <f t="shared" si="32"/>
        <v>0</v>
      </c>
      <c r="L164" s="56">
        <f t="shared" si="33"/>
        <v>3456000</v>
      </c>
      <c r="M164" s="56">
        <f t="shared" si="34"/>
        <v>3456000</v>
      </c>
      <c r="N164" s="11">
        <f>IF(COUNTIF(InputOutputData!K$20,"Chlorine") = 1,'More accurate Energy (Solar)'!M164,L164+K164+I164)</f>
        <v>3456000</v>
      </c>
    </row>
    <row r="165" spans="1:14" ht="14.45">
      <c r="A165" s="24">
        <f>IF(InputOutputData!$E$36=1,'Rainfall Data'!C153,IF(InputOutputData!$E$36=2,'Rainfall Data'!D152,IF(InputOutputData!$E$36=3,'Rainfall Data'!E152,'Rainfall Data'!F152)))</f>
        <v>0</v>
      </c>
      <c r="B165" s="24">
        <f t="shared" si="26"/>
        <v>0</v>
      </c>
      <c r="C165" s="24">
        <f t="shared" si="27"/>
        <v>0</v>
      </c>
      <c r="D165" s="24">
        <f t="shared" si="35"/>
        <v>150</v>
      </c>
      <c r="E165" s="24">
        <f t="shared" si="28"/>
        <v>24.759999999999998</v>
      </c>
      <c r="F165" s="24">
        <f t="shared" si="24"/>
        <v>0</v>
      </c>
      <c r="G165" s="24">
        <f t="shared" si="29"/>
        <v>0</v>
      </c>
      <c r="H165" s="24">
        <f t="shared" si="30"/>
        <v>0</v>
      </c>
      <c r="I165" s="24">
        <f t="shared" si="31"/>
        <v>0</v>
      </c>
      <c r="J165" s="24">
        <f t="shared" si="25"/>
        <v>0</v>
      </c>
      <c r="K165" s="327">
        <f t="shared" si="32"/>
        <v>0</v>
      </c>
      <c r="L165" s="56">
        <f t="shared" si="33"/>
        <v>3456000</v>
      </c>
      <c r="M165" s="56">
        <f t="shared" si="34"/>
        <v>3456000</v>
      </c>
      <c r="N165" s="11">
        <f>IF(COUNTIF(InputOutputData!K$20,"Chlorine") = 1,'More accurate Energy (Solar)'!M165,L165+K165+I165)</f>
        <v>3456000</v>
      </c>
    </row>
    <row r="166" spans="1:14" ht="14.45">
      <c r="A166" s="24">
        <f>IF(InputOutputData!$E$36=1,'Rainfall Data'!C154,IF(InputOutputData!$E$36=2,'Rainfall Data'!D153,IF(InputOutputData!$E$36=3,'Rainfall Data'!E153,'Rainfall Data'!F153)))</f>
        <v>0</v>
      </c>
      <c r="B166" s="24">
        <f t="shared" si="26"/>
        <v>0</v>
      </c>
      <c r="C166" s="24">
        <f t="shared" si="27"/>
        <v>0</v>
      </c>
      <c r="D166" s="24">
        <f t="shared" si="35"/>
        <v>151</v>
      </c>
      <c r="E166" s="24">
        <f t="shared" si="28"/>
        <v>24.327999999999999</v>
      </c>
      <c r="F166" s="24">
        <f t="shared" si="24"/>
        <v>0</v>
      </c>
      <c r="G166" s="24">
        <f t="shared" si="29"/>
        <v>0</v>
      </c>
      <c r="H166" s="24">
        <f t="shared" si="30"/>
        <v>0</v>
      </c>
      <c r="I166" s="24">
        <f t="shared" si="31"/>
        <v>0</v>
      </c>
      <c r="J166" s="24">
        <f t="shared" si="25"/>
        <v>0</v>
      </c>
      <c r="K166" s="327">
        <f t="shared" si="32"/>
        <v>0</v>
      </c>
      <c r="L166" s="56">
        <f t="shared" si="33"/>
        <v>3456000</v>
      </c>
      <c r="M166" s="56">
        <f t="shared" si="34"/>
        <v>3456000</v>
      </c>
      <c r="N166" s="11">
        <f>IF(COUNTIF(InputOutputData!K$20,"Chlorine") = 1,'More accurate Energy (Solar)'!M166,L166+K166+I166)</f>
        <v>3456000</v>
      </c>
    </row>
    <row r="167" spans="1:14" ht="14.45">
      <c r="A167" s="24">
        <f>IF(InputOutputData!$E$36=1,'Rainfall Data'!C155,IF(InputOutputData!$E$36=2,'Rainfall Data'!D154,IF(InputOutputData!$E$36=3,'Rainfall Data'!E154,'Rainfall Data'!F154)))</f>
        <v>7.4</v>
      </c>
      <c r="B167" s="24">
        <f t="shared" si="26"/>
        <v>0.51388888888888884</v>
      </c>
      <c r="C167" s="24">
        <f t="shared" si="27"/>
        <v>0.74</v>
      </c>
      <c r="D167" s="24">
        <f t="shared" si="35"/>
        <v>152</v>
      </c>
      <c r="E167" s="24">
        <f t="shared" si="28"/>
        <v>24.635999999999999</v>
      </c>
      <c r="F167" s="24">
        <f t="shared" si="24"/>
        <v>156077.1</v>
      </c>
      <c r="G167" s="24">
        <f t="shared" si="29"/>
        <v>4.0143811698607708E-2</v>
      </c>
      <c r="H167" s="24">
        <f t="shared" si="30"/>
        <v>6204268.2882891521</v>
      </c>
      <c r="I167" s="24">
        <f t="shared" si="31"/>
        <v>6743769.8785751648</v>
      </c>
      <c r="J167" s="24">
        <f t="shared" si="25"/>
        <v>3.7</v>
      </c>
      <c r="K167" s="327">
        <f t="shared" si="32"/>
        <v>7400000</v>
      </c>
      <c r="L167" s="56">
        <f t="shared" si="33"/>
        <v>3456000</v>
      </c>
      <c r="M167" s="56">
        <f t="shared" si="34"/>
        <v>10199769.878575165</v>
      </c>
      <c r="N167" s="11">
        <f>IF(COUNTIF(InputOutputData!K$20,"Chlorine") = 1,'More accurate Energy (Solar)'!M167,L167+K167+I167)</f>
        <v>10199769.878575165</v>
      </c>
    </row>
    <row r="168" spans="1:14" ht="14.45">
      <c r="A168" s="24">
        <f>IF(InputOutputData!$E$36=1,'Rainfall Data'!C156,IF(InputOutputData!$E$36=2,'Rainfall Data'!D155,IF(InputOutputData!$E$36=3,'Rainfall Data'!E155,'Rainfall Data'!F155)))</f>
        <v>2.8</v>
      </c>
      <c r="B168" s="24">
        <f t="shared" si="26"/>
        <v>0.19444444444444442</v>
      </c>
      <c r="C168" s="24">
        <f t="shared" si="27"/>
        <v>0.27999999999999997</v>
      </c>
      <c r="D168" s="24">
        <f t="shared" si="35"/>
        <v>153</v>
      </c>
      <c r="E168" s="24">
        <f t="shared" si="28"/>
        <v>24.483999999999998</v>
      </c>
      <c r="F168" s="24">
        <f t="shared" si="24"/>
        <v>59056.2</v>
      </c>
      <c r="G168" s="24">
        <f t="shared" si="29"/>
        <v>2.3507068854835791E-2</v>
      </c>
      <c r="H168" s="24">
        <f t="shared" si="30"/>
        <v>4009008.7909770021</v>
      </c>
      <c r="I168" s="24">
        <f t="shared" si="31"/>
        <v>4357618.2510619583</v>
      </c>
      <c r="J168" s="24">
        <f t="shared" si="25"/>
        <v>1.4</v>
      </c>
      <c r="K168" s="327">
        <f t="shared" si="32"/>
        <v>2800000</v>
      </c>
      <c r="L168" s="56">
        <f t="shared" si="33"/>
        <v>3456000</v>
      </c>
      <c r="M168" s="56">
        <f t="shared" si="34"/>
        <v>7813618.2510619583</v>
      </c>
      <c r="N168" s="11">
        <f>IF(COUNTIF(InputOutputData!K$20,"Chlorine") = 1,'More accurate Energy (Solar)'!M168,L168+K168+I168)</f>
        <v>7813618.2510619583</v>
      </c>
    </row>
    <row r="169" spans="1:14" ht="14.45">
      <c r="A169" s="24">
        <f>IF(InputOutputData!$E$36=1,'Rainfall Data'!C157,IF(InputOutputData!$E$36=2,'Rainfall Data'!D156,IF(InputOutputData!$E$36=3,'Rainfall Data'!E156,'Rainfall Data'!F156)))</f>
        <v>0</v>
      </c>
      <c r="B169" s="24">
        <f t="shared" si="26"/>
        <v>0</v>
      </c>
      <c r="C169" s="24">
        <f t="shared" si="27"/>
        <v>0</v>
      </c>
      <c r="D169" s="24">
        <f t="shared" si="35"/>
        <v>154</v>
      </c>
      <c r="E169" s="24">
        <f t="shared" si="28"/>
        <v>24.052</v>
      </c>
      <c r="F169" s="24">
        <f t="shared" si="24"/>
        <v>0</v>
      </c>
      <c r="G169" s="24">
        <f t="shared" si="29"/>
        <v>0</v>
      </c>
      <c r="H169" s="24">
        <f t="shared" si="30"/>
        <v>0</v>
      </c>
      <c r="I169" s="24">
        <f t="shared" si="31"/>
        <v>0</v>
      </c>
      <c r="J169" s="24">
        <f t="shared" si="25"/>
        <v>0</v>
      </c>
      <c r="K169" s="327">
        <f t="shared" si="32"/>
        <v>0</v>
      </c>
      <c r="L169" s="56">
        <f t="shared" si="33"/>
        <v>3456000</v>
      </c>
      <c r="M169" s="56">
        <f t="shared" si="34"/>
        <v>3456000</v>
      </c>
      <c r="N169" s="11">
        <f>IF(COUNTIF(InputOutputData!K$20,"Chlorine") = 1,'More accurate Energy (Solar)'!M169,L169+K169+I169)</f>
        <v>3456000</v>
      </c>
    </row>
    <row r="170" spans="1:14" ht="14.45">
      <c r="A170" s="24">
        <f>IF(InputOutputData!$E$36=1,'Rainfall Data'!C158,IF(InputOutputData!$E$36=2,'Rainfall Data'!D157,IF(InputOutputData!$E$36=3,'Rainfall Data'!E157,'Rainfall Data'!F157)))</f>
        <v>0</v>
      </c>
      <c r="B170" s="24">
        <f t="shared" si="26"/>
        <v>0</v>
      </c>
      <c r="C170" s="24">
        <f t="shared" si="27"/>
        <v>0</v>
      </c>
      <c r="D170" s="24">
        <f t="shared" si="35"/>
        <v>155</v>
      </c>
      <c r="E170" s="24">
        <f t="shared" si="28"/>
        <v>23.62</v>
      </c>
      <c r="F170" s="24">
        <f t="shared" si="24"/>
        <v>0</v>
      </c>
      <c r="G170" s="24">
        <f t="shared" si="29"/>
        <v>0</v>
      </c>
      <c r="H170" s="24">
        <f t="shared" si="30"/>
        <v>0</v>
      </c>
      <c r="I170" s="24">
        <f t="shared" si="31"/>
        <v>0</v>
      </c>
      <c r="J170" s="24">
        <f t="shared" si="25"/>
        <v>0</v>
      </c>
      <c r="K170" s="327">
        <f t="shared" si="32"/>
        <v>0</v>
      </c>
      <c r="L170" s="56">
        <f t="shared" si="33"/>
        <v>3456000</v>
      </c>
      <c r="M170" s="56">
        <f t="shared" si="34"/>
        <v>3456000</v>
      </c>
      <c r="N170" s="11">
        <f>IF(COUNTIF(InputOutputData!K$20,"Chlorine") = 1,'More accurate Energy (Solar)'!M170,L170+K170+I170)</f>
        <v>3456000</v>
      </c>
    </row>
    <row r="171" spans="1:14" ht="14.45">
      <c r="A171" s="24">
        <f>IF(InputOutputData!$E$36=1,'Rainfall Data'!C159,IF(InputOutputData!$E$36=2,'Rainfall Data'!D158,IF(InputOutputData!$E$36=3,'Rainfall Data'!E158,'Rainfall Data'!F158)))</f>
        <v>0</v>
      </c>
      <c r="B171" s="24">
        <f t="shared" si="26"/>
        <v>0</v>
      </c>
      <c r="C171" s="24">
        <f t="shared" si="27"/>
        <v>0</v>
      </c>
      <c r="D171" s="24">
        <f t="shared" si="35"/>
        <v>156</v>
      </c>
      <c r="E171" s="24">
        <f t="shared" si="28"/>
        <v>23.188000000000002</v>
      </c>
      <c r="F171" s="24">
        <f t="shared" si="24"/>
        <v>0</v>
      </c>
      <c r="G171" s="24">
        <f t="shared" si="29"/>
        <v>0</v>
      </c>
      <c r="H171" s="24">
        <f t="shared" si="30"/>
        <v>0</v>
      </c>
      <c r="I171" s="24">
        <f t="shared" si="31"/>
        <v>0</v>
      </c>
      <c r="J171" s="24">
        <f t="shared" si="25"/>
        <v>0</v>
      </c>
      <c r="K171" s="327">
        <f t="shared" si="32"/>
        <v>0</v>
      </c>
      <c r="L171" s="56">
        <f t="shared" si="33"/>
        <v>3456000</v>
      </c>
      <c r="M171" s="56">
        <f t="shared" si="34"/>
        <v>3456000</v>
      </c>
      <c r="N171" s="11">
        <f>IF(COUNTIF(InputOutputData!K$20,"Chlorine") = 1,'More accurate Energy (Solar)'!M171,L171+K171+I171)</f>
        <v>3456000</v>
      </c>
    </row>
    <row r="172" spans="1:14" ht="14.45">
      <c r="A172" s="24">
        <f>IF(InputOutputData!$E$36=1,'Rainfall Data'!C160,IF(InputOutputData!$E$36=2,'Rainfall Data'!D159,IF(InputOutputData!$E$36=3,'Rainfall Data'!E159,'Rainfall Data'!F159)))</f>
        <v>0</v>
      </c>
      <c r="B172" s="24">
        <f t="shared" si="26"/>
        <v>0</v>
      </c>
      <c r="C172" s="24">
        <f t="shared" si="27"/>
        <v>0</v>
      </c>
      <c r="D172" s="24">
        <f t="shared" si="35"/>
        <v>157</v>
      </c>
      <c r="E172" s="24">
        <f t="shared" si="28"/>
        <v>22.756000000000004</v>
      </c>
      <c r="F172" s="24">
        <f t="shared" si="24"/>
        <v>0</v>
      </c>
      <c r="G172" s="24">
        <f t="shared" si="29"/>
        <v>0</v>
      </c>
      <c r="H172" s="24">
        <f t="shared" si="30"/>
        <v>0</v>
      </c>
      <c r="I172" s="24">
        <f t="shared" si="31"/>
        <v>0</v>
      </c>
      <c r="J172" s="24">
        <f t="shared" si="25"/>
        <v>0</v>
      </c>
      <c r="K172" s="327">
        <f t="shared" si="32"/>
        <v>0</v>
      </c>
      <c r="L172" s="56">
        <f t="shared" si="33"/>
        <v>3456000</v>
      </c>
      <c r="M172" s="56">
        <f t="shared" si="34"/>
        <v>3456000</v>
      </c>
      <c r="N172" s="11">
        <f>IF(COUNTIF(InputOutputData!K$20,"Chlorine") = 1,'More accurate Energy (Solar)'!M172,L172+K172+I172)</f>
        <v>3456000</v>
      </c>
    </row>
    <row r="173" spans="1:14" ht="14.45">
      <c r="A173" s="24">
        <f>IF(InputOutputData!$E$36=1,'Rainfall Data'!C161,IF(InputOutputData!$E$36=2,'Rainfall Data'!D160,IF(InputOutputData!$E$36=3,'Rainfall Data'!E160,'Rainfall Data'!F160)))</f>
        <v>0</v>
      </c>
      <c r="B173" s="24">
        <f t="shared" si="26"/>
        <v>0</v>
      </c>
      <c r="C173" s="24">
        <f t="shared" si="27"/>
        <v>0</v>
      </c>
      <c r="D173" s="24">
        <f t="shared" si="35"/>
        <v>158</v>
      </c>
      <c r="E173" s="24">
        <f t="shared" si="28"/>
        <v>22.324000000000005</v>
      </c>
      <c r="F173" s="24">
        <f t="shared" si="24"/>
        <v>0</v>
      </c>
      <c r="G173" s="24">
        <f t="shared" si="29"/>
        <v>0</v>
      </c>
      <c r="H173" s="24">
        <f t="shared" si="30"/>
        <v>0</v>
      </c>
      <c r="I173" s="24">
        <f t="shared" si="31"/>
        <v>0</v>
      </c>
      <c r="J173" s="24">
        <f t="shared" si="25"/>
        <v>0</v>
      </c>
      <c r="K173" s="327">
        <f t="shared" si="32"/>
        <v>0</v>
      </c>
      <c r="L173" s="56">
        <f t="shared" si="33"/>
        <v>3456000</v>
      </c>
      <c r="M173" s="56">
        <f t="shared" si="34"/>
        <v>3456000</v>
      </c>
      <c r="N173" s="11">
        <f>IF(COUNTIF(InputOutputData!K$20,"Chlorine") = 1,'More accurate Energy (Solar)'!M173,L173+K173+I173)</f>
        <v>3456000</v>
      </c>
    </row>
    <row r="174" spans="1:14" ht="14.45">
      <c r="A174" s="24">
        <f>IF(InputOutputData!$E$36=1,'Rainfall Data'!C162,IF(InputOutputData!$E$36=2,'Rainfall Data'!D161,IF(InputOutputData!$E$36=3,'Rainfall Data'!E161,'Rainfall Data'!F161)))</f>
        <v>0</v>
      </c>
      <c r="B174" s="24">
        <f t="shared" si="26"/>
        <v>0</v>
      </c>
      <c r="C174" s="24">
        <f t="shared" si="27"/>
        <v>0</v>
      </c>
      <c r="D174" s="24">
        <f t="shared" si="35"/>
        <v>159</v>
      </c>
      <c r="E174" s="24">
        <f t="shared" si="28"/>
        <v>21.892000000000007</v>
      </c>
      <c r="F174" s="24">
        <f t="shared" si="24"/>
        <v>0</v>
      </c>
      <c r="G174" s="24">
        <f t="shared" si="29"/>
        <v>0</v>
      </c>
      <c r="H174" s="24">
        <f t="shared" si="30"/>
        <v>0</v>
      </c>
      <c r="I174" s="24">
        <f t="shared" si="31"/>
        <v>0</v>
      </c>
      <c r="J174" s="24">
        <f t="shared" si="25"/>
        <v>0</v>
      </c>
      <c r="K174" s="327">
        <f t="shared" si="32"/>
        <v>0</v>
      </c>
      <c r="L174" s="56">
        <f t="shared" si="33"/>
        <v>3456000</v>
      </c>
      <c r="M174" s="56">
        <f t="shared" si="34"/>
        <v>3456000</v>
      </c>
      <c r="N174" s="11">
        <f>IF(COUNTIF(InputOutputData!K$20,"Chlorine") = 1,'More accurate Energy (Solar)'!M174,L174+K174+I174)</f>
        <v>3456000</v>
      </c>
    </row>
    <row r="175" spans="1:14" ht="14.45">
      <c r="A175" s="24">
        <f>IF(InputOutputData!$E$36=1,'Rainfall Data'!C163,IF(InputOutputData!$E$36=2,'Rainfall Data'!D162,IF(InputOutputData!$E$36=3,'Rainfall Data'!E162,'Rainfall Data'!F162)))</f>
        <v>0</v>
      </c>
      <c r="B175" s="24">
        <f t="shared" si="26"/>
        <v>0</v>
      </c>
      <c r="C175" s="24">
        <f t="shared" si="27"/>
        <v>0</v>
      </c>
      <c r="D175" s="24">
        <f t="shared" si="35"/>
        <v>160</v>
      </c>
      <c r="E175" s="24">
        <f t="shared" si="28"/>
        <v>21.460000000000008</v>
      </c>
      <c r="F175" s="24">
        <f t="shared" si="24"/>
        <v>0</v>
      </c>
      <c r="G175" s="24">
        <f t="shared" si="29"/>
        <v>0</v>
      </c>
      <c r="H175" s="24">
        <f t="shared" si="30"/>
        <v>0</v>
      </c>
      <c r="I175" s="24">
        <f t="shared" si="31"/>
        <v>0</v>
      </c>
      <c r="J175" s="24">
        <f t="shared" si="25"/>
        <v>0</v>
      </c>
      <c r="K175" s="327">
        <f t="shared" si="32"/>
        <v>0</v>
      </c>
      <c r="L175" s="56">
        <f t="shared" si="33"/>
        <v>3456000</v>
      </c>
      <c r="M175" s="56">
        <f t="shared" si="34"/>
        <v>3456000</v>
      </c>
      <c r="N175" s="11">
        <f>IF(COUNTIF(InputOutputData!K$20,"Chlorine") = 1,'More accurate Energy (Solar)'!M175,L175+K175+I175)</f>
        <v>3456000</v>
      </c>
    </row>
    <row r="176" spans="1:14" ht="14.45">
      <c r="A176" s="24">
        <f>IF(InputOutputData!$E$36=1,'Rainfall Data'!C164,IF(InputOutputData!$E$36=2,'Rainfall Data'!D163,IF(InputOutputData!$E$36=3,'Rainfall Data'!E163,'Rainfall Data'!F163)))</f>
        <v>0</v>
      </c>
      <c r="B176" s="24">
        <f t="shared" si="26"/>
        <v>0</v>
      </c>
      <c r="C176" s="24">
        <f t="shared" si="27"/>
        <v>0</v>
      </c>
      <c r="D176" s="24">
        <f t="shared" si="35"/>
        <v>161</v>
      </c>
      <c r="E176" s="24">
        <f t="shared" si="28"/>
        <v>21.028000000000009</v>
      </c>
      <c r="F176" s="24">
        <f t="shared" si="24"/>
        <v>0</v>
      </c>
      <c r="G176" s="24">
        <f t="shared" si="29"/>
        <v>0</v>
      </c>
      <c r="H176" s="24">
        <f t="shared" si="30"/>
        <v>0</v>
      </c>
      <c r="I176" s="24">
        <f t="shared" si="31"/>
        <v>0</v>
      </c>
      <c r="J176" s="24">
        <f t="shared" si="25"/>
        <v>0</v>
      </c>
      <c r="K176" s="327">
        <f t="shared" si="32"/>
        <v>0</v>
      </c>
      <c r="L176" s="56">
        <f t="shared" si="33"/>
        <v>3456000</v>
      </c>
      <c r="M176" s="56">
        <f t="shared" si="34"/>
        <v>3456000</v>
      </c>
      <c r="N176" s="11">
        <f>IF(COUNTIF(InputOutputData!K$20,"Chlorine") = 1,'More accurate Energy (Solar)'!M176,L176+K176+I176)</f>
        <v>3456000</v>
      </c>
    </row>
    <row r="177" spans="1:14" ht="14.45">
      <c r="A177" s="24">
        <f>IF(InputOutputData!$E$36=1,'Rainfall Data'!C165,IF(InputOutputData!$E$36=2,'Rainfall Data'!D164,IF(InputOutputData!$E$36=3,'Rainfall Data'!E164,'Rainfall Data'!F164)))</f>
        <v>0</v>
      </c>
      <c r="B177" s="24">
        <f t="shared" si="26"/>
        <v>0</v>
      </c>
      <c r="C177" s="24">
        <f t="shared" si="27"/>
        <v>0</v>
      </c>
      <c r="D177" s="24">
        <f t="shared" si="35"/>
        <v>162</v>
      </c>
      <c r="E177" s="24">
        <f t="shared" si="28"/>
        <v>20.596000000000011</v>
      </c>
      <c r="F177" s="24">
        <f t="shared" si="24"/>
        <v>0</v>
      </c>
      <c r="G177" s="24">
        <f t="shared" si="29"/>
        <v>0</v>
      </c>
      <c r="H177" s="24">
        <f t="shared" si="30"/>
        <v>0</v>
      </c>
      <c r="I177" s="24">
        <f t="shared" si="31"/>
        <v>0</v>
      </c>
      <c r="J177" s="24">
        <f t="shared" si="25"/>
        <v>0</v>
      </c>
      <c r="K177" s="327">
        <f t="shared" si="32"/>
        <v>0</v>
      </c>
      <c r="L177" s="56">
        <f t="shared" si="33"/>
        <v>3456000</v>
      </c>
      <c r="M177" s="56">
        <f t="shared" si="34"/>
        <v>3456000</v>
      </c>
      <c r="N177" s="11">
        <f>IF(COUNTIF(InputOutputData!K$20,"Chlorine") = 1,'More accurate Energy (Solar)'!M177,L177+K177+I177)</f>
        <v>3456000</v>
      </c>
    </row>
    <row r="178" spans="1:14" ht="14.45">
      <c r="A178" s="24">
        <f>IF(InputOutputData!$E$36=1,'Rainfall Data'!C166,IF(InputOutputData!$E$36=2,'Rainfall Data'!D165,IF(InputOutputData!$E$36=3,'Rainfall Data'!E165,'Rainfall Data'!F165)))</f>
        <v>0</v>
      </c>
      <c r="B178" s="24">
        <f t="shared" si="26"/>
        <v>0</v>
      </c>
      <c r="C178" s="24">
        <f t="shared" si="27"/>
        <v>0</v>
      </c>
      <c r="D178" s="24">
        <f t="shared" si="35"/>
        <v>163</v>
      </c>
      <c r="E178" s="24">
        <f t="shared" si="28"/>
        <v>20.164000000000012</v>
      </c>
      <c r="F178" s="24">
        <f t="shared" si="24"/>
        <v>0</v>
      </c>
      <c r="G178" s="24">
        <f t="shared" si="29"/>
        <v>0</v>
      </c>
      <c r="H178" s="24">
        <f t="shared" si="30"/>
        <v>0</v>
      </c>
      <c r="I178" s="24">
        <f t="shared" si="31"/>
        <v>0</v>
      </c>
      <c r="J178" s="24">
        <f t="shared" si="25"/>
        <v>0</v>
      </c>
      <c r="K178" s="327">
        <f t="shared" si="32"/>
        <v>0</v>
      </c>
      <c r="L178" s="56">
        <f t="shared" si="33"/>
        <v>3456000</v>
      </c>
      <c r="M178" s="56">
        <f t="shared" si="34"/>
        <v>3456000</v>
      </c>
      <c r="N178" s="11">
        <f>IF(COUNTIF(InputOutputData!K$20,"Chlorine") = 1,'More accurate Energy (Solar)'!M178,L178+K178+I178)</f>
        <v>3456000</v>
      </c>
    </row>
    <row r="179" spans="1:14" ht="14.45">
      <c r="A179" s="24">
        <f>IF(InputOutputData!$E$36=1,'Rainfall Data'!C167,IF(InputOutputData!$E$36=2,'Rainfall Data'!D166,IF(InputOutputData!$E$36=3,'Rainfall Data'!E166,'Rainfall Data'!F166)))</f>
        <v>0</v>
      </c>
      <c r="B179" s="24">
        <f t="shared" si="26"/>
        <v>0</v>
      </c>
      <c r="C179" s="24">
        <f t="shared" si="27"/>
        <v>0</v>
      </c>
      <c r="D179" s="24">
        <f t="shared" si="35"/>
        <v>164</v>
      </c>
      <c r="E179" s="24">
        <f t="shared" si="28"/>
        <v>19.732000000000014</v>
      </c>
      <c r="F179" s="24">
        <f t="shared" si="24"/>
        <v>0</v>
      </c>
      <c r="G179" s="24">
        <f t="shared" si="29"/>
        <v>0</v>
      </c>
      <c r="H179" s="24">
        <f t="shared" si="30"/>
        <v>0</v>
      </c>
      <c r="I179" s="24">
        <f t="shared" si="31"/>
        <v>0</v>
      </c>
      <c r="J179" s="24">
        <f t="shared" si="25"/>
        <v>0</v>
      </c>
      <c r="K179" s="327">
        <f t="shared" si="32"/>
        <v>0</v>
      </c>
      <c r="L179" s="56">
        <f t="shared" si="33"/>
        <v>3456000</v>
      </c>
      <c r="M179" s="56">
        <f t="shared" si="34"/>
        <v>3456000</v>
      </c>
      <c r="N179" s="11">
        <f>IF(COUNTIF(InputOutputData!K$20,"Chlorine") = 1,'More accurate Energy (Solar)'!M179,L179+K179+I179)</f>
        <v>3456000</v>
      </c>
    </row>
    <row r="180" spans="1:14" ht="14.45">
      <c r="A180" s="24">
        <f>IF(InputOutputData!$E$36=1,'Rainfall Data'!C168,IF(InputOutputData!$E$36=2,'Rainfall Data'!D167,IF(InputOutputData!$E$36=3,'Rainfall Data'!E167,'Rainfall Data'!F167)))</f>
        <v>0</v>
      </c>
      <c r="B180" s="24">
        <f t="shared" si="26"/>
        <v>0</v>
      </c>
      <c r="C180" s="24">
        <f t="shared" si="27"/>
        <v>0</v>
      </c>
      <c r="D180" s="24">
        <f t="shared" si="35"/>
        <v>165</v>
      </c>
      <c r="E180" s="24">
        <f t="shared" si="28"/>
        <v>19.300000000000015</v>
      </c>
      <c r="F180" s="24">
        <f t="shared" si="24"/>
        <v>0</v>
      </c>
      <c r="G180" s="24">
        <f t="shared" si="29"/>
        <v>0</v>
      </c>
      <c r="H180" s="24">
        <f t="shared" si="30"/>
        <v>0</v>
      </c>
      <c r="I180" s="24">
        <f t="shared" si="31"/>
        <v>0</v>
      </c>
      <c r="J180" s="24">
        <f t="shared" si="25"/>
        <v>0</v>
      </c>
      <c r="K180" s="327">
        <f t="shared" si="32"/>
        <v>0</v>
      </c>
      <c r="L180" s="56">
        <f t="shared" si="33"/>
        <v>3456000</v>
      </c>
      <c r="M180" s="56">
        <f t="shared" si="34"/>
        <v>3456000</v>
      </c>
      <c r="N180" s="11">
        <f>IF(COUNTIF(InputOutputData!K$20,"Chlorine") = 1,'More accurate Energy (Solar)'!M180,L180+K180+I180)</f>
        <v>3456000</v>
      </c>
    </row>
    <row r="181" spans="1:14" ht="14.45">
      <c r="A181" s="24">
        <f>IF(InputOutputData!$E$36=1,'Rainfall Data'!C169,IF(InputOutputData!$E$36=2,'Rainfall Data'!D168,IF(InputOutputData!$E$36=3,'Rainfall Data'!E168,'Rainfall Data'!F168)))</f>
        <v>0</v>
      </c>
      <c r="B181" s="24">
        <f t="shared" si="26"/>
        <v>0</v>
      </c>
      <c r="C181" s="24">
        <f t="shared" si="27"/>
        <v>0</v>
      </c>
      <c r="D181" s="24">
        <f t="shared" si="35"/>
        <v>166</v>
      </c>
      <c r="E181" s="24">
        <f t="shared" si="28"/>
        <v>18.868000000000016</v>
      </c>
      <c r="F181" s="24">
        <f t="shared" si="24"/>
        <v>0</v>
      </c>
      <c r="G181" s="24">
        <f t="shared" si="29"/>
        <v>0</v>
      </c>
      <c r="H181" s="24">
        <f t="shared" si="30"/>
        <v>0</v>
      </c>
      <c r="I181" s="24">
        <f t="shared" si="31"/>
        <v>0</v>
      </c>
      <c r="J181" s="24">
        <f t="shared" si="25"/>
        <v>0</v>
      </c>
      <c r="K181" s="327">
        <f t="shared" si="32"/>
        <v>0</v>
      </c>
      <c r="L181" s="56">
        <f t="shared" si="33"/>
        <v>3456000</v>
      </c>
      <c r="M181" s="56">
        <f t="shared" si="34"/>
        <v>3456000</v>
      </c>
      <c r="N181" s="11">
        <f>IF(COUNTIF(InputOutputData!K$20,"Chlorine") = 1,'More accurate Energy (Solar)'!M181,L181+K181+I181)</f>
        <v>3456000</v>
      </c>
    </row>
    <row r="182" spans="1:14" ht="14.45">
      <c r="A182" s="24">
        <f>IF(InputOutputData!$E$36=1,'Rainfall Data'!C170,IF(InputOutputData!$E$36=2,'Rainfall Data'!D169,IF(InputOutputData!$E$36=3,'Rainfall Data'!E169,'Rainfall Data'!F169)))</f>
        <v>0</v>
      </c>
      <c r="B182" s="24">
        <f t="shared" si="26"/>
        <v>0</v>
      </c>
      <c r="C182" s="24">
        <f t="shared" si="27"/>
        <v>0</v>
      </c>
      <c r="D182" s="24">
        <f t="shared" si="35"/>
        <v>167</v>
      </c>
      <c r="E182" s="24">
        <f t="shared" si="28"/>
        <v>18.436000000000018</v>
      </c>
      <c r="F182" s="24">
        <f t="shared" si="24"/>
        <v>0</v>
      </c>
      <c r="G182" s="24">
        <f t="shared" si="29"/>
        <v>0</v>
      </c>
      <c r="H182" s="24">
        <f t="shared" si="30"/>
        <v>0</v>
      </c>
      <c r="I182" s="24">
        <f t="shared" si="31"/>
        <v>0</v>
      </c>
      <c r="J182" s="24">
        <f t="shared" si="25"/>
        <v>0</v>
      </c>
      <c r="K182" s="327">
        <f t="shared" si="32"/>
        <v>0</v>
      </c>
      <c r="L182" s="56">
        <f t="shared" si="33"/>
        <v>3456000</v>
      </c>
      <c r="M182" s="56">
        <f t="shared" si="34"/>
        <v>3456000</v>
      </c>
      <c r="N182" s="11">
        <f>IF(COUNTIF(InputOutputData!K$20,"Chlorine") = 1,'More accurate Energy (Solar)'!M182,L182+K182+I182)</f>
        <v>3456000</v>
      </c>
    </row>
    <row r="183" spans="1:14" ht="14.45">
      <c r="A183" s="24">
        <f>IF(InputOutputData!$E$36=1,'Rainfall Data'!C171,IF(InputOutputData!$E$36=2,'Rainfall Data'!D170,IF(InputOutputData!$E$36=3,'Rainfall Data'!E170,'Rainfall Data'!F170)))</f>
        <v>0</v>
      </c>
      <c r="B183" s="24">
        <f t="shared" si="26"/>
        <v>0</v>
      </c>
      <c r="C183" s="24">
        <f t="shared" si="27"/>
        <v>0</v>
      </c>
      <c r="D183" s="24">
        <f t="shared" si="35"/>
        <v>168</v>
      </c>
      <c r="E183" s="24">
        <f t="shared" si="28"/>
        <v>18.004000000000019</v>
      </c>
      <c r="F183" s="24">
        <f t="shared" si="24"/>
        <v>0</v>
      </c>
      <c r="G183" s="24">
        <f t="shared" si="29"/>
        <v>0</v>
      </c>
      <c r="H183" s="24">
        <f t="shared" si="30"/>
        <v>0</v>
      </c>
      <c r="I183" s="24">
        <f t="shared" si="31"/>
        <v>0</v>
      </c>
      <c r="J183" s="24">
        <f t="shared" si="25"/>
        <v>0</v>
      </c>
      <c r="K183" s="327">
        <f t="shared" si="32"/>
        <v>0</v>
      </c>
      <c r="L183" s="56">
        <f t="shared" si="33"/>
        <v>3456000</v>
      </c>
      <c r="M183" s="56">
        <f t="shared" si="34"/>
        <v>3456000</v>
      </c>
      <c r="N183" s="11">
        <f>IF(COUNTIF(InputOutputData!K$20,"Chlorine") = 1,'More accurate Energy (Solar)'!M183,L183+K183+I183)</f>
        <v>3456000</v>
      </c>
    </row>
    <row r="184" spans="1:14" ht="14.45">
      <c r="A184" s="24">
        <f>IF(InputOutputData!$E$36=1,'Rainfall Data'!C172,IF(InputOutputData!$E$36=2,'Rainfall Data'!D171,IF(InputOutputData!$E$36=3,'Rainfall Data'!E171,'Rainfall Data'!F171)))</f>
        <v>7</v>
      </c>
      <c r="B184" s="24">
        <f t="shared" si="26"/>
        <v>0.4861111111111111</v>
      </c>
      <c r="C184" s="24">
        <f t="shared" si="27"/>
        <v>0.70000000000000007</v>
      </c>
      <c r="D184" s="24">
        <f t="shared" si="35"/>
        <v>169</v>
      </c>
      <c r="E184" s="24">
        <f t="shared" si="28"/>
        <v>18.27200000000002</v>
      </c>
      <c r="F184" s="24">
        <f t="shared" si="24"/>
        <v>147640.50000000003</v>
      </c>
      <c r="G184" s="24">
        <f t="shared" si="29"/>
        <v>3.8933259753858931E-2</v>
      </c>
      <c r="H184" s="24">
        <f t="shared" si="30"/>
        <v>6051384.2332324646</v>
      </c>
      <c r="I184" s="24">
        <f t="shared" si="31"/>
        <v>6577591.5578613747</v>
      </c>
      <c r="J184" s="24">
        <f t="shared" si="25"/>
        <v>3.5000000000000004</v>
      </c>
      <c r="K184" s="327">
        <f t="shared" si="32"/>
        <v>7000000.0000000009</v>
      </c>
      <c r="L184" s="56">
        <f t="shared" si="33"/>
        <v>3456000</v>
      </c>
      <c r="M184" s="56">
        <f t="shared" si="34"/>
        <v>10033591.557861375</v>
      </c>
      <c r="N184" s="11">
        <f>IF(COUNTIF(InputOutputData!K$20,"Chlorine") = 1,'More accurate Energy (Solar)'!M184,L184+K184+I184)</f>
        <v>10033591.557861375</v>
      </c>
    </row>
    <row r="185" spans="1:14" ht="14.45">
      <c r="A185" s="24">
        <f>IF(InputOutputData!$E$36=1,'Rainfall Data'!C173,IF(InputOutputData!$E$36=2,'Rainfall Data'!D172,IF(InputOutputData!$E$36=3,'Rainfall Data'!E172,'Rainfall Data'!F172)))</f>
        <v>0</v>
      </c>
      <c r="B185" s="24">
        <f t="shared" si="26"/>
        <v>0</v>
      </c>
      <c r="C185" s="24">
        <f t="shared" si="27"/>
        <v>0</v>
      </c>
      <c r="D185" s="24">
        <f t="shared" si="35"/>
        <v>170</v>
      </c>
      <c r="E185" s="24">
        <f t="shared" si="28"/>
        <v>17.840000000000021</v>
      </c>
      <c r="F185" s="24">
        <f t="shared" si="24"/>
        <v>0</v>
      </c>
      <c r="G185" s="24">
        <f t="shared" si="29"/>
        <v>0</v>
      </c>
      <c r="H185" s="24">
        <f t="shared" si="30"/>
        <v>0</v>
      </c>
      <c r="I185" s="24">
        <f t="shared" si="31"/>
        <v>0</v>
      </c>
      <c r="J185" s="24">
        <f t="shared" si="25"/>
        <v>0</v>
      </c>
      <c r="K185" s="327">
        <f t="shared" si="32"/>
        <v>0</v>
      </c>
      <c r="L185" s="56">
        <f t="shared" si="33"/>
        <v>3456000</v>
      </c>
      <c r="M185" s="56">
        <f t="shared" si="34"/>
        <v>3456000</v>
      </c>
      <c r="N185" s="11">
        <f>IF(COUNTIF(InputOutputData!K$20,"Chlorine") = 1,'More accurate Energy (Solar)'!M185,L185+K185+I185)</f>
        <v>3456000</v>
      </c>
    </row>
    <row r="186" spans="1:14" ht="14.45">
      <c r="A186" s="24">
        <f>IF(InputOutputData!$E$36=1,'Rainfall Data'!C174,IF(InputOutputData!$E$36=2,'Rainfall Data'!D173,IF(InputOutputData!$E$36=3,'Rainfall Data'!E173,'Rainfall Data'!F173)))</f>
        <v>0</v>
      </c>
      <c r="B186" s="24">
        <f t="shared" si="26"/>
        <v>0</v>
      </c>
      <c r="C186" s="24">
        <f t="shared" si="27"/>
        <v>0</v>
      </c>
      <c r="D186" s="24">
        <f t="shared" si="35"/>
        <v>171</v>
      </c>
      <c r="E186" s="24">
        <f t="shared" si="28"/>
        <v>17.408000000000023</v>
      </c>
      <c r="F186" s="24">
        <f t="shared" si="24"/>
        <v>0</v>
      </c>
      <c r="G186" s="24">
        <f t="shared" si="29"/>
        <v>0</v>
      </c>
      <c r="H186" s="24">
        <f t="shared" si="30"/>
        <v>0</v>
      </c>
      <c r="I186" s="24">
        <f t="shared" si="31"/>
        <v>0</v>
      </c>
      <c r="J186" s="24">
        <f t="shared" si="25"/>
        <v>0</v>
      </c>
      <c r="K186" s="327">
        <f t="shared" si="32"/>
        <v>0</v>
      </c>
      <c r="L186" s="56">
        <f t="shared" si="33"/>
        <v>3456000</v>
      </c>
      <c r="M186" s="56">
        <f t="shared" si="34"/>
        <v>3456000</v>
      </c>
      <c r="N186" s="11">
        <f>IF(COUNTIF(InputOutputData!K$20,"Chlorine") = 1,'More accurate Energy (Solar)'!M186,L186+K186+I186)</f>
        <v>3456000</v>
      </c>
    </row>
    <row r="187" spans="1:14" ht="14.45">
      <c r="A187" s="24">
        <f>IF(InputOutputData!$E$36=1,'Rainfall Data'!C175,IF(InputOutputData!$E$36=2,'Rainfall Data'!D174,IF(InputOutputData!$E$36=3,'Rainfall Data'!E174,'Rainfall Data'!F174)))</f>
        <v>0</v>
      </c>
      <c r="B187" s="24">
        <f t="shared" si="26"/>
        <v>0</v>
      </c>
      <c r="C187" s="24">
        <f t="shared" si="27"/>
        <v>0</v>
      </c>
      <c r="D187" s="24">
        <f t="shared" si="35"/>
        <v>172</v>
      </c>
      <c r="E187" s="24">
        <f t="shared" si="28"/>
        <v>16.976000000000024</v>
      </c>
      <c r="F187" s="24">
        <f t="shared" si="24"/>
        <v>0</v>
      </c>
      <c r="G187" s="24">
        <f t="shared" si="29"/>
        <v>0</v>
      </c>
      <c r="H187" s="24">
        <f t="shared" si="30"/>
        <v>0</v>
      </c>
      <c r="I187" s="24">
        <f t="shared" si="31"/>
        <v>0</v>
      </c>
      <c r="J187" s="24">
        <f t="shared" si="25"/>
        <v>0</v>
      </c>
      <c r="K187" s="327">
        <f t="shared" si="32"/>
        <v>0</v>
      </c>
      <c r="L187" s="56">
        <f t="shared" si="33"/>
        <v>3456000</v>
      </c>
      <c r="M187" s="56">
        <f t="shared" si="34"/>
        <v>3456000</v>
      </c>
      <c r="N187" s="11">
        <f>IF(COUNTIF(InputOutputData!K$20,"Chlorine") = 1,'More accurate Energy (Solar)'!M187,L187+K187+I187)</f>
        <v>3456000</v>
      </c>
    </row>
    <row r="188" spans="1:14" ht="14.45">
      <c r="A188" s="24">
        <f>IF(InputOutputData!$E$36=1,'Rainfall Data'!C176,IF(InputOutputData!$E$36=2,'Rainfall Data'!D175,IF(InputOutputData!$E$36=3,'Rainfall Data'!E175,'Rainfall Data'!F175)))</f>
        <v>0</v>
      </c>
      <c r="B188" s="24">
        <f t="shared" si="26"/>
        <v>0</v>
      </c>
      <c r="C188" s="24">
        <f t="shared" si="27"/>
        <v>0</v>
      </c>
      <c r="D188" s="24">
        <f t="shared" si="35"/>
        <v>173</v>
      </c>
      <c r="E188" s="24">
        <f t="shared" si="28"/>
        <v>16.544000000000025</v>
      </c>
      <c r="F188" s="24">
        <f t="shared" si="24"/>
        <v>0</v>
      </c>
      <c r="G188" s="24">
        <f t="shared" si="29"/>
        <v>0</v>
      </c>
      <c r="H188" s="24">
        <f t="shared" si="30"/>
        <v>0</v>
      </c>
      <c r="I188" s="24">
        <f t="shared" si="31"/>
        <v>0</v>
      </c>
      <c r="J188" s="24">
        <f t="shared" si="25"/>
        <v>0</v>
      </c>
      <c r="K188" s="327">
        <f t="shared" si="32"/>
        <v>0</v>
      </c>
      <c r="L188" s="56">
        <f t="shared" si="33"/>
        <v>3456000</v>
      </c>
      <c r="M188" s="56">
        <f t="shared" si="34"/>
        <v>3456000</v>
      </c>
      <c r="N188" s="11">
        <f>IF(COUNTIF(InputOutputData!K$20,"Chlorine") = 1,'More accurate Energy (Solar)'!M188,L188+K188+I188)</f>
        <v>3456000</v>
      </c>
    </row>
    <row r="189" spans="1:14" ht="14.45">
      <c r="A189" s="24">
        <f>IF(InputOutputData!$E$36=1,'Rainfall Data'!C177,IF(InputOutputData!$E$36=2,'Rainfall Data'!D176,IF(InputOutputData!$E$36=3,'Rainfall Data'!E176,'Rainfall Data'!F176)))</f>
        <v>1.4</v>
      </c>
      <c r="B189" s="24">
        <f t="shared" si="26"/>
        <v>9.722222222222221E-2</v>
      </c>
      <c r="C189" s="24">
        <f t="shared" si="27"/>
        <v>0.13999999999999999</v>
      </c>
      <c r="D189" s="24">
        <f t="shared" si="35"/>
        <v>174</v>
      </c>
      <c r="E189" s="24">
        <f t="shared" si="28"/>
        <v>16.252000000000024</v>
      </c>
      <c r="F189" s="24">
        <f t="shared" si="24"/>
        <v>29528.1</v>
      </c>
      <c r="G189" s="24">
        <f t="shared" si="29"/>
        <v>1.6052656140628618E-2</v>
      </c>
      <c r="H189" s="24">
        <f t="shared" si="30"/>
        <v>2935341.194116177</v>
      </c>
      <c r="I189" s="24">
        <f t="shared" si="31"/>
        <v>3190588.2544741053</v>
      </c>
      <c r="J189" s="24">
        <f t="shared" si="25"/>
        <v>0.7</v>
      </c>
      <c r="K189" s="327">
        <f t="shared" si="32"/>
        <v>1400000</v>
      </c>
      <c r="L189" s="56">
        <f t="shared" si="33"/>
        <v>3456000</v>
      </c>
      <c r="M189" s="56">
        <f t="shared" si="34"/>
        <v>6646588.2544741053</v>
      </c>
      <c r="N189" s="11">
        <f>IF(COUNTIF(InputOutputData!K$20,"Chlorine") = 1,'More accurate Energy (Solar)'!M189,L189+K189+I189)</f>
        <v>6646588.2544741053</v>
      </c>
    </row>
    <row r="190" spans="1:14" ht="14.45">
      <c r="A190" s="24">
        <f>IF(InputOutputData!$E$36=1,'Rainfall Data'!C178,IF(InputOutputData!$E$36=2,'Rainfall Data'!D177,IF(InputOutputData!$E$36=3,'Rainfall Data'!E177,'Rainfall Data'!F177)))</f>
        <v>13.4</v>
      </c>
      <c r="B190" s="24">
        <f t="shared" si="26"/>
        <v>0.93055555555555558</v>
      </c>
      <c r="C190" s="24">
        <f t="shared" si="27"/>
        <v>1.34</v>
      </c>
      <c r="D190" s="24">
        <f t="shared" si="35"/>
        <v>175</v>
      </c>
      <c r="E190" s="24">
        <f t="shared" si="28"/>
        <v>17.160000000000025</v>
      </c>
      <c r="F190" s="24">
        <f t="shared" si="24"/>
        <v>282626.10000000003</v>
      </c>
      <c r="G190" s="24">
        <f t="shared" si="29"/>
        <v>5.5694662580825151E-2</v>
      </c>
      <c r="H190" s="24">
        <f t="shared" si="30"/>
        <v>8097830.4211174315</v>
      </c>
      <c r="I190" s="24">
        <f t="shared" si="31"/>
        <v>8801989.5881711207</v>
      </c>
      <c r="J190" s="24">
        <f t="shared" si="25"/>
        <v>6.7</v>
      </c>
      <c r="K190" s="327">
        <f t="shared" si="32"/>
        <v>13400000</v>
      </c>
      <c r="L190" s="56">
        <f t="shared" si="33"/>
        <v>3456000</v>
      </c>
      <c r="M190" s="56">
        <f t="shared" si="34"/>
        <v>12257989.588171121</v>
      </c>
      <c r="N190" s="11">
        <f>IF(COUNTIF(InputOutputData!K$20,"Chlorine") = 1,'More accurate Energy (Solar)'!M190,L190+K190+I190)</f>
        <v>12257989.588171121</v>
      </c>
    </row>
    <row r="191" spans="1:14" ht="14.45">
      <c r="A191" s="24">
        <f>IF(InputOutputData!$E$36=1,'Rainfall Data'!C179,IF(InputOutputData!$E$36=2,'Rainfall Data'!D178,IF(InputOutputData!$E$36=3,'Rainfall Data'!E178,'Rainfall Data'!F178)))</f>
        <v>4</v>
      </c>
      <c r="B191" s="24">
        <f t="shared" si="26"/>
        <v>0.27777777777777779</v>
      </c>
      <c r="C191" s="24">
        <f t="shared" si="27"/>
        <v>0.4</v>
      </c>
      <c r="D191" s="24">
        <f t="shared" si="35"/>
        <v>176</v>
      </c>
      <c r="E191" s="24">
        <f t="shared" si="28"/>
        <v>17.128000000000025</v>
      </c>
      <c r="F191" s="24">
        <f t="shared" si="24"/>
        <v>84366</v>
      </c>
      <c r="G191" s="24">
        <f t="shared" si="29"/>
        <v>2.8606682038735863E-2</v>
      </c>
      <c r="H191" s="24">
        <f t="shared" si="30"/>
        <v>4706195.4447031152</v>
      </c>
      <c r="I191" s="24">
        <f t="shared" si="31"/>
        <v>5115429.8311990378</v>
      </c>
      <c r="J191" s="24">
        <f t="shared" si="25"/>
        <v>2</v>
      </c>
      <c r="K191" s="327">
        <f t="shared" si="32"/>
        <v>4000000</v>
      </c>
      <c r="L191" s="56">
        <f t="shared" si="33"/>
        <v>3456000</v>
      </c>
      <c r="M191" s="56">
        <f t="shared" si="34"/>
        <v>8571429.8311990388</v>
      </c>
      <c r="N191" s="11">
        <f>IF(COUNTIF(InputOutputData!K$20,"Chlorine") = 1,'More accurate Energy (Solar)'!M191,L191+K191+I191)</f>
        <v>8571429.8311990388</v>
      </c>
    </row>
    <row r="192" spans="1:14" ht="14.45">
      <c r="A192" s="24">
        <f>IF(InputOutputData!$E$36=1,'Rainfall Data'!C180,IF(InputOutputData!$E$36=2,'Rainfall Data'!D179,IF(InputOutputData!$E$36=3,'Rainfall Data'!E179,'Rainfall Data'!F179)))</f>
        <v>0</v>
      </c>
      <c r="B192" s="24">
        <f t="shared" si="26"/>
        <v>0</v>
      </c>
      <c r="C192" s="24">
        <f t="shared" si="27"/>
        <v>0</v>
      </c>
      <c r="D192" s="24">
        <f t="shared" si="35"/>
        <v>177</v>
      </c>
      <c r="E192" s="24">
        <f t="shared" si="28"/>
        <v>16.696000000000026</v>
      </c>
      <c r="F192" s="24">
        <f t="shared" si="24"/>
        <v>0</v>
      </c>
      <c r="G192" s="24">
        <f t="shared" si="29"/>
        <v>0</v>
      </c>
      <c r="H192" s="24">
        <f t="shared" si="30"/>
        <v>0</v>
      </c>
      <c r="I192" s="24">
        <f t="shared" si="31"/>
        <v>0</v>
      </c>
      <c r="J192" s="24">
        <f t="shared" si="25"/>
        <v>0</v>
      </c>
      <c r="K192" s="327">
        <f t="shared" si="32"/>
        <v>0</v>
      </c>
      <c r="L192" s="56">
        <f t="shared" si="33"/>
        <v>3456000</v>
      </c>
      <c r="M192" s="56">
        <f t="shared" si="34"/>
        <v>3456000</v>
      </c>
      <c r="N192" s="11">
        <f>IF(COUNTIF(InputOutputData!K$20,"Chlorine") = 1,'More accurate Energy (Solar)'!M192,L192+K192+I192)</f>
        <v>3456000</v>
      </c>
    </row>
    <row r="193" spans="1:14" ht="14.45">
      <c r="A193" s="24">
        <f>IF(InputOutputData!$E$36=1,'Rainfall Data'!C181,IF(InputOutputData!$E$36=2,'Rainfall Data'!D180,IF(InputOutputData!$E$36=3,'Rainfall Data'!E180,'Rainfall Data'!F180)))</f>
        <v>0</v>
      </c>
      <c r="B193" s="24">
        <f t="shared" si="26"/>
        <v>0</v>
      </c>
      <c r="C193" s="24">
        <f t="shared" si="27"/>
        <v>0</v>
      </c>
      <c r="D193" s="24">
        <f t="shared" si="35"/>
        <v>178</v>
      </c>
      <c r="E193" s="24">
        <f t="shared" si="28"/>
        <v>16.264000000000028</v>
      </c>
      <c r="F193" s="24">
        <f t="shared" si="24"/>
        <v>0</v>
      </c>
      <c r="G193" s="24">
        <f t="shared" si="29"/>
        <v>0</v>
      </c>
      <c r="H193" s="24">
        <f t="shared" si="30"/>
        <v>0</v>
      </c>
      <c r="I193" s="24">
        <f t="shared" si="31"/>
        <v>0</v>
      </c>
      <c r="J193" s="24">
        <f t="shared" si="25"/>
        <v>0</v>
      </c>
      <c r="K193" s="327">
        <f t="shared" si="32"/>
        <v>0</v>
      </c>
      <c r="L193" s="56">
        <f t="shared" si="33"/>
        <v>3456000</v>
      </c>
      <c r="M193" s="56">
        <f t="shared" si="34"/>
        <v>3456000</v>
      </c>
      <c r="N193" s="11">
        <f>IF(COUNTIF(InputOutputData!K$20,"Chlorine") = 1,'More accurate Energy (Solar)'!M193,L193+K193+I193)</f>
        <v>3456000</v>
      </c>
    </row>
    <row r="194" spans="1:14" ht="14.45">
      <c r="A194" s="24">
        <f>IF(InputOutputData!$E$36=1,'Rainfall Data'!C182,IF(InputOutputData!$E$36=2,'Rainfall Data'!D181,IF(InputOutputData!$E$36=3,'Rainfall Data'!E181,'Rainfall Data'!F181)))</f>
        <v>0</v>
      </c>
      <c r="B194" s="24">
        <f t="shared" si="26"/>
        <v>0</v>
      </c>
      <c r="C194" s="24">
        <f t="shared" si="27"/>
        <v>0</v>
      </c>
      <c r="D194" s="24">
        <f t="shared" si="35"/>
        <v>179</v>
      </c>
      <c r="E194" s="24">
        <f t="shared" si="28"/>
        <v>15.832000000000027</v>
      </c>
      <c r="F194" s="24">
        <f t="shared" si="24"/>
        <v>0</v>
      </c>
      <c r="G194" s="24">
        <f t="shared" si="29"/>
        <v>0</v>
      </c>
      <c r="H194" s="24">
        <f t="shared" si="30"/>
        <v>0</v>
      </c>
      <c r="I194" s="24">
        <f t="shared" si="31"/>
        <v>0</v>
      </c>
      <c r="J194" s="24">
        <f t="shared" si="25"/>
        <v>0</v>
      </c>
      <c r="K194" s="327">
        <f t="shared" si="32"/>
        <v>0</v>
      </c>
      <c r="L194" s="56">
        <f t="shared" si="33"/>
        <v>3456000</v>
      </c>
      <c r="M194" s="56">
        <f t="shared" si="34"/>
        <v>3456000</v>
      </c>
      <c r="N194" s="11">
        <f>IF(COUNTIF(InputOutputData!K$20,"Chlorine") = 1,'More accurate Energy (Solar)'!M194,L194+K194+I194)</f>
        <v>3456000</v>
      </c>
    </row>
    <row r="195" spans="1:14" ht="14.45">
      <c r="A195" s="24">
        <f>IF(InputOutputData!$E$36=1,'Rainfall Data'!C183,IF(InputOutputData!$E$36=2,'Rainfall Data'!D182,IF(InputOutputData!$E$36=3,'Rainfall Data'!E182,'Rainfall Data'!F182)))</f>
        <v>0</v>
      </c>
      <c r="B195" s="24">
        <f t="shared" si="26"/>
        <v>0</v>
      </c>
      <c r="C195" s="24">
        <f t="shared" si="27"/>
        <v>0</v>
      </c>
      <c r="D195" s="24">
        <f t="shared" si="35"/>
        <v>180</v>
      </c>
      <c r="E195" s="24">
        <f t="shared" si="28"/>
        <v>15.400000000000027</v>
      </c>
      <c r="F195" s="24">
        <f t="shared" si="24"/>
        <v>0</v>
      </c>
      <c r="G195" s="24">
        <f t="shared" si="29"/>
        <v>0</v>
      </c>
      <c r="H195" s="24">
        <f t="shared" si="30"/>
        <v>0</v>
      </c>
      <c r="I195" s="24">
        <f t="shared" si="31"/>
        <v>0</v>
      </c>
      <c r="J195" s="24">
        <f t="shared" si="25"/>
        <v>0</v>
      </c>
      <c r="K195" s="327">
        <f t="shared" si="32"/>
        <v>0</v>
      </c>
      <c r="L195" s="56">
        <f t="shared" si="33"/>
        <v>3456000</v>
      </c>
      <c r="M195" s="56">
        <f t="shared" si="34"/>
        <v>3456000</v>
      </c>
      <c r="N195" s="11">
        <f>IF(COUNTIF(InputOutputData!K$20,"Chlorine") = 1,'More accurate Energy (Solar)'!M195,L195+K195+I195)</f>
        <v>3456000</v>
      </c>
    </row>
    <row r="196" spans="1:14" ht="14.45">
      <c r="A196" s="24">
        <f>IF(InputOutputData!$E$36=1,'Rainfall Data'!C184,IF(InputOutputData!$E$36=2,'Rainfall Data'!D183,IF(InputOutputData!$E$36=3,'Rainfall Data'!E183,'Rainfall Data'!F183)))</f>
        <v>0</v>
      </c>
      <c r="B196" s="24">
        <f t="shared" si="26"/>
        <v>0</v>
      </c>
      <c r="C196" s="24">
        <f t="shared" si="27"/>
        <v>0</v>
      </c>
      <c r="D196" s="24">
        <f t="shared" si="35"/>
        <v>181</v>
      </c>
      <c r="E196" s="24">
        <f t="shared" si="28"/>
        <v>14.968000000000027</v>
      </c>
      <c r="F196" s="24">
        <f t="shared" si="24"/>
        <v>0</v>
      </c>
      <c r="G196" s="24">
        <f t="shared" si="29"/>
        <v>0</v>
      </c>
      <c r="H196" s="24">
        <f t="shared" si="30"/>
        <v>0</v>
      </c>
      <c r="I196" s="24">
        <f t="shared" si="31"/>
        <v>0</v>
      </c>
      <c r="J196" s="24">
        <f t="shared" si="25"/>
        <v>0</v>
      </c>
      <c r="K196" s="327">
        <f t="shared" si="32"/>
        <v>0</v>
      </c>
      <c r="L196" s="56">
        <f t="shared" si="33"/>
        <v>3456000</v>
      </c>
      <c r="M196" s="56">
        <f t="shared" si="34"/>
        <v>3456000</v>
      </c>
      <c r="N196" s="11">
        <f>IF(COUNTIF(InputOutputData!K$20,"Chlorine") = 1,'More accurate Energy (Solar)'!M196,L196+K196+I196)</f>
        <v>3456000</v>
      </c>
    </row>
    <row r="197" spans="1:14" ht="14.45">
      <c r="A197" s="24">
        <f>IF(InputOutputData!$E$36=1,'Rainfall Data'!C185,IF(InputOutputData!$E$36=2,'Rainfall Data'!D184,IF(InputOutputData!$E$36=3,'Rainfall Data'!E184,'Rainfall Data'!F184)))</f>
        <v>0</v>
      </c>
      <c r="B197" s="24">
        <f t="shared" si="26"/>
        <v>0</v>
      </c>
      <c r="C197" s="24">
        <f t="shared" si="27"/>
        <v>0</v>
      </c>
      <c r="D197" s="24">
        <f t="shared" si="35"/>
        <v>182</v>
      </c>
      <c r="E197" s="24">
        <f t="shared" si="28"/>
        <v>14.536000000000026</v>
      </c>
      <c r="F197" s="24">
        <f t="shared" si="24"/>
        <v>0</v>
      </c>
      <c r="G197" s="24">
        <f t="shared" si="29"/>
        <v>0</v>
      </c>
      <c r="H197" s="24">
        <f t="shared" si="30"/>
        <v>0</v>
      </c>
      <c r="I197" s="24">
        <f t="shared" si="31"/>
        <v>0</v>
      </c>
      <c r="J197" s="24">
        <f t="shared" si="25"/>
        <v>0</v>
      </c>
      <c r="K197" s="327">
        <f t="shared" si="32"/>
        <v>0</v>
      </c>
      <c r="L197" s="56">
        <f t="shared" si="33"/>
        <v>3456000</v>
      </c>
      <c r="M197" s="56">
        <f t="shared" si="34"/>
        <v>3456000</v>
      </c>
      <c r="N197" s="11">
        <f>IF(COUNTIF(InputOutputData!K$20,"Chlorine") = 1,'More accurate Energy (Solar)'!M197,L197+K197+I197)</f>
        <v>3456000</v>
      </c>
    </row>
    <row r="198" spans="1:14" ht="14.45">
      <c r="A198" s="24">
        <f>IF(InputOutputData!$E$36=1,'Rainfall Data'!C186,IF(InputOutputData!$E$36=2,'Rainfall Data'!D185,IF(InputOutputData!$E$36=3,'Rainfall Data'!E185,'Rainfall Data'!F185)))</f>
        <v>0</v>
      </c>
      <c r="B198" s="24">
        <f t="shared" si="26"/>
        <v>0</v>
      </c>
      <c r="C198" s="24">
        <f t="shared" si="27"/>
        <v>0</v>
      </c>
      <c r="D198" s="24">
        <f t="shared" si="35"/>
        <v>183</v>
      </c>
      <c r="E198" s="24">
        <f t="shared" si="28"/>
        <v>14.104000000000026</v>
      </c>
      <c r="F198" s="24">
        <f t="shared" si="24"/>
        <v>0</v>
      </c>
      <c r="G198" s="24">
        <f t="shared" si="29"/>
        <v>0</v>
      </c>
      <c r="H198" s="24">
        <f t="shared" si="30"/>
        <v>0</v>
      </c>
      <c r="I198" s="24">
        <f t="shared" si="31"/>
        <v>0</v>
      </c>
      <c r="J198" s="24">
        <f t="shared" si="25"/>
        <v>0</v>
      </c>
      <c r="K198" s="327">
        <f t="shared" si="32"/>
        <v>0</v>
      </c>
      <c r="L198" s="56">
        <f t="shared" si="33"/>
        <v>3456000</v>
      </c>
      <c r="M198" s="56">
        <f t="shared" si="34"/>
        <v>3456000</v>
      </c>
      <c r="N198" s="11">
        <f>IF(COUNTIF(InputOutputData!K$20,"Chlorine") = 1,'More accurate Energy (Solar)'!M198,L198+K198+I198)</f>
        <v>3456000</v>
      </c>
    </row>
    <row r="199" spans="1:14" ht="14.45">
      <c r="A199" s="24">
        <f>IF(InputOutputData!$E$36=1,'Rainfall Data'!C187,IF(InputOutputData!$E$36=2,'Rainfall Data'!D186,IF(InputOutputData!$E$36=3,'Rainfall Data'!E186,'Rainfall Data'!F186)))</f>
        <v>0</v>
      </c>
      <c r="B199" s="24">
        <f t="shared" si="26"/>
        <v>0</v>
      </c>
      <c r="C199" s="24">
        <f t="shared" si="27"/>
        <v>0</v>
      </c>
      <c r="D199" s="24">
        <f t="shared" si="35"/>
        <v>184</v>
      </c>
      <c r="E199" s="24">
        <f t="shared" si="28"/>
        <v>13.672000000000025</v>
      </c>
      <c r="F199" s="24">
        <f t="shared" si="24"/>
        <v>0</v>
      </c>
      <c r="G199" s="24">
        <f t="shared" si="29"/>
        <v>0</v>
      </c>
      <c r="H199" s="24">
        <f t="shared" si="30"/>
        <v>0</v>
      </c>
      <c r="I199" s="24">
        <f t="shared" si="31"/>
        <v>0</v>
      </c>
      <c r="J199" s="24">
        <f t="shared" si="25"/>
        <v>0</v>
      </c>
      <c r="K199" s="327">
        <f t="shared" si="32"/>
        <v>0</v>
      </c>
      <c r="L199" s="56">
        <f t="shared" si="33"/>
        <v>3456000</v>
      </c>
      <c r="M199" s="56">
        <f t="shared" si="34"/>
        <v>3456000</v>
      </c>
      <c r="N199" s="11">
        <f>IF(COUNTIF(InputOutputData!K$20,"Chlorine") = 1,'More accurate Energy (Solar)'!M199,L199+K199+I199)</f>
        <v>3456000</v>
      </c>
    </row>
    <row r="200" spans="1:14" ht="14.45">
      <c r="A200" s="24">
        <f>IF(InputOutputData!$E$36=1,'Rainfall Data'!C188,IF(InputOutputData!$E$36=2,'Rainfall Data'!D187,IF(InputOutputData!$E$36=3,'Rainfall Data'!E187,'Rainfall Data'!F187)))</f>
        <v>0</v>
      </c>
      <c r="B200" s="24">
        <f t="shared" si="26"/>
        <v>0</v>
      </c>
      <c r="C200" s="24">
        <f t="shared" si="27"/>
        <v>0</v>
      </c>
      <c r="D200" s="24">
        <f t="shared" si="35"/>
        <v>185</v>
      </c>
      <c r="E200" s="24">
        <f t="shared" si="28"/>
        <v>13.240000000000025</v>
      </c>
      <c r="F200" s="24">
        <f t="shared" si="24"/>
        <v>0</v>
      </c>
      <c r="G200" s="24">
        <f t="shared" si="29"/>
        <v>0</v>
      </c>
      <c r="H200" s="24">
        <f t="shared" si="30"/>
        <v>0</v>
      </c>
      <c r="I200" s="24">
        <f t="shared" si="31"/>
        <v>0</v>
      </c>
      <c r="J200" s="24">
        <f t="shared" si="25"/>
        <v>0</v>
      </c>
      <c r="K200" s="327">
        <f t="shared" si="32"/>
        <v>0</v>
      </c>
      <c r="L200" s="56">
        <f t="shared" si="33"/>
        <v>3456000</v>
      </c>
      <c r="M200" s="56">
        <f t="shared" si="34"/>
        <v>3456000</v>
      </c>
      <c r="N200" s="11">
        <f>IF(COUNTIF(InputOutputData!K$20,"Chlorine") = 1,'More accurate Energy (Solar)'!M200,L200+K200+I200)</f>
        <v>3456000</v>
      </c>
    </row>
    <row r="201" spans="1:14" ht="14.45">
      <c r="A201" s="24">
        <f>IF(InputOutputData!$E$36=1,'Rainfall Data'!C189,IF(InputOutputData!$E$36=2,'Rainfall Data'!D188,IF(InputOutputData!$E$36=3,'Rainfall Data'!E188,'Rainfall Data'!F188)))</f>
        <v>0</v>
      </c>
      <c r="B201" s="24">
        <f t="shared" si="26"/>
        <v>0</v>
      </c>
      <c r="C201" s="24">
        <f t="shared" si="27"/>
        <v>0</v>
      </c>
      <c r="D201" s="24">
        <f t="shared" si="35"/>
        <v>186</v>
      </c>
      <c r="E201" s="24">
        <f t="shared" si="28"/>
        <v>12.808000000000025</v>
      </c>
      <c r="F201" s="24">
        <f t="shared" si="24"/>
        <v>0</v>
      </c>
      <c r="G201" s="24">
        <f t="shared" si="29"/>
        <v>0</v>
      </c>
      <c r="H201" s="24">
        <f t="shared" si="30"/>
        <v>0</v>
      </c>
      <c r="I201" s="24">
        <f t="shared" si="31"/>
        <v>0</v>
      </c>
      <c r="J201" s="24">
        <f t="shared" si="25"/>
        <v>0</v>
      </c>
      <c r="K201" s="327">
        <f t="shared" si="32"/>
        <v>0</v>
      </c>
      <c r="L201" s="56">
        <f t="shared" si="33"/>
        <v>3456000</v>
      </c>
      <c r="M201" s="56">
        <f t="shared" si="34"/>
        <v>3456000</v>
      </c>
      <c r="N201" s="11">
        <f>IF(COUNTIF(InputOutputData!K$20,"Chlorine") = 1,'More accurate Energy (Solar)'!M201,L201+K201+I201)</f>
        <v>3456000</v>
      </c>
    </row>
    <row r="202" spans="1:14" ht="14.45">
      <c r="A202" s="24">
        <f>IF(InputOutputData!$E$36=1,'Rainfall Data'!C190,IF(InputOutputData!$E$36=2,'Rainfall Data'!D189,IF(InputOutputData!$E$36=3,'Rainfall Data'!E189,'Rainfall Data'!F189)))</f>
        <v>0</v>
      </c>
      <c r="B202" s="24">
        <f t="shared" si="26"/>
        <v>0</v>
      </c>
      <c r="C202" s="24">
        <f t="shared" si="27"/>
        <v>0</v>
      </c>
      <c r="D202" s="24">
        <f t="shared" si="35"/>
        <v>187</v>
      </c>
      <c r="E202" s="24">
        <f t="shared" si="28"/>
        <v>12.376000000000024</v>
      </c>
      <c r="F202" s="24">
        <f t="shared" si="24"/>
        <v>0</v>
      </c>
      <c r="G202" s="24">
        <f t="shared" si="29"/>
        <v>0</v>
      </c>
      <c r="H202" s="24">
        <f t="shared" si="30"/>
        <v>0</v>
      </c>
      <c r="I202" s="24">
        <f t="shared" si="31"/>
        <v>0</v>
      </c>
      <c r="J202" s="24">
        <f t="shared" si="25"/>
        <v>0</v>
      </c>
      <c r="K202" s="327">
        <f t="shared" si="32"/>
        <v>0</v>
      </c>
      <c r="L202" s="56">
        <f t="shared" si="33"/>
        <v>3456000</v>
      </c>
      <c r="M202" s="56">
        <f t="shared" si="34"/>
        <v>3456000</v>
      </c>
      <c r="N202" s="11">
        <f>IF(COUNTIF(InputOutputData!K$20,"Chlorine") = 1,'More accurate Energy (Solar)'!M202,L202+K202+I202)</f>
        <v>3456000</v>
      </c>
    </row>
    <row r="203" spans="1:14" ht="14.45">
      <c r="A203" s="24">
        <f>IF(InputOutputData!$E$36=1,'Rainfall Data'!C191,IF(InputOutputData!$E$36=2,'Rainfall Data'!D190,IF(InputOutputData!$E$36=3,'Rainfall Data'!E190,'Rainfall Data'!F190)))</f>
        <v>0.2</v>
      </c>
      <c r="B203" s="24">
        <f t="shared" si="26"/>
        <v>1.3888888888888888E-2</v>
      </c>
      <c r="C203" s="24">
        <f t="shared" si="27"/>
        <v>0.02</v>
      </c>
      <c r="D203" s="24">
        <f t="shared" si="35"/>
        <v>188</v>
      </c>
      <c r="E203" s="24">
        <f t="shared" si="28"/>
        <v>11.964000000000024</v>
      </c>
      <c r="F203" s="24">
        <f t="shared" si="24"/>
        <v>4218.3</v>
      </c>
      <c r="G203" s="24">
        <f t="shared" si="29"/>
        <v>5.5038940280191058E-3</v>
      </c>
      <c r="H203" s="24">
        <f t="shared" si="30"/>
        <v>1223030.785235004</v>
      </c>
      <c r="I203" s="24">
        <f t="shared" si="31"/>
        <v>1329381.2882989175</v>
      </c>
      <c r="J203" s="24">
        <f t="shared" si="25"/>
        <v>0.1</v>
      </c>
      <c r="K203" s="327">
        <f t="shared" si="32"/>
        <v>200000</v>
      </c>
      <c r="L203" s="56">
        <f t="shared" si="33"/>
        <v>3456000</v>
      </c>
      <c r="M203" s="56">
        <f t="shared" si="34"/>
        <v>4785381.2882989179</v>
      </c>
      <c r="N203" s="11">
        <f>IF(COUNTIF(InputOutputData!K$20,"Chlorine") = 1,'More accurate Energy (Solar)'!M203,L203+K203+I203)</f>
        <v>4785381.2882989179</v>
      </c>
    </row>
    <row r="204" spans="1:14" ht="14.45">
      <c r="A204" s="24">
        <f>IF(InputOutputData!$E$36=1,'Rainfall Data'!C192,IF(InputOutputData!$E$36=2,'Rainfall Data'!D191,IF(InputOutputData!$E$36=3,'Rainfall Data'!E191,'Rainfall Data'!F191)))</f>
        <v>0</v>
      </c>
      <c r="B204" s="24">
        <f t="shared" si="26"/>
        <v>0</v>
      </c>
      <c r="C204" s="24">
        <f t="shared" si="27"/>
        <v>0</v>
      </c>
      <c r="D204" s="24">
        <f t="shared" si="35"/>
        <v>189</v>
      </c>
      <c r="E204" s="24">
        <f t="shared" si="28"/>
        <v>11.532000000000023</v>
      </c>
      <c r="F204" s="24">
        <f t="shared" si="24"/>
        <v>0</v>
      </c>
      <c r="G204" s="24">
        <f t="shared" si="29"/>
        <v>0</v>
      </c>
      <c r="H204" s="24">
        <f t="shared" si="30"/>
        <v>0</v>
      </c>
      <c r="I204" s="24">
        <f t="shared" si="31"/>
        <v>0</v>
      </c>
      <c r="J204" s="24">
        <f t="shared" si="25"/>
        <v>0</v>
      </c>
      <c r="K204" s="327">
        <f t="shared" si="32"/>
        <v>0</v>
      </c>
      <c r="L204" s="56">
        <f t="shared" si="33"/>
        <v>3456000</v>
      </c>
      <c r="M204" s="56">
        <f t="shared" si="34"/>
        <v>3456000</v>
      </c>
      <c r="N204" s="11">
        <f>IF(COUNTIF(InputOutputData!K$20,"Chlorine") = 1,'More accurate Energy (Solar)'!M204,L204+K204+I204)</f>
        <v>3456000</v>
      </c>
    </row>
    <row r="205" spans="1:14" ht="14.45">
      <c r="A205" s="24">
        <f>IF(InputOutputData!$E$36=1,'Rainfall Data'!C193,IF(InputOutputData!$E$36=2,'Rainfall Data'!D192,IF(InputOutputData!$E$36=3,'Rainfall Data'!E192,'Rainfall Data'!F192)))</f>
        <v>1</v>
      </c>
      <c r="B205" s="24">
        <f t="shared" si="26"/>
        <v>6.9444444444444448E-2</v>
      </c>
      <c r="C205" s="24">
        <f t="shared" si="27"/>
        <v>0.1</v>
      </c>
      <c r="D205" s="24">
        <f t="shared" si="35"/>
        <v>190</v>
      </c>
      <c r="E205" s="24">
        <f t="shared" si="28"/>
        <v>11.200000000000022</v>
      </c>
      <c r="F205" s="24">
        <f t="shared" si="24"/>
        <v>21091.5</v>
      </c>
      <c r="G205" s="24">
        <f t="shared" si="29"/>
        <v>1.3339887795726455E-2</v>
      </c>
      <c r="H205" s="24">
        <f t="shared" si="30"/>
        <v>2523046.6470246203</v>
      </c>
      <c r="I205" s="24">
        <f t="shared" si="31"/>
        <v>2742442.007635457</v>
      </c>
      <c r="J205" s="24">
        <f t="shared" si="25"/>
        <v>0.5</v>
      </c>
      <c r="K205" s="327">
        <f t="shared" si="32"/>
        <v>1000000</v>
      </c>
      <c r="L205" s="56">
        <f t="shared" si="33"/>
        <v>3456000</v>
      </c>
      <c r="M205" s="56">
        <f t="shared" si="34"/>
        <v>6198442.0076354574</v>
      </c>
      <c r="N205" s="11">
        <f>IF(COUNTIF(InputOutputData!K$20,"Chlorine") = 1,'More accurate Energy (Solar)'!M205,L205+K205+I205)</f>
        <v>6198442.0076354574</v>
      </c>
    </row>
    <row r="206" spans="1:14" ht="14.45">
      <c r="A206" s="24">
        <f>IF(InputOutputData!$E$36=1,'Rainfall Data'!C194,IF(InputOutputData!$E$36=2,'Rainfall Data'!D193,IF(InputOutputData!$E$36=3,'Rainfall Data'!E193,'Rainfall Data'!F193)))</f>
        <v>1.2</v>
      </c>
      <c r="B206" s="24">
        <f t="shared" si="26"/>
        <v>8.3333333333333329E-2</v>
      </c>
      <c r="C206" s="24">
        <f t="shared" si="27"/>
        <v>0.12</v>
      </c>
      <c r="D206" s="24">
        <f t="shared" si="35"/>
        <v>191</v>
      </c>
      <c r="E206" s="24">
        <f t="shared" si="28"/>
        <v>10.888000000000023</v>
      </c>
      <c r="F206" s="24">
        <f t="shared" si="24"/>
        <v>25309.8</v>
      </c>
      <c r="G206" s="24">
        <f t="shared" si="29"/>
        <v>1.4747350940040569E-2</v>
      </c>
      <c r="H206" s="24">
        <f t="shared" si="30"/>
        <v>2738701.4233160731</v>
      </c>
      <c r="I206" s="24">
        <f t="shared" si="31"/>
        <v>2976849.3731696447</v>
      </c>
      <c r="J206" s="24">
        <f t="shared" si="25"/>
        <v>0.6</v>
      </c>
      <c r="K206" s="327">
        <f t="shared" si="32"/>
        <v>1200000</v>
      </c>
      <c r="L206" s="56">
        <f t="shared" si="33"/>
        <v>3456000</v>
      </c>
      <c r="M206" s="56">
        <f t="shared" si="34"/>
        <v>6432849.3731696447</v>
      </c>
      <c r="N206" s="11">
        <f>IF(COUNTIF(InputOutputData!K$20,"Chlorine") = 1,'More accurate Energy (Solar)'!M206,L206+K206+I206)</f>
        <v>6432849.3731696447</v>
      </c>
    </row>
    <row r="207" spans="1:14" ht="14.45">
      <c r="A207" s="24">
        <f>IF(InputOutputData!$E$36=1,'Rainfall Data'!C195,IF(InputOutputData!$E$36=2,'Rainfall Data'!D194,IF(InputOutputData!$E$36=3,'Rainfall Data'!E194,'Rainfall Data'!F194)))</f>
        <v>2.4</v>
      </c>
      <c r="B207" s="24">
        <f t="shared" si="26"/>
        <v>0.16666666666666666</v>
      </c>
      <c r="C207" s="24">
        <f t="shared" si="27"/>
        <v>0.24</v>
      </c>
      <c r="D207" s="24">
        <f t="shared" si="35"/>
        <v>192</v>
      </c>
      <c r="E207" s="24">
        <f t="shared" si="28"/>
        <v>10.696000000000023</v>
      </c>
      <c r="F207" s="24">
        <f t="shared" si="24"/>
        <v>50619.6</v>
      </c>
      <c r="G207" s="24">
        <f t="shared" si="29"/>
        <v>2.1595011316909298E-2</v>
      </c>
      <c r="H207" s="24">
        <f t="shared" si="30"/>
        <v>3740548.2606073665</v>
      </c>
      <c r="I207" s="24">
        <f t="shared" si="31"/>
        <v>4065813.3267471371</v>
      </c>
      <c r="J207" s="24">
        <f t="shared" si="25"/>
        <v>1.2</v>
      </c>
      <c r="K207" s="327">
        <f t="shared" si="32"/>
        <v>2400000</v>
      </c>
      <c r="L207" s="56">
        <f t="shared" si="33"/>
        <v>3456000</v>
      </c>
      <c r="M207" s="56">
        <f t="shared" si="34"/>
        <v>7521813.3267471371</v>
      </c>
      <c r="N207" s="11">
        <f>IF(COUNTIF(InputOutputData!K$20,"Chlorine") = 1,'More accurate Energy (Solar)'!M207,L207+K207+I207)</f>
        <v>7521813.3267471371</v>
      </c>
    </row>
    <row r="208" spans="1:14" ht="14.45">
      <c r="A208" s="24">
        <f>IF(InputOutputData!$E$36=1,'Rainfall Data'!C196,IF(InputOutputData!$E$36=2,'Rainfall Data'!D195,IF(InputOutputData!$E$36=3,'Rainfall Data'!E195,'Rainfall Data'!F195)))</f>
        <v>4</v>
      </c>
      <c r="B208" s="24">
        <f t="shared" si="26"/>
        <v>0.27777777777777779</v>
      </c>
      <c r="C208" s="24">
        <f t="shared" si="27"/>
        <v>0.4</v>
      </c>
      <c r="D208" s="24">
        <f t="shared" si="35"/>
        <v>193</v>
      </c>
      <c r="E208" s="24">
        <f t="shared" si="28"/>
        <v>10.664000000000023</v>
      </c>
      <c r="F208" s="24">
        <f t="shared" ref="F208:F271" si="36">C208*$V$1*$V$2*$E$7</f>
        <v>84366</v>
      </c>
      <c r="G208" s="24">
        <f t="shared" si="29"/>
        <v>2.8606682038735863E-2</v>
      </c>
      <c r="H208" s="24">
        <f t="shared" si="30"/>
        <v>4706195.4447031152</v>
      </c>
      <c r="I208" s="24">
        <f t="shared" si="31"/>
        <v>5115429.8311990378</v>
      </c>
      <c r="J208" s="24">
        <f t="shared" ref="J208:J271" si="37">($M$7 / $M$6) * C208</f>
        <v>2</v>
      </c>
      <c r="K208" s="327">
        <f t="shared" si="32"/>
        <v>4000000</v>
      </c>
      <c r="L208" s="56">
        <f t="shared" si="33"/>
        <v>3456000</v>
      </c>
      <c r="M208" s="56">
        <f t="shared" si="34"/>
        <v>8571429.8311990388</v>
      </c>
      <c r="N208" s="11">
        <f>IF(COUNTIF(InputOutputData!K$20,"Chlorine") = 1,'More accurate Energy (Solar)'!M208,L208+K208+I208)</f>
        <v>8571429.8311990388</v>
      </c>
    </row>
    <row r="209" spans="1:14" ht="14.45">
      <c r="A209" s="24">
        <f>IF(InputOutputData!$E$36=1,'Rainfall Data'!C197,IF(InputOutputData!$E$36=2,'Rainfall Data'!D196,IF(InputOutputData!$E$36=3,'Rainfall Data'!E196,'Rainfall Data'!F196)))</f>
        <v>0</v>
      </c>
      <c r="B209" s="24">
        <f t="shared" ref="B209:B272" si="38">C209*100/144</f>
        <v>0</v>
      </c>
      <c r="C209" s="24">
        <f t="shared" ref="C209:C272" si="39">MIN((A209/1000)*$E$3,$E$4)</f>
        <v>0</v>
      </c>
      <c r="D209" s="24">
        <f t="shared" si="35"/>
        <v>194</v>
      </c>
      <c r="E209" s="24">
        <f t="shared" ref="E209:E272" si="40">MAX(MIN(C209 - (IF(D209 &gt; $E$8, $E$2 / 1000,0)) + E208, $E$5),0)</f>
        <v>10.232000000000022</v>
      </c>
      <c r="F209" s="24">
        <f t="shared" si="36"/>
        <v>0</v>
      </c>
      <c r="G209" s="24">
        <f t="shared" ref="G209:G272" si="41">1.2*$V$8*(EXP(B209/$M$3)-1-(1.72*((B209/$M$3)^4)))^($V$9)</f>
        <v>0</v>
      </c>
      <c r="H209" s="24">
        <f t="shared" ref="H209:H272" si="42">IF(C209 = 0,0,$M$2*C209/G209 * 1000)</f>
        <v>0</v>
      </c>
      <c r="I209" s="24">
        <f t="shared" ref="I209:I272" si="43">H209/0.92</f>
        <v>0</v>
      </c>
      <c r="J209" s="24">
        <f t="shared" si="37"/>
        <v>0</v>
      </c>
      <c r="K209" s="327">
        <f t="shared" ref="K209:K272" si="44">$M$8 * 10^6 * J209</f>
        <v>0</v>
      </c>
      <c r="L209" s="56">
        <f t="shared" ref="L209:L272" si="45">$Q$6 * 24 * 3600</f>
        <v>3456000</v>
      </c>
      <c r="M209" s="56">
        <f t="shared" ref="M209:M272" si="46">L209+I209</f>
        <v>3456000</v>
      </c>
      <c r="N209" s="11">
        <f>IF(COUNTIF(InputOutputData!K$20,"Chlorine") = 1,'More accurate Energy (Solar)'!M209,L209+K209+I209)</f>
        <v>3456000</v>
      </c>
    </row>
    <row r="210" spans="1:14" ht="14.45">
      <c r="A210" s="24">
        <f>IF(InputOutputData!$E$36=1,'Rainfall Data'!C198,IF(InputOutputData!$E$36=2,'Rainfall Data'!D197,IF(InputOutputData!$E$36=3,'Rainfall Data'!E197,'Rainfall Data'!F197)))</f>
        <v>0</v>
      </c>
      <c r="B210" s="24">
        <f t="shared" si="38"/>
        <v>0</v>
      </c>
      <c r="C210" s="24">
        <f t="shared" si="39"/>
        <v>0</v>
      </c>
      <c r="D210" s="24">
        <f t="shared" ref="D210:D273" si="47">D209+1</f>
        <v>195</v>
      </c>
      <c r="E210" s="24">
        <f t="shared" si="40"/>
        <v>9.800000000000022</v>
      </c>
      <c r="F210" s="24">
        <f t="shared" si="36"/>
        <v>0</v>
      </c>
      <c r="G210" s="24">
        <f t="shared" si="41"/>
        <v>0</v>
      </c>
      <c r="H210" s="24">
        <f t="shared" si="42"/>
        <v>0</v>
      </c>
      <c r="I210" s="24">
        <f t="shared" si="43"/>
        <v>0</v>
      </c>
      <c r="J210" s="24">
        <f t="shared" si="37"/>
        <v>0</v>
      </c>
      <c r="K210" s="327">
        <f t="shared" si="44"/>
        <v>0</v>
      </c>
      <c r="L210" s="56">
        <f t="shared" si="45"/>
        <v>3456000</v>
      </c>
      <c r="M210" s="56">
        <f t="shared" si="46"/>
        <v>3456000</v>
      </c>
      <c r="N210" s="11">
        <f>IF(COUNTIF(InputOutputData!K$20,"Chlorine") = 1,'More accurate Energy (Solar)'!M210,L210+K210+I210)</f>
        <v>3456000</v>
      </c>
    </row>
    <row r="211" spans="1:14" ht="14.45">
      <c r="A211" s="24">
        <f>IF(InputOutputData!$E$36=1,'Rainfall Data'!C199,IF(InputOutputData!$E$36=2,'Rainfall Data'!D198,IF(InputOutputData!$E$36=3,'Rainfall Data'!E198,'Rainfall Data'!F198)))</f>
        <v>0</v>
      </c>
      <c r="B211" s="24">
        <f t="shared" si="38"/>
        <v>0</v>
      </c>
      <c r="C211" s="24">
        <f t="shared" si="39"/>
        <v>0</v>
      </c>
      <c r="D211" s="24">
        <f t="shared" si="47"/>
        <v>196</v>
      </c>
      <c r="E211" s="24">
        <f t="shared" si="40"/>
        <v>9.3680000000000216</v>
      </c>
      <c r="F211" s="24">
        <f t="shared" si="36"/>
        <v>0</v>
      </c>
      <c r="G211" s="24">
        <f t="shared" si="41"/>
        <v>0</v>
      </c>
      <c r="H211" s="24">
        <f t="shared" si="42"/>
        <v>0</v>
      </c>
      <c r="I211" s="24">
        <f t="shared" si="43"/>
        <v>0</v>
      </c>
      <c r="J211" s="24">
        <f t="shared" si="37"/>
        <v>0</v>
      </c>
      <c r="K211" s="327">
        <f t="shared" si="44"/>
        <v>0</v>
      </c>
      <c r="L211" s="56">
        <f t="shared" si="45"/>
        <v>3456000</v>
      </c>
      <c r="M211" s="56">
        <f t="shared" si="46"/>
        <v>3456000</v>
      </c>
      <c r="N211" s="11">
        <f>IF(COUNTIF(InputOutputData!K$20,"Chlorine") = 1,'More accurate Energy (Solar)'!M211,L211+K211+I211)</f>
        <v>3456000</v>
      </c>
    </row>
    <row r="212" spans="1:14" ht="14.45">
      <c r="A212" s="24">
        <f>IF(InputOutputData!$E$36=1,'Rainfall Data'!C200,IF(InputOutputData!$E$36=2,'Rainfall Data'!D199,IF(InputOutputData!$E$36=3,'Rainfall Data'!E199,'Rainfall Data'!F199)))</f>
        <v>0</v>
      </c>
      <c r="B212" s="24">
        <f t="shared" si="38"/>
        <v>0</v>
      </c>
      <c r="C212" s="24">
        <f t="shared" si="39"/>
        <v>0</v>
      </c>
      <c r="D212" s="24">
        <f t="shared" si="47"/>
        <v>197</v>
      </c>
      <c r="E212" s="24">
        <f t="shared" si="40"/>
        <v>8.9360000000000213</v>
      </c>
      <c r="F212" s="24">
        <f t="shared" si="36"/>
        <v>0</v>
      </c>
      <c r="G212" s="24">
        <f t="shared" si="41"/>
        <v>0</v>
      </c>
      <c r="H212" s="24">
        <f t="shared" si="42"/>
        <v>0</v>
      </c>
      <c r="I212" s="24">
        <f t="shared" si="43"/>
        <v>0</v>
      </c>
      <c r="J212" s="24">
        <f t="shared" si="37"/>
        <v>0</v>
      </c>
      <c r="K212" s="327">
        <f t="shared" si="44"/>
        <v>0</v>
      </c>
      <c r="L212" s="56">
        <f t="shared" si="45"/>
        <v>3456000</v>
      </c>
      <c r="M212" s="56">
        <f t="shared" si="46"/>
        <v>3456000</v>
      </c>
      <c r="N212" s="11">
        <f>IF(COUNTIF(InputOutputData!K$20,"Chlorine") = 1,'More accurate Energy (Solar)'!M212,L212+K212+I212)</f>
        <v>3456000</v>
      </c>
    </row>
    <row r="213" spans="1:14" ht="14.45">
      <c r="A213" s="24">
        <f>IF(InputOutputData!$E$36=1,'Rainfall Data'!C201,IF(InputOutputData!$E$36=2,'Rainfall Data'!D200,IF(InputOutputData!$E$36=3,'Rainfall Data'!E200,'Rainfall Data'!F200)))</f>
        <v>0</v>
      </c>
      <c r="B213" s="24">
        <f t="shared" si="38"/>
        <v>0</v>
      </c>
      <c r="C213" s="24">
        <f t="shared" si="39"/>
        <v>0</v>
      </c>
      <c r="D213" s="24">
        <f t="shared" si="47"/>
        <v>198</v>
      </c>
      <c r="E213" s="24">
        <f t="shared" si="40"/>
        <v>8.5040000000000209</v>
      </c>
      <c r="F213" s="24">
        <f t="shared" si="36"/>
        <v>0</v>
      </c>
      <c r="G213" s="24">
        <f t="shared" si="41"/>
        <v>0</v>
      </c>
      <c r="H213" s="24">
        <f t="shared" si="42"/>
        <v>0</v>
      </c>
      <c r="I213" s="24">
        <f t="shared" si="43"/>
        <v>0</v>
      </c>
      <c r="J213" s="24">
        <f t="shared" si="37"/>
        <v>0</v>
      </c>
      <c r="K213" s="327">
        <f t="shared" si="44"/>
        <v>0</v>
      </c>
      <c r="L213" s="56">
        <f t="shared" si="45"/>
        <v>3456000</v>
      </c>
      <c r="M213" s="56">
        <f t="shared" si="46"/>
        <v>3456000</v>
      </c>
      <c r="N213" s="11">
        <f>IF(COUNTIF(InputOutputData!K$20,"Chlorine") = 1,'More accurate Energy (Solar)'!M213,L213+K213+I213)</f>
        <v>3456000</v>
      </c>
    </row>
    <row r="214" spans="1:14" ht="14.45">
      <c r="A214" s="24">
        <f>IF(InputOutputData!$E$36=1,'Rainfall Data'!C202,IF(InputOutputData!$E$36=2,'Rainfall Data'!D201,IF(InputOutputData!$E$36=3,'Rainfall Data'!E201,'Rainfall Data'!F201)))</f>
        <v>0</v>
      </c>
      <c r="B214" s="24">
        <f t="shared" si="38"/>
        <v>0</v>
      </c>
      <c r="C214" s="24">
        <f t="shared" si="39"/>
        <v>0</v>
      </c>
      <c r="D214" s="24">
        <f t="shared" si="47"/>
        <v>199</v>
      </c>
      <c r="E214" s="24">
        <f t="shared" si="40"/>
        <v>8.0720000000000205</v>
      </c>
      <c r="F214" s="24">
        <f t="shared" si="36"/>
        <v>0</v>
      </c>
      <c r="G214" s="24">
        <f t="shared" si="41"/>
        <v>0</v>
      </c>
      <c r="H214" s="24">
        <f t="shared" si="42"/>
        <v>0</v>
      </c>
      <c r="I214" s="24">
        <f t="shared" si="43"/>
        <v>0</v>
      </c>
      <c r="J214" s="24">
        <f t="shared" si="37"/>
        <v>0</v>
      </c>
      <c r="K214" s="327">
        <f t="shared" si="44"/>
        <v>0</v>
      </c>
      <c r="L214" s="56">
        <f t="shared" si="45"/>
        <v>3456000</v>
      </c>
      <c r="M214" s="56">
        <f t="shared" si="46"/>
        <v>3456000</v>
      </c>
      <c r="N214" s="11">
        <f>IF(COUNTIF(InputOutputData!K$20,"Chlorine") = 1,'More accurate Energy (Solar)'!M214,L214+K214+I214)</f>
        <v>3456000</v>
      </c>
    </row>
    <row r="215" spans="1:14" ht="14.45">
      <c r="A215" s="24">
        <f>IF(InputOutputData!$E$36=1,'Rainfall Data'!C203,IF(InputOutputData!$E$36=2,'Rainfall Data'!D202,IF(InputOutputData!$E$36=3,'Rainfall Data'!E202,'Rainfall Data'!F202)))</f>
        <v>0</v>
      </c>
      <c r="B215" s="24">
        <f t="shared" si="38"/>
        <v>0</v>
      </c>
      <c r="C215" s="24">
        <f t="shared" si="39"/>
        <v>0</v>
      </c>
      <c r="D215" s="24">
        <f t="shared" si="47"/>
        <v>200</v>
      </c>
      <c r="E215" s="24">
        <f t="shared" si="40"/>
        <v>7.6400000000000201</v>
      </c>
      <c r="F215" s="24">
        <f t="shared" si="36"/>
        <v>0</v>
      </c>
      <c r="G215" s="24">
        <f t="shared" si="41"/>
        <v>0</v>
      </c>
      <c r="H215" s="24">
        <f t="shared" si="42"/>
        <v>0</v>
      </c>
      <c r="I215" s="24">
        <f t="shared" si="43"/>
        <v>0</v>
      </c>
      <c r="J215" s="24">
        <f t="shared" si="37"/>
        <v>0</v>
      </c>
      <c r="K215" s="327">
        <f t="shared" si="44"/>
        <v>0</v>
      </c>
      <c r="L215" s="56">
        <f t="shared" si="45"/>
        <v>3456000</v>
      </c>
      <c r="M215" s="56">
        <f t="shared" si="46"/>
        <v>3456000</v>
      </c>
      <c r="N215" s="11">
        <f>IF(COUNTIF(InputOutputData!K$20,"Chlorine") = 1,'More accurate Energy (Solar)'!M215,L215+K215+I215)</f>
        <v>3456000</v>
      </c>
    </row>
    <row r="216" spans="1:14" ht="14.45">
      <c r="A216" s="24">
        <f>IF(InputOutputData!$E$36=1,'Rainfall Data'!C204,IF(InputOutputData!$E$36=2,'Rainfall Data'!D203,IF(InputOutputData!$E$36=3,'Rainfall Data'!E203,'Rainfall Data'!F203)))</f>
        <v>0.6</v>
      </c>
      <c r="B216" s="24">
        <f t="shared" si="38"/>
        <v>4.1666666666666664E-2</v>
      </c>
      <c r="C216" s="24">
        <f t="shared" si="39"/>
        <v>0.06</v>
      </c>
      <c r="D216" s="24">
        <f t="shared" si="47"/>
        <v>201</v>
      </c>
      <c r="E216" s="24">
        <f t="shared" si="40"/>
        <v>7.2680000000000202</v>
      </c>
      <c r="F216" s="24">
        <f t="shared" si="36"/>
        <v>12654.9</v>
      </c>
      <c r="G216" s="24">
        <f t="shared" si="41"/>
        <v>1.0071891960946849E-2</v>
      </c>
      <c r="H216" s="24">
        <f t="shared" si="42"/>
        <v>2005015.1037280308</v>
      </c>
      <c r="I216" s="24">
        <f t="shared" si="43"/>
        <v>2179364.2431826419</v>
      </c>
      <c r="J216" s="24">
        <f t="shared" si="37"/>
        <v>0.3</v>
      </c>
      <c r="K216" s="327">
        <f t="shared" si="44"/>
        <v>600000</v>
      </c>
      <c r="L216" s="56">
        <f t="shared" si="45"/>
        <v>3456000</v>
      </c>
      <c r="M216" s="56">
        <f t="shared" si="46"/>
        <v>5635364.2431826424</v>
      </c>
      <c r="N216" s="11">
        <f>IF(COUNTIF(InputOutputData!K$20,"Chlorine") = 1,'More accurate Energy (Solar)'!M216,L216+K216+I216)</f>
        <v>5635364.2431826424</v>
      </c>
    </row>
    <row r="217" spans="1:14" ht="14.45">
      <c r="A217" s="24">
        <f>IF(InputOutputData!$E$36=1,'Rainfall Data'!C205,IF(InputOutputData!$E$36=2,'Rainfall Data'!D204,IF(InputOutputData!$E$36=3,'Rainfall Data'!E204,'Rainfall Data'!F204)))</f>
        <v>0</v>
      </c>
      <c r="B217" s="24">
        <f t="shared" si="38"/>
        <v>0</v>
      </c>
      <c r="C217" s="24">
        <f t="shared" si="39"/>
        <v>0</v>
      </c>
      <c r="D217" s="24">
        <f t="shared" si="47"/>
        <v>202</v>
      </c>
      <c r="E217" s="24">
        <f t="shared" si="40"/>
        <v>6.8360000000000198</v>
      </c>
      <c r="F217" s="24">
        <f t="shared" si="36"/>
        <v>0</v>
      </c>
      <c r="G217" s="24">
        <f t="shared" si="41"/>
        <v>0</v>
      </c>
      <c r="H217" s="24">
        <f t="shared" si="42"/>
        <v>0</v>
      </c>
      <c r="I217" s="24">
        <f t="shared" si="43"/>
        <v>0</v>
      </c>
      <c r="J217" s="24">
        <f t="shared" si="37"/>
        <v>0</v>
      </c>
      <c r="K217" s="327">
        <f t="shared" si="44"/>
        <v>0</v>
      </c>
      <c r="L217" s="56">
        <f t="shared" si="45"/>
        <v>3456000</v>
      </c>
      <c r="M217" s="56">
        <f t="shared" si="46"/>
        <v>3456000</v>
      </c>
      <c r="N217" s="11">
        <f>IF(COUNTIF(InputOutputData!K$20,"Chlorine") = 1,'More accurate Energy (Solar)'!M217,L217+K217+I217)</f>
        <v>3456000</v>
      </c>
    </row>
    <row r="218" spans="1:14" ht="14.45">
      <c r="A218" s="24">
        <f>IF(InputOutputData!$E$36=1,'Rainfall Data'!C206,IF(InputOutputData!$E$36=2,'Rainfall Data'!D205,IF(InputOutputData!$E$36=3,'Rainfall Data'!E205,'Rainfall Data'!F205)))</f>
        <v>0</v>
      </c>
      <c r="B218" s="24">
        <f t="shared" si="38"/>
        <v>0</v>
      </c>
      <c r="C218" s="24">
        <f t="shared" si="39"/>
        <v>0</v>
      </c>
      <c r="D218" s="24">
        <f t="shared" si="47"/>
        <v>203</v>
      </c>
      <c r="E218" s="24">
        <f t="shared" si="40"/>
        <v>6.4040000000000195</v>
      </c>
      <c r="F218" s="24">
        <f t="shared" si="36"/>
        <v>0</v>
      </c>
      <c r="G218" s="24">
        <f t="shared" si="41"/>
        <v>0</v>
      </c>
      <c r="H218" s="24">
        <f t="shared" si="42"/>
        <v>0</v>
      </c>
      <c r="I218" s="24">
        <f t="shared" si="43"/>
        <v>0</v>
      </c>
      <c r="J218" s="24">
        <f t="shared" si="37"/>
        <v>0</v>
      </c>
      <c r="K218" s="327">
        <f t="shared" si="44"/>
        <v>0</v>
      </c>
      <c r="L218" s="56">
        <f t="shared" si="45"/>
        <v>3456000</v>
      </c>
      <c r="M218" s="56">
        <f t="shared" si="46"/>
        <v>3456000</v>
      </c>
      <c r="N218" s="11">
        <f>IF(COUNTIF(InputOutputData!K$20,"Chlorine") = 1,'More accurate Energy (Solar)'!M218,L218+K218+I218)</f>
        <v>3456000</v>
      </c>
    </row>
    <row r="219" spans="1:14" ht="14.45">
      <c r="A219" s="24">
        <f>IF(InputOutputData!$E$36=1,'Rainfall Data'!C207,IF(InputOutputData!$E$36=2,'Rainfall Data'!D206,IF(InputOutputData!$E$36=3,'Rainfall Data'!E206,'Rainfall Data'!F206)))</f>
        <v>8.4</v>
      </c>
      <c r="B219" s="24">
        <f t="shared" si="38"/>
        <v>0.58333333333333348</v>
      </c>
      <c r="C219" s="24">
        <f t="shared" si="39"/>
        <v>0.84000000000000008</v>
      </c>
      <c r="D219" s="24">
        <f t="shared" si="47"/>
        <v>204</v>
      </c>
      <c r="E219" s="24">
        <f t="shared" si="40"/>
        <v>6.8120000000000198</v>
      </c>
      <c r="F219" s="24">
        <f t="shared" si="36"/>
        <v>177168.60000000003</v>
      </c>
      <c r="G219" s="24">
        <f t="shared" si="41"/>
        <v>4.3048255778827801E-2</v>
      </c>
      <c r="H219" s="24">
        <f t="shared" si="42"/>
        <v>6567516.6613013847</v>
      </c>
      <c r="I219" s="24">
        <f t="shared" si="43"/>
        <v>7138605.0666319393</v>
      </c>
      <c r="J219" s="24">
        <f t="shared" si="37"/>
        <v>4.2</v>
      </c>
      <c r="K219" s="327">
        <f t="shared" si="44"/>
        <v>8400000</v>
      </c>
      <c r="L219" s="56">
        <f t="shared" si="45"/>
        <v>3456000</v>
      </c>
      <c r="M219" s="56">
        <f t="shared" si="46"/>
        <v>10594605.066631939</v>
      </c>
      <c r="N219" s="11">
        <f>IF(COUNTIF(InputOutputData!K$20,"Chlorine") = 1,'More accurate Energy (Solar)'!M219,L219+K219+I219)</f>
        <v>10594605.066631939</v>
      </c>
    </row>
    <row r="220" spans="1:14" ht="14.45">
      <c r="A220" s="24">
        <f>IF(InputOutputData!$E$36=1,'Rainfall Data'!C208,IF(InputOutputData!$E$36=2,'Rainfall Data'!D207,IF(InputOutputData!$E$36=3,'Rainfall Data'!E207,'Rainfall Data'!F207)))</f>
        <v>4</v>
      </c>
      <c r="B220" s="24">
        <f t="shared" si="38"/>
        <v>0.27777777777777779</v>
      </c>
      <c r="C220" s="24">
        <f t="shared" si="39"/>
        <v>0.4</v>
      </c>
      <c r="D220" s="24">
        <f t="shared" si="47"/>
        <v>205</v>
      </c>
      <c r="E220" s="24">
        <f t="shared" si="40"/>
        <v>6.7800000000000198</v>
      </c>
      <c r="F220" s="24">
        <f t="shared" si="36"/>
        <v>84366</v>
      </c>
      <c r="G220" s="24">
        <f t="shared" si="41"/>
        <v>2.8606682038735863E-2</v>
      </c>
      <c r="H220" s="24">
        <f t="shared" si="42"/>
        <v>4706195.4447031152</v>
      </c>
      <c r="I220" s="24">
        <f t="shared" si="43"/>
        <v>5115429.8311990378</v>
      </c>
      <c r="J220" s="24">
        <f t="shared" si="37"/>
        <v>2</v>
      </c>
      <c r="K220" s="327">
        <f t="shared" si="44"/>
        <v>4000000</v>
      </c>
      <c r="L220" s="56">
        <f t="shared" si="45"/>
        <v>3456000</v>
      </c>
      <c r="M220" s="56">
        <f t="shared" si="46"/>
        <v>8571429.8311990388</v>
      </c>
      <c r="N220" s="11">
        <f>IF(COUNTIF(InputOutputData!K$20,"Chlorine") = 1,'More accurate Energy (Solar)'!M220,L220+K220+I220)</f>
        <v>8571429.8311990388</v>
      </c>
    </row>
    <row r="221" spans="1:14" ht="14.45">
      <c r="A221" s="24">
        <f>IF(InputOutputData!$E$36=1,'Rainfall Data'!C209,IF(InputOutputData!$E$36=2,'Rainfall Data'!D208,IF(InputOutputData!$E$36=3,'Rainfall Data'!E208,'Rainfall Data'!F208)))</f>
        <v>4.2</v>
      </c>
      <c r="B221" s="24">
        <f t="shared" si="38"/>
        <v>0.29166666666666674</v>
      </c>
      <c r="C221" s="24">
        <f t="shared" si="39"/>
        <v>0.42000000000000004</v>
      </c>
      <c r="D221" s="24">
        <f t="shared" si="47"/>
        <v>206</v>
      </c>
      <c r="E221" s="24">
        <f t="shared" si="40"/>
        <v>6.7680000000000202</v>
      </c>
      <c r="F221" s="24">
        <f t="shared" si="36"/>
        <v>88584.300000000017</v>
      </c>
      <c r="G221" s="24">
        <f t="shared" si="41"/>
        <v>2.938554563262399E-2</v>
      </c>
      <c r="H221" s="24">
        <f t="shared" si="42"/>
        <v>4810530.6704521049</v>
      </c>
      <c r="I221" s="24">
        <f t="shared" si="43"/>
        <v>5228837.6852740264</v>
      </c>
      <c r="J221" s="24">
        <f t="shared" si="37"/>
        <v>2.1</v>
      </c>
      <c r="K221" s="327">
        <f t="shared" si="44"/>
        <v>4200000</v>
      </c>
      <c r="L221" s="56">
        <f t="shared" si="45"/>
        <v>3456000</v>
      </c>
      <c r="M221" s="56">
        <f t="shared" si="46"/>
        <v>8684837.6852740273</v>
      </c>
      <c r="N221" s="11">
        <f>IF(COUNTIF(InputOutputData!K$20,"Chlorine") = 1,'More accurate Energy (Solar)'!M221,L221+K221+I221)</f>
        <v>8684837.6852740273</v>
      </c>
    </row>
    <row r="222" spans="1:14" ht="14.45">
      <c r="A222" s="24">
        <f>IF(InputOutputData!$E$36=1,'Rainfall Data'!C210,IF(InputOutputData!$E$36=2,'Rainfall Data'!D209,IF(InputOutputData!$E$36=3,'Rainfall Data'!E209,'Rainfall Data'!F209)))</f>
        <v>0</v>
      </c>
      <c r="B222" s="24">
        <f t="shared" si="38"/>
        <v>0</v>
      </c>
      <c r="C222" s="24">
        <f t="shared" si="39"/>
        <v>0</v>
      </c>
      <c r="D222" s="24">
        <f t="shared" si="47"/>
        <v>207</v>
      </c>
      <c r="E222" s="24">
        <f t="shared" si="40"/>
        <v>6.3360000000000198</v>
      </c>
      <c r="F222" s="24">
        <f t="shared" si="36"/>
        <v>0</v>
      </c>
      <c r="G222" s="24">
        <f t="shared" si="41"/>
        <v>0</v>
      </c>
      <c r="H222" s="24">
        <f t="shared" si="42"/>
        <v>0</v>
      </c>
      <c r="I222" s="24">
        <f t="shared" si="43"/>
        <v>0</v>
      </c>
      <c r="J222" s="24">
        <f t="shared" si="37"/>
        <v>0</v>
      </c>
      <c r="K222" s="327">
        <f t="shared" si="44"/>
        <v>0</v>
      </c>
      <c r="L222" s="56">
        <f t="shared" si="45"/>
        <v>3456000</v>
      </c>
      <c r="M222" s="56">
        <f t="shared" si="46"/>
        <v>3456000</v>
      </c>
      <c r="N222" s="11">
        <f>IF(COUNTIF(InputOutputData!K$20,"Chlorine") = 1,'More accurate Energy (Solar)'!M222,L222+K222+I222)</f>
        <v>3456000</v>
      </c>
    </row>
    <row r="223" spans="1:14" ht="14.45">
      <c r="A223" s="24">
        <f>IF(InputOutputData!$E$36=1,'Rainfall Data'!C211,IF(InputOutputData!$E$36=2,'Rainfall Data'!D210,IF(InputOutputData!$E$36=3,'Rainfall Data'!E210,'Rainfall Data'!F210)))</f>
        <v>0</v>
      </c>
      <c r="B223" s="24">
        <f t="shared" si="38"/>
        <v>0</v>
      </c>
      <c r="C223" s="24">
        <f t="shared" si="39"/>
        <v>0</v>
      </c>
      <c r="D223" s="24">
        <f t="shared" si="47"/>
        <v>208</v>
      </c>
      <c r="E223" s="24">
        <f t="shared" si="40"/>
        <v>5.9040000000000195</v>
      </c>
      <c r="F223" s="24">
        <f t="shared" si="36"/>
        <v>0</v>
      </c>
      <c r="G223" s="24">
        <f t="shared" si="41"/>
        <v>0</v>
      </c>
      <c r="H223" s="24">
        <f t="shared" si="42"/>
        <v>0</v>
      </c>
      <c r="I223" s="24">
        <f t="shared" si="43"/>
        <v>0</v>
      </c>
      <c r="J223" s="24">
        <f t="shared" si="37"/>
        <v>0</v>
      </c>
      <c r="K223" s="327">
        <f t="shared" si="44"/>
        <v>0</v>
      </c>
      <c r="L223" s="56">
        <f t="shared" si="45"/>
        <v>3456000</v>
      </c>
      <c r="M223" s="56">
        <f t="shared" si="46"/>
        <v>3456000</v>
      </c>
      <c r="N223" s="11">
        <f>IF(COUNTIF(InputOutputData!K$20,"Chlorine") = 1,'More accurate Energy (Solar)'!M223,L223+K223+I223)</f>
        <v>3456000</v>
      </c>
    </row>
    <row r="224" spans="1:14" ht="14.45">
      <c r="A224" s="24">
        <f>IF(InputOutputData!$E$36=1,'Rainfall Data'!C212,IF(InputOutputData!$E$36=2,'Rainfall Data'!D211,IF(InputOutputData!$E$36=3,'Rainfall Data'!E211,'Rainfall Data'!F211)))</f>
        <v>0</v>
      </c>
      <c r="B224" s="24">
        <f t="shared" si="38"/>
        <v>0</v>
      </c>
      <c r="C224" s="24">
        <f t="shared" si="39"/>
        <v>0</v>
      </c>
      <c r="D224" s="24">
        <f t="shared" si="47"/>
        <v>209</v>
      </c>
      <c r="E224" s="24">
        <f t="shared" si="40"/>
        <v>5.4720000000000191</v>
      </c>
      <c r="F224" s="24">
        <f t="shared" si="36"/>
        <v>0</v>
      </c>
      <c r="G224" s="24">
        <f t="shared" si="41"/>
        <v>0</v>
      </c>
      <c r="H224" s="24">
        <f t="shared" si="42"/>
        <v>0</v>
      </c>
      <c r="I224" s="24">
        <f t="shared" si="43"/>
        <v>0</v>
      </c>
      <c r="J224" s="24">
        <f t="shared" si="37"/>
        <v>0</v>
      </c>
      <c r="K224" s="327">
        <f t="shared" si="44"/>
        <v>0</v>
      </c>
      <c r="L224" s="56">
        <f t="shared" si="45"/>
        <v>3456000</v>
      </c>
      <c r="M224" s="56">
        <f t="shared" si="46"/>
        <v>3456000</v>
      </c>
      <c r="N224" s="11">
        <f>IF(COUNTIF(InputOutputData!K$20,"Chlorine") = 1,'More accurate Energy (Solar)'!M224,L224+K224+I224)</f>
        <v>3456000</v>
      </c>
    </row>
    <row r="225" spans="1:14" ht="14.45">
      <c r="A225" s="24">
        <f>IF(InputOutputData!$E$36=1,'Rainfall Data'!C213,IF(InputOutputData!$E$36=2,'Rainfall Data'!D212,IF(InputOutputData!$E$36=3,'Rainfall Data'!E212,'Rainfall Data'!F212)))</f>
        <v>0</v>
      </c>
      <c r="B225" s="24">
        <f t="shared" si="38"/>
        <v>0</v>
      </c>
      <c r="C225" s="24">
        <f t="shared" si="39"/>
        <v>0</v>
      </c>
      <c r="D225" s="24">
        <f t="shared" si="47"/>
        <v>210</v>
      </c>
      <c r="E225" s="24">
        <f t="shared" si="40"/>
        <v>5.0400000000000187</v>
      </c>
      <c r="F225" s="24">
        <f t="shared" si="36"/>
        <v>0</v>
      </c>
      <c r="G225" s="24">
        <f t="shared" si="41"/>
        <v>0</v>
      </c>
      <c r="H225" s="24">
        <f t="shared" si="42"/>
        <v>0</v>
      </c>
      <c r="I225" s="24">
        <f t="shared" si="43"/>
        <v>0</v>
      </c>
      <c r="J225" s="24">
        <f t="shared" si="37"/>
        <v>0</v>
      </c>
      <c r="K225" s="327">
        <f t="shared" si="44"/>
        <v>0</v>
      </c>
      <c r="L225" s="56">
        <f t="shared" si="45"/>
        <v>3456000</v>
      </c>
      <c r="M225" s="56">
        <f t="shared" si="46"/>
        <v>3456000</v>
      </c>
      <c r="N225" s="11">
        <f>IF(COUNTIF(InputOutputData!K$20,"Chlorine") = 1,'More accurate Energy (Solar)'!M225,L225+K225+I225)</f>
        <v>3456000</v>
      </c>
    </row>
    <row r="226" spans="1:14" ht="14.45">
      <c r="A226" s="24">
        <f>IF(InputOutputData!$E$36=1,'Rainfall Data'!C214,IF(InputOutputData!$E$36=2,'Rainfall Data'!D213,IF(InputOutputData!$E$36=3,'Rainfall Data'!E213,'Rainfall Data'!F213)))</f>
        <v>0</v>
      </c>
      <c r="B226" s="24">
        <f t="shared" si="38"/>
        <v>0</v>
      </c>
      <c r="C226" s="24">
        <f t="shared" si="39"/>
        <v>0</v>
      </c>
      <c r="D226" s="24">
        <f t="shared" si="47"/>
        <v>211</v>
      </c>
      <c r="E226" s="24">
        <f t="shared" si="40"/>
        <v>4.6080000000000183</v>
      </c>
      <c r="F226" s="24">
        <f t="shared" si="36"/>
        <v>0</v>
      </c>
      <c r="G226" s="24">
        <f t="shared" si="41"/>
        <v>0</v>
      </c>
      <c r="H226" s="24">
        <f t="shared" si="42"/>
        <v>0</v>
      </c>
      <c r="I226" s="24">
        <f t="shared" si="43"/>
        <v>0</v>
      </c>
      <c r="J226" s="24">
        <f t="shared" si="37"/>
        <v>0</v>
      </c>
      <c r="K226" s="327">
        <f t="shared" si="44"/>
        <v>0</v>
      </c>
      <c r="L226" s="56">
        <f t="shared" si="45"/>
        <v>3456000</v>
      </c>
      <c r="M226" s="56">
        <f t="shared" si="46"/>
        <v>3456000</v>
      </c>
      <c r="N226" s="11">
        <f>IF(COUNTIF(InputOutputData!K$20,"Chlorine") = 1,'More accurate Energy (Solar)'!M226,L226+K226+I226)</f>
        <v>3456000</v>
      </c>
    </row>
    <row r="227" spans="1:14" ht="14.45">
      <c r="A227" s="24">
        <f>IF(InputOutputData!$E$36=1,'Rainfall Data'!C215,IF(InputOutputData!$E$36=2,'Rainfall Data'!D214,IF(InputOutputData!$E$36=3,'Rainfall Data'!E214,'Rainfall Data'!F214)))</f>
        <v>0</v>
      </c>
      <c r="B227" s="24">
        <f t="shared" si="38"/>
        <v>0</v>
      </c>
      <c r="C227" s="24">
        <f t="shared" si="39"/>
        <v>0</v>
      </c>
      <c r="D227" s="24">
        <f t="shared" si="47"/>
        <v>212</v>
      </c>
      <c r="E227" s="24">
        <f t="shared" si="40"/>
        <v>4.1760000000000179</v>
      </c>
      <c r="F227" s="24">
        <f t="shared" si="36"/>
        <v>0</v>
      </c>
      <c r="G227" s="24">
        <f t="shared" si="41"/>
        <v>0</v>
      </c>
      <c r="H227" s="24">
        <f t="shared" si="42"/>
        <v>0</v>
      </c>
      <c r="I227" s="24">
        <f t="shared" si="43"/>
        <v>0</v>
      </c>
      <c r="J227" s="24">
        <f t="shared" si="37"/>
        <v>0</v>
      </c>
      <c r="K227" s="327">
        <f t="shared" si="44"/>
        <v>0</v>
      </c>
      <c r="L227" s="56">
        <f t="shared" si="45"/>
        <v>3456000</v>
      </c>
      <c r="M227" s="56">
        <f t="shared" si="46"/>
        <v>3456000</v>
      </c>
      <c r="N227" s="11">
        <f>IF(COUNTIF(InputOutputData!K$20,"Chlorine") = 1,'More accurate Energy (Solar)'!M227,L227+K227+I227)</f>
        <v>3456000</v>
      </c>
    </row>
    <row r="228" spans="1:14" ht="14.45">
      <c r="A228" s="24">
        <f>IF(InputOutputData!$E$36=1,'Rainfall Data'!C216,IF(InputOutputData!$E$36=2,'Rainfall Data'!D215,IF(InputOutputData!$E$36=3,'Rainfall Data'!E215,'Rainfall Data'!F215)))</f>
        <v>0</v>
      </c>
      <c r="B228" s="24">
        <f t="shared" si="38"/>
        <v>0</v>
      </c>
      <c r="C228" s="24">
        <f t="shared" si="39"/>
        <v>0</v>
      </c>
      <c r="D228" s="24">
        <f t="shared" si="47"/>
        <v>213</v>
      </c>
      <c r="E228" s="24">
        <f t="shared" si="40"/>
        <v>3.744000000000018</v>
      </c>
      <c r="F228" s="24">
        <f t="shared" si="36"/>
        <v>0</v>
      </c>
      <c r="G228" s="24">
        <f t="shared" si="41"/>
        <v>0</v>
      </c>
      <c r="H228" s="24">
        <f t="shared" si="42"/>
        <v>0</v>
      </c>
      <c r="I228" s="24">
        <f t="shared" si="43"/>
        <v>0</v>
      </c>
      <c r="J228" s="24">
        <f t="shared" si="37"/>
        <v>0</v>
      </c>
      <c r="K228" s="327">
        <f t="shared" si="44"/>
        <v>0</v>
      </c>
      <c r="L228" s="56">
        <f t="shared" si="45"/>
        <v>3456000</v>
      </c>
      <c r="M228" s="56">
        <f t="shared" si="46"/>
        <v>3456000</v>
      </c>
      <c r="N228" s="11">
        <f>IF(COUNTIF(InputOutputData!K$20,"Chlorine") = 1,'More accurate Energy (Solar)'!M228,L228+K228+I228)</f>
        <v>3456000</v>
      </c>
    </row>
    <row r="229" spans="1:14" ht="14.45">
      <c r="A229" s="24">
        <f>IF(InputOutputData!$E$36=1,'Rainfall Data'!C217,IF(InputOutputData!$E$36=2,'Rainfall Data'!D216,IF(InputOutputData!$E$36=3,'Rainfall Data'!E216,'Rainfall Data'!F216)))</f>
        <v>0</v>
      </c>
      <c r="B229" s="24">
        <f t="shared" si="38"/>
        <v>0</v>
      </c>
      <c r="C229" s="24">
        <f t="shared" si="39"/>
        <v>0</v>
      </c>
      <c r="D229" s="24">
        <f t="shared" si="47"/>
        <v>214</v>
      </c>
      <c r="E229" s="24">
        <f t="shared" si="40"/>
        <v>3.312000000000018</v>
      </c>
      <c r="F229" s="24">
        <f t="shared" si="36"/>
        <v>0</v>
      </c>
      <c r="G229" s="24">
        <f t="shared" si="41"/>
        <v>0</v>
      </c>
      <c r="H229" s="24">
        <f t="shared" si="42"/>
        <v>0</v>
      </c>
      <c r="I229" s="24">
        <f t="shared" si="43"/>
        <v>0</v>
      </c>
      <c r="J229" s="24">
        <f t="shared" si="37"/>
        <v>0</v>
      </c>
      <c r="K229" s="327">
        <f t="shared" si="44"/>
        <v>0</v>
      </c>
      <c r="L229" s="56">
        <f t="shared" si="45"/>
        <v>3456000</v>
      </c>
      <c r="M229" s="56">
        <f t="shared" si="46"/>
        <v>3456000</v>
      </c>
      <c r="N229" s="11">
        <f>IF(COUNTIF(InputOutputData!K$20,"Chlorine") = 1,'More accurate Energy (Solar)'!M229,L229+K229+I229)</f>
        <v>3456000</v>
      </c>
    </row>
    <row r="230" spans="1:14" ht="14.45">
      <c r="A230" s="24">
        <f>IF(InputOutputData!$E$36=1,'Rainfall Data'!C218,IF(InputOutputData!$E$36=2,'Rainfall Data'!D217,IF(InputOutputData!$E$36=3,'Rainfall Data'!E217,'Rainfall Data'!F217)))</f>
        <v>0</v>
      </c>
      <c r="B230" s="24">
        <f t="shared" si="38"/>
        <v>0</v>
      </c>
      <c r="C230" s="24">
        <f t="shared" si="39"/>
        <v>0</v>
      </c>
      <c r="D230" s="24">
        <f t="shared" si="47"/>
        <v>215</v>
      </c>
      <c r="E230" s="24">
        <f t="shared" si="40"/>
        <v>2.8800000000000181</v>
      </c>
      <c r="F230" s="24">
        <f t="shared" si="36"/>
        <v>0</v>
      </c>
      <c r="G230" s="24">
        <f t="shared" si="41"/>
        <v>0</v>
      </c>
      <c r="H230" s="24">
        <f t="shared" si="42"/>
        <v>0</v>
      </c>
      <c r="I230" s="24">
        <f t="shared" si="43"/>
        <v>0</v>
      </c>
      <c r="J230" s="24">
        <f t="shared" si="37"/>
        <v>0</v>
      </c>
      <c r="K230" s="327">
        <f t="shared" si="44"/>
        <v>0</v>
      </c>
      <c r="L230" s="56">
        <f t="shared" si="45"/>
        <v>3456000</v>
      </c>
      <c r="M230" s="56">
        <f t="shared" si="46"/>
        <v>3456000</v>
      </c>
      <c r="N230" s="11">
        <f>IF(COUNTIF(InputOutputData!K$20,"Chlorine") = 1,'More accurate Energy (Solar)'!M230,L230+K230+I230)</f>
        <v>3456000</v>
      </c>
    </row>
    <row r="231" spans="1:14" ht="14.45">
      <c r="A231" s="24">
        <f>IF(InputOutputData!$E$36=1,'Rainfall Data'!C219,IF(InputOutputData!$E$36=2,'Rainfall Data'!D218,IF(InputOutputData!$E$36=3,'Rainfall Data'!E218,'Rainfall Data'!F218)))</f>
        <v>0</v>
      </c>
      <c r="B231" s="24">
        <f t="shared" si="38"/>
        <v>0</v>
      </c>
      <c r="C231" s="24">
        <f t="shared" si="39"/>
        <v>0</v>
      </c>
      <c r="D231" s="24">
        <f t="shared" si="47"/>
        <v>216</v>
      </c>
      <c r="E231" s="24">
        <f t="shared" si="40"/>
        <v>2.4480000000000182</v>
      </c>
      <c r="F231" s="24">
        <f t="shared" si="36"/>
        <v>0</v>
      </c>
      <c r="G231" s="24">
        <f t="shared" si="41"/>
        <v>0</v>
      </c>
      <c r="H231" s="24">
        <f t="shared" si="42"/>
        <v>0</v>
      </c>
      <c r="I231" s="24">
        <f t="shared" si="43"/>
        <v>0</v>
      </c>
      <c r="J231" s="24">
        <f t="shared" si="37"/>
        <v>0</v>
      </c>
      <c r="K231" s="327">
        <f t="shared" si="44"/>
        <v>0</v>
      </c>
      <c r="L231" s="56">
        <f t="shared" si="45"/>
        <v>3456000</v>
      </c>
      <c r="M231" s="56">
        <f t="shared" si="46"/>
        <v>3456000</v>
      </c>
      <c r="N231" s="11">
        <f>IF(COUNTIF(InputOutputData!K$20,"Chlorine") = 1,'More accurate Energy (Solar)'!M231,L231+K231+I231)</f>
        <v>3456000</v>
      </c>
    </row>
    <row r="232" spans="1:14" ht="14.45">
      <c r="A232" s="24">
        <f>IF(InputOutputData!$E$36=1,'Rainfall Data'!C220,IF(InputOutputData!$E$36=2,'Rainfall Data'!D219,IF(InputOutputData!$E$36=3,'Rainfall Data'!E219,'Rainfall Data'!F219)))</f>
        <v>0</v>
      </c>
      <c r="B232" s="24">
        <f t="shared" si="38"/>
        <v>0</v>
      </c>
      <c r="C232" s="24">
        <f t="shared" si="39"/>
        <v>0</v>
      </c>
      <c r="D232" s="24">
        <f t="shared" si="47"/>
        <v>217</v>
      </c>
      <c r="E232" s="24">
        <f t="shared" si="40"/>
        <v>2.0160000000000182</v>
      </c>
      <c r="F232" s="24">
        <f t="shared" si="36"/>
        <v>0</v>
      </c>
      <c r="G232" s="24">
        <f t="shared" si="41"/>
        <v>0</v>
      </c>
      <c r="H232" s="24">
        <f t="shared" si="42"/>
        <v>0</v>
      </c>
      <c r="I232" s="24">
        <f t="shared" si="43"/>
        <v>0</v>
      </c>
      <c r="J232" s="24">
        <f t="shared" si="37"/>
        <v>0</v>
      </c>
      <c r="K232" s="327">
        <f t="shared" si="44"/>
        <v>0</v>
      </c>
      <c r="L232" s="56">
        <f t="shared" si="45"/>
        <v>3456000</v>
      </c>
      <c r="M232" s="56">
        <f t="shared" si="46"/>
        <v>3456000</v>
      </c>
      <c r="N232" s="11">
        <f>IF(COUNTIF(InputOutputData!K$20,"Chlorine") = 1,'More accurate Energy (Solar)'!M232,L232+K232+I232)</f>
        <v>3456000</v>
      </c>
    </row>
    <row r="233" spans="1:14" ht="14.45">
      <c r="A233" s="24">
        <f>IF(InputOutputData!$E$36=1,'Rainfall Data'!C221,IF(InputOutputData!$E$36=2,'Rainfall Data'!D220,IF(InputOutputData!$E$36=3,'Rainfall Data'!E220,'Rainfall Data'!F220)))</f>
        <v>3.2</v>
      </c>
      <c r="B233" s="24">
        <f t="shared" si="38"/>
        <v>0.22222222222222221</v>
      </c>
      <c r="C233" s="24">
        <f t="shared" si="39"/>
        <v>0.32</v>
      </c>
      <c r="D233" s="24">
        <f t="shared" si="47"/>
        <v>218</v>
      </c>
      <c r="E233" s="24">
        <f t="shared" si="40"/>
        <v>1.9040000000000181</v>
      </c>
      <c r="F233" s="24">
        <f t="shared" si="36"/>
        <v>67492.800000000003</v>
      </c>
      <c r="G233" s="24">
        <f t="shared" si="41"/>
        <v>2.5299874105163656E-2</v>
      </c>
      <c r="H233" s="24">
        <f t="shared" si="42"/>
        <v>4257053.1739141475</v>
      </c>
      <c r="I233" s="24">
        <f t="shared" si="43"/>
        <v>4627231.7107762471</v>
      </c>
      <c r="J233" s="24">
        <f t="shared" si="37"/>
        <v>1.6</v>
      </c>
      <c r="K233" s="327">
        <f t="shared" si="44"/>
        <v>3200000</v>
      </c>
      <c r="L233" s="56">
        <f t="shared" si="45"/>
        <v>3456000</v>
      </c>
      <c r="M233" s="56">
        <f t="shared" si="46"/>
        <v>8083231.7107762471</v>
      </c>
      <c r="N233" s="11">
        <f>IF(COUNTIF(InputOutputData!K$20,"Chlorine") = 1,'More accurate Energy (Solar)'!M233,L233+K233+I233)</f>
        <v>8083231.7107762471</v>
      </c>
    </row>
    <row r="234" spans="1:14" ht="14.45">
      <c r="A234" s="24">
        <f>IF(InputOutputData!$E$36=1,'Rainfall Data'!C222,IF(InputOutputData!$E$36=2,'Rainfall Data'!D221,IF(InputOutputData!$E$36=3,'Rainfall Data'!E221,'Rainfall Data'!F221)))</f>
        <v>14.6</v>
      </c>
      <c r="B234" s="24">
        <f t="shared" si="38"/>
        <v>1.0138888888888888</v>
      </c>
      <c r="C234" s="24">
        <f t="shared" si="39"/>
        <v>1.46</v>
      </c>
      <c r="D234" s="24">
        <f t="shared" si="47"/>
        <v>219</v>
      </c>
      <c r="E234" s="24">
        <f t="shared" si="40"/>
        <v>2.9320000000000181</v>
      </c>
      <c r="F234" s="24">
        <f t="shared" si="36"/>
        <v>307935.90000000002</v>
      </c>
      <c r="G234" s="24">
        <f t="shared" si="41"/>
        <v>5.8394637929308296E-2</v>
      </c>
      <c r="H234" s="24">
        <f t="shared" si="42"/>
        <v>8415062.4333929829</v>
      </c>
      <c r="I234" s="24">
        <f t="shared" si="43"/>
        <v>9146806.9928184599</v>
      </c>
      <c r="J234" s="24">
        <f t="shared" si="37"/>
        <v>7.3</v>
      </c>
      <c r="K234" s="327">
        <f t="shared" si="44"/>
        <v>14600000</v>
      </c>
      <c r="L234" s="56">
        <f t="shared" si="45"/>
        <v>3456000</v>
      </c>
      <c r="M234" s="56">
        <f t="shared" si="46"/>
        <v>12602806.99281846</v>
      </c>
      <c r="N234" s="11">
        <f>IF(COUNTIF(InputOutputData!K$20,"Chlorine") = 1,'More accurate Energy (Solar)'!M234,L234+K234+I234)</f>
        <v>12602806.99281846</v>
      </c>
    </row>
    <row r="235" spans="1:14" ht="14.45">
      <c r="A235" s="24">
        <f>IF(InputOutputData!$E$36=1,'Rainfall Data'!C223,IF(InputOutputData!$E$36=2,'Rainfall Data'!D222,IF(InputOutputData!$E$36=3,'Rainfall Data'!E222,'Rainfall Data'!F222)))</f>
        <v>24.4</v>
      </c>
      <c r="B235" s="24">
        <f t="shared" si="38"/>
        <v>1.0416666666666667</v>
      </c>
      <c r="C235" s="24">
        <f t="shared" si="39"/>
        <v>1.5</v>
      </c>
      <c r="D235" s="24">
        <f t="shared" si="47"/>
        <v>220</v>
      </c>
      <c r="E235" s="24">
        <f t="shared" si="40"/>
        <v>4.0000000000000178</v>
      </c>
      <c r="F235" s="24">
        <f t="shared" si="36"/>
        <v>316372.5</v>
      </c>
      <c r="G235" s="24">
        <f t="shared" si="41"/>
        <v>5.9272522795741148E-2</v>
      </c>
      <c r="H235" s="24">
        <f t="shared" si="42"/>
        <v>8517561.9968154822</v>
      </c>
      <c r="I235" s="24">
        <f t="shared" si="43"/>
        <v>9258219.5617559589</v>
      </c>
      <c r="J235" s="24">
        <f t="shared" si="37"/>
        <v>7.5</v>
      </c>
      <c r="K235" s="327">
        <f t="shared" si="44"/>
        <v>15000000</v>
      </c>
      <c r="L235" s="56">
        <f t="shared" si="45"/>
        <v>3456000</v>
      </c>
      <c r="M235" s="56">
        <f t="shared" si="46"/>
        <v>12714219.561755959</v>
      </c>
      <c r="N235" s="11">
        <f>IF(COUNTIF(InputOutputData!K$20,"Chlorine") = 1,'More accurate Energy (Solar)'!M235,L235+K235+I235)</f>
        <v>12714219.561755959</v>
      </c>
    </row>
    <row r="236" spans="1:14" ht="14.45">
      <c r="A236" s="24">
        <f>IF(InputOutputData!$E$36=1,'Rainfall Data'!C224,IF(InputOutputData!$E$36=2,'Rainfall Data'!D223,IF(InputOutputData!$E$36=3,'Rainfall Data'!E223,'Rainfall Data'!F223)))</f>
        <v>1.8</v>
      </c>
      <c r="B236" s="24">
        <f t="shared" si="38"/>
        <v>0.125</v>
      </c>
      <c r="C236" s="24">
        <f t="shared" si="39"/>
        <v>0.18</v>
      </c>
      <c r="D236" s="24">
        <f t="shared" si="47"/>
        <v>221</v>
      </c>
      <c r="E236" s="24">
        <f t="shared" si="40"/>
        <v>3.748000000000018</v>
      </c>
      <c r="F236" s="24">
        <f t="shared" si="36"/>
        <v>37964.700000000004</v>
      </c>
      <c r="G236" s="24">
        <f t="shared" si="41"/>
        <v>1.843319716624707E-2</v>
      </c>
      <c r="H236" s="24">
        <f t="shared" si="42"/>
        <v>3286618.4833838325</v>
      </c>
      <c r="I236" s="24">
        <f t="shared" si="43"/>
        <v>3572411.3949824264</v>
      </c>
      <c r="J236" s="24">
        <f t="shared" si="37"/>
        <v>0.89999999999999991</v>
      </c>
      <c r="K236" s="327">
        <f t="shared" si="44"/>
        <v>1799999.9999999998</v>
      </c>
      <c r="L236" s="56">
        <f t="shared" si="45"/>
        <v>3456000</v>
      </c>
      <c r="M236" s="56">
        <f t="shared" si="46"/>
        <v>7028411.3949824264</v>
      </c>
      <c r="N236" s="11">
        <f>IF(COUNTIF(InputOutputData!K$20,"Chlorine") = 1,'More accurate Energy (Solar)'!M236,L236+K236+I236)</f>
        <v>7028411.3949824264</v>
      </c>
    </row>
    <row r="237" spans="1:14" ht="14.45">
      <c r="A237" s="24">
        <f>IF(InputOutputData!$E$36=1,'Rainfall Data'!C225,IF(InputOutputData!$E$36=2,'Rainfall Data'!D224,IF(InputOutputData!$E$36=3,'Rainfall Data'!E224,'Rainfall Data'!F224)))</f>
        <v>0</v>
      </c>
      <c r="B237" s="24">
        <f t="shared" si="38"/>
        <v>0</v>
      </c>
      <c r="C237" s="24">
        <f t="shared" si="39"/>
        <v>0</v>
      </c>
      <c r="D237" s="24">
        <f t="shared" si="47"/>
        <v>222</v>
      </c>
      <c r="E237" s="24">
        <f t="shared" si="40"/>
        <v>3.316000000000018</v>
      </c>
      <c r="F237" s="24">
        <f t="shared" si="36"/>
        <v>0</v>
      </c>
      <c r="G237" s="24">
        <f t="shared" si="41"/>
        <v>0</v>
      </c>
      <c r="H237" s="24">
        <f t="shared" si="42"/>
        <v>0</v>
      </c>
      <c r="I237" s="24">
        <f t="shared" si="43"/>
        <v>0</v>
      </c>
      <c r="J237" s="24">
        <f t="shared" si="37"/>
        <v>0</v>
      </c>
      <c r="K237" s="327">
        <f t="shared" si="44"/>
        <v>0</v>
      </c>
      <c r="L237" s="56">
        <f t="shared" si="45"/>
        <v>3456000</v>
      </c>
      <c r="M237" s="56">
        <f t="shared" si="46"/>
        <v>3456000</v>
      </c>
      <c r="N237" s="11">
        <f>IF(COUNTIF(InputOutputData!K$20,"Chlorine") = 1,'More accurate Energy (Solar)'!M237,L237+K237+I237)</f>
        <v>3456000</v>
      </c>
    </row>
    <row r="238" spans="1:14" ht="14.45">
      <c r="A238" s="24">
        <f>IF(InputOutputData!$E$36=1,'Rainfall Data'!C226,IF(InputOutputData!$E$36=2,'Rainfall Data'!D225,IF(InputOutputData!$E$36=3,'Rainfall Data'!E225,'Rainfall Data'!F225)))</f>
        <v>0</v>
      </c>
      <c r="B238" s="24">
        <f t="shared" si="38"/>
        <v>0</v>
      </c>
      <c r="C238" s="24">
        <f t="shared" si="39"/>
        <v>0</v>
      </c>
      <c r="D238" s="24">
        <f t="shared" si="47"/>
        <v>223</v>
      </c>
      <c r="E238" s="24">
        <f t="shared" si="40"/>
        <v>2.8840000000000181</v>
      </c>
      <c r="F238" s="24">
        <f t="shared" si="36"/>
        <v>0</v>
      </c>
      <c r="G238" s="24">
        <f t="shared" si="41"/>
        <v>0</v>
      </c>
      <c r="H238" s="24">
        <f t="shared" si="42"/>
        <v>0</v>
      </c>
      <c r="I238" s="24">
        <f t="shared" si="43"/>
        <v>0</v>
      </c>
      <c r="J238" s="24">
        <f t="shared" si="37"/>
        <v>0</v>
      </c>
      <c r="K238" s="327">
        <f t="shared" si="44"/>
        <v>0</v>
      </c>
      <c r="L238" s="56">
        <f t="shared" si="45"/>
        <v>3456000</v>
      </c>
      <c r="M238" s="56">
        <f t="shared" si="46"/>
        <v>3456000</v>
      </c>
      <c r="N238" s="11">
        <f>IF(COUNTIF(InputOutputData!K$20,"Chlorine") = 1,'More accurate Energy (Solar)'!M238,L238+K238+I238)</f>
        <v>3456000</v>
      </c>
    </row>
    <row r="239" spans="1:14" ht="14.45">
      <c r="A239" s="24">
        <f>IF(InputOutputData!$E$36=1,'Rainfall Data'!C227,IF(InputOutputData!$E$36=2,'Rainfall Data'!D226,IF(InputOutputData!$E$36=3,'Rainfall Data'!E226,'Rainfall Data'!F226)))</f>
        <v>0</v>
      </c>
      <c r="B239" s="24">
        <f t="shared" si="38"/>
        <v>0</v>
      </c>
      <c r="C239" s="24">
        <f t="shared" si="39"/>
        <v>0</v>
      </c>
      <c r="D239" s="24">
        <f t="shared" si="47"/>
        <v>224</v>
      </c>
      <c r="E239" s="24">
        <f t="shared" si="40"/>
        <v>2.4520000000000182</v>
      </c>
      <c r="F239" s="24">
        <f t="shared" si="36"/>
        <v>0</v>
      </c>
      <c r="G239" s="24">
        <f t="shared" si="41"/>
        <v>0</v>
      </c>
      <c r="H239" s="24">
        <f t="shared" si="42"/>
        <v>0</v>
      </c>
      <c r="I239" s="24">
        <f t="shared" si="43"/>
        <v>0</v>
      </c>
      <c r="J239" s="24">
        <f t="shared" si="37"/>
        <v>0</v>
      </c>
      <c r="K239" s="327">
        <f t="shared" si="44"/>
        <v>0</v>
      </c>
      <c r="L239" s="56">
        <f t="shared" si="45"/>
        <v>3456000</v>
      </c>
      <c r="M239" s="56">
        <f t="shared" si="46"/>
        <v>3456000</v>
      </c>
      <c r="N239" s="11">
        <f>IF(COUNTIF(InputOutputData!K$20,"Chlorine") = 1,'More accurate Energy (Solar)'!M239,L239+K239+I239)</f>
        <v>3456000</v>
      </c>
    </row>
    <row r="240" spans="1:14" ht="14.45">
      <c r="A240" s="24">
        <f>IF(InputOutputData!$E$36=1,'Rainfall Data'!C228,IF(InputOutputData!$E$36=2,'Rainfall Data'!D227,IF(InputOutputData!$E$36=3,'Rainfall Data'!E227,'Rainfall Data'!F227)))</f>
        <v>0</v>
      </c>
      <c r="B240" s="24">
        <f t="shared" si="38"/>
        <v>0</v>
      </c>
      <c r="C240" s="24">
        <f t="shared" si="39"/>
        <v>0</v>
      </c>
      <c r="D240" s="24">
        <f t="shared" si="47"/>
        <v>225</v>
      </c>
      <c r="E240" s="24">
        <f t="shared" si="40"/>
        <v>2.0200000000000182</v>
      </c>
      <c r="F240" s="24">
        <f t="shared" si="36"/>
        <v>0</v>
      </c>
      <c r="G240" s="24">
        <f t="shared" si="41"/>
        <v>0</v>
      </c>
      <c r="H240" s="24">
        <f t="shared" si="42"/>
        <v>0</v>
      </c>
      <c r="I240" s="24">
        <f t="shared" si="43"/>
        <v>0</v>
      </c>
      <c r="J240" s="24">
        <f t="shared" si="37"/>
        <v>0</v>
      </c>
      <c r="K240" s="327">
        <f t="shared" si="44"/>
        <v>0</v>
      </c>
      <c r="L240" s="56">
        <f t="shared" si="45"/>
        <v>3456000</v>
      </c>
      <c r="M240" s="56">
        <f t="shared" si="46"/>
        <v>3456000</v>
      </c>
      <c r="N240" s="11">
        <f>IF(COUNTIF(InputOutputData!K$20,"Chlorine") = 1,'More accurate Energy (Solar)'!M240,L240+K240+I240)</f>
        <v>3456000</v>
      </c>
    </row>
    <row r="241" spans="1:14" ht="14.45">
      <c r="A241" s="24">
        <f>IF(InputOutputData!$E$36=1,'Rainfall Data'!C229,IF(InputOutputData!$E$36=2,'Rainfall Data'!D228,IF(InputOutputData!$E$36=3,'Rainfall Data'!E228,'Rainfall Data'!F228)))</f>
        <v>0</v>
      </c>
      <c r="B241" s="24">
        <f t="shared" si="38"/>
        <v>0</v>
      </c>
      <c r="C241" s="24">
        <f t="shared" si="39"/>
        <v>0</v>
      </c>
      <c r="D241" s="24">
        <f t="shared" si="47"/>
        <v>226</v>
      </c>
      <c r="E241" s="24">
        <f t="shared" si="40"/>
        <v>1.5880000000000183</v>
      </c>
      <c r="F241" s="24">
        <f t="shared" si="36"/>
        <v>0</v>
      </c>
      <c r="G241" s="24">
        <f t="shared" si="41"/>
        <v>0</v>
      </c>
      <c r="H241" s="24">
        <f t="shared" si="42"/>
        <v>0</v>
      </c>
      <c r="I241" s="24">
        <f t="shared" si="43"/>
        <v>0</v>
      </c>
      <c r="J241" s="24">
        <f t="shared" si="37"/>
        <v>0</v>
      </c>
      <c r="K241" s="327">
        <f t="shared" si="44"/>
        <v>0</v>
      </c>
      <c r="L241" s="56">
        <f t="shared" si="45"/>
        <v>3456000</v>
      </c>
      <c r="M241" s="56">
        <f t="shared" si="46"/>
        <v>3456000</v>
      </c>
      <c r="N241" s="11">
        <f>IF(COUNTIF(InputOutputData!K$20,"Chlorine") = 1,'More accurate Energy (Solar)'!M241,L241+K241+I241)</f>
        <v>3456000</v>
      </c>
    </row>
    <row r="242" spans="1:14" ht="14.45">
      <c r="A242" s="24">
        <f>IF(InputOutputData!$E$36=1,'Rainfall Data'!C230,IF(InputOutputData!$E$36=2,'Rainfall Data'!D229,IF(InputOutputData!$E$36=3,'Rainfall Data'!E229,'Rainfall Data'!F229)))</f>
        <v>0</v>
      </c>
      <c r="B242" s="24">
        <f t="shared" si="38"/>
        <v>0</v>
      </c>
      <c r="C242" s="24">
        <f t="shared" si="39"/>
        <v>0</v>
      </c>
      <c r="D242" s="24">
        <f t="shared" si="47"/>
        <v>227</v>
      </c>
      <c r="E242" s="24">
        <f t="shared" si="40"/>
        <v>1.1560000000000183</v>
      </c>
      <c r="F242" s="24">
        <f t="shared" si="36"/>
        <v>0</v>
      </c>
      <c r="G242" s="24">
        <f t="shared" si="41"/>
        <v>0</v>
      </c>
      <c r="H242" s="24">
        <f t="shared" si="42"/>
        <v>0</v>
      </c>
      <c r="I242" s="24">
        <f t="shared" si="43"/>
        <v>0</v>
      </c>
      <c r="J242" s="24">
        <f t="shared" si="37"/>
        <v>0</v>
      </c>
      <c r="K242" s="327">
        <f t="shared" si="44"/>
        <v>0</v>
      </c>
      <c r="L242" s="56">
        <f t="shared" si="45"/>
        <v>3456000</v>
      </c>
      <c r="M242" s="56">
        <f t="shared" si="46"/>
        <v>3456000</v>
      </c>
      <c r="N242" s="11">
        <f>IF(COUNTIF(InputOutputData!K$20,"Chlorine") = 1,'More accurate Energy (Solar)'!M242,L242+K242+I242)</f>
        <v>3456000</v>
      </c>
    </row>
    <row r="243" spans="1:14" ht="14.45">
      <c r="A243" s="24">
        <f>IF(InputOutputData!$E$36=1,'Rainfall Data'!C231,IF(InputOutputData!$E$36=2,'Rainfall Data'!D230,IF(InputOutputData!$E$36=3,'Rainfall Data'!E230,'Rainfall Data'!F230)))</f>
        <v>0</v>
      </c>
      <c r="B243" s="24">
        <f t="shared" si="38"/>
        <v>0</v>
      </c>
      <c r="C243" s="24">
        <f t="shared" si="39"/>
        <v>0</v>
      </c>
      <c r="D243" s="24">
        <f t="shared" si="47"/>
        <v>228</v>
      </c>
      <c r="E243" s="24">
        <f t="shared" si="40"/>
        <v>0.72400000000001841</v>
      </c>
      <c r="F243" s="24">
        <f t="shared" si="36"/>
        <v>0</v>
      </c>
      <c r="G243" s="24">
        <f t="shared" si="41"/>
        <v>0</v>
      </c>
      <c r="H243" s="24">
        <f t="shared" si="42"/>
        <v>0</v>
      </c>
      <c r="I243" s="24">
        <f t="shared" si="43"/>
        <v>0</v>
      </c>
      <c r="J243" s="24">
        <f t="shared" si="37"/>
        <v>0</v>
      </c>
      <c r="K243" s="327">
        <f t="shared" si="44"/>
        <v>0</v>
      </c>
      <c r="L243" s="56">
        <f t="shared" si="45"/>
        <v>3456000</v>
      </c>
      <c r="M243" s="56">
        <f t="shared" si="46"/>
        <v>3456000</v>
      </c>
      <c r="N243" s="11">
        <f>IF(COUNTIF(InputOutputData!K$20,"Chlorine") = 1,'More accurate Energy (Solar)'!M243,L243+K243+I243)</f>
        <v>3456000</v>
      </c>
    </row>
    <row r="244" spans="1:14" ht="14.45">
      <c r="A244" s="24">
        <f>IF(InputOutputData!$E$36=1,'Rainfall Data'!C232,IF(InputOutputData!$E$36=2,'Rainfall Data'!D231,IF(InputOutputData!$E$36=3,'Rainfall Data'!E231,'Rainfall Data'!F231)))</f>
        <v>0</v>
      </c>
      <c r="B244" s="24">
        <f t="shared" si="38"/>
        <v>0</v>
      </c>
      <c r="C244" s="24">
        <f t="shared" si="39"/>
        <v>0</v>
      </c>
      <c r="D244" s="24">
        <f t="shared" si="47"/>
        <v>229</v>
      </c>
      <c r="E244" s="24">
        <f t="shared" si="40"/>
        <v>0.29200000000001841</v>
      </c>
      <c r="F244" s="24">
        <f t="shared" si="36"/>
        <v>0</v>
      </c>
      <c r="G244" s="24">
        <f t="shared" si="41"/>
        <v>0</v>
      </c>
      <c r="H244" s="24">
        <f t="shared" si="42"/>
        <v>0</v>
      </c>
      <c r="I244" s="24">
        <f t="shared" si="43"/>
        <v>0</v>
      </c>
      <c r="J244" s="24">
        <f t="shared" si="37"/>
        <v>0</v>
      </c>
      <c r="K244" s="327">
        <f t="shared" si="44"/>
        <v>0</v>
      </c>
      <c r="L244" s="56">
        <f t="shared" si="45"/>
        <v>3456000</v>
      </c>
      <c r="M244" s="56">
        <f t="shared" si="46"/>
        <v>3456000</v>
      </c>
      <c r="N244" s="11">
        <f>IF(COUNTIF(InputOutputData!K$20,"Chlorine") = 1,'More accurate Energy (Solar)'!M244,L244+K244+I244)</f>
        <v>3456000</v>
      </c>
    </row>
    <row r="245" spans="1:14" ht="14.45">
      <c r="A245" s="24">
        <f>IF(InputOutputData!$E$36=1,'Rainfall Data'!C233,IF(InputOutputData!$E$36=2,'Rainfall Data'!D232,IF(InputOutputData!$E$36=3,'Rainfall Data'!E232,'Rainfall Data'!F232)))</f>
        <v>0</v>
      </c>
      <c r="B245" s="24">
        <f t="shared" si="38"/>
        <v>0</v>
      </c>
      <c r="C245" s="24">
        <f t="shared" si="39"/>
        <v>0</v>
      </c>
      <c r="D245" s="24">
        <f t="shared" si="47"/>
        <v>230</v>
      </c>
      <c r="E245" s="24">
        <f t="shared" si="40"/>
        <v>0</v>
      </c>
      <c r="F245" s="24">
        <f t="shared" si="36"/>
        <v>0</v>
      </c>
      <c r="G245" s="24">
        <f t="shared" si="41"/>
        <v>0</v>
      </c>
      <c r="H245" s="24">
        <f t="shared" si="42"/>
        <v>0</v>
      </c>
      <c r="I245" s="24">
        <f t="shared" si="43"/>
        <v>0</v>
      </c>
      <c r="J245" s="24">
        <f t="shared" si="37"/>
        <v>0</v>
      </c>
      <c r="K245" s="327">
        <f t="shared" si="44"/>
        <v>0</v>
      </c>
      <c r="L245" s="56">
        <f t="shared" si="45"/>
        <v>3456000</v>
      </c>
      <c r="M245" s="56">
        <f t="shared" si="46"/>
        <v>3456000</v>
      </c>
      <c r="N245" s="11">
        <f>IF(COUNTIF(InputOutputData!K$20,"Chlorine") = 1,'More accurate Energy (Solar)'!M245,L245+K245+I245)</f>
        <v>3456000</v>
      </c>
    </row>
    <row r="246" spans="1:14" ht="14.45">
      <c r="A246" s="24">
        <f>IF(InputOutputData!$E$36=1,'Rainfall Data'!C234,IF(InputOutputData!$E$36=2,'Rainfall Data'!D233,IF(InputOutputData!$E$36=3,'Rainfall Data'!E233,'Rainfall Data'!F233)))</f>
        <v>0</v>
      </c>
      <c r="B246" s="24">
        <f t="shared" si="38"/>
        <v>0</v>
      </c>
      <c r="C246" s="24">
        <f t="shared" si="39"/>
        <v>0</v>
      </c>
      <c r="D246" s="24">
        <f t="shared" si="47"/>
        <v>231</v>
      </c>
      <c r="E246" s="24">
        <f t="shared" si="40"/>
        <v>0</v>
      </c>
      <c r="F246" s="24">
        <f t="shared" si="36"/>
        <v>0</v>
      </c>
      <c r="G246" s="24">
        <f t="shared" si="41"/>
        <v>0</v>
      </c>
      <c r="H246" s="24">
        <f t="shared" si="42"/>
        <v>0</v>
      </c>
      <c r="I246" s="24">
        <f t="shared" si="43"/>
        <v>0</v>
      </c>
      <c r="J246" s="24">
        <f t="shared" si="37"/>
        <v>0</v>
      </c>
      <c r="K246" s="327">
        <f t="shared" si="44"/>
        <v>0</v>
      </c>
      <c r="L246" s="56">
        <f t="shared" si="45"/>
        <v>3456000</v>
      </c>
      <c r="M246" s="56">
        <f t="shared" si="46"/>
        <v>3456000</v>
      </c>
      <c r="N246" s="11">
        <f>IF(COUNTIF(InputOutputData!K$20,"Chlorine") = 1,'More accurate Energy (Solar)'!M246,L246+K246+I246)</f>
        <v>3456000</v>
      </c>
    </row>
    <row r="247" spans="1:14" ht="14.45">
      <c r="A247" s="24">
        <f>IF(InputOutputData!$E$36=1,'Rainfall Data'!C235,IF(InputOutputData!$E$36=2,'Rainfall Data'!D234,IF(InputOutputData!$E$36=3,'Rainfall Data'!E234,'Rainfall Data'!F234)))</f>
        <v>0</v>
      </c>
      <c r="B247" s="24">
        <f t="shared" si="38"/>
        <v>0</v>
      </c>
      <c r="C247" s="24">
        <f t="shared" si="39"/>
        <v>0</v>
      </c>
      <c r="D247" s="24">
        <f t="shared" si="47"/>
        <v>232</v>
      </c>
      <c r="E247" s="24">
        <f t="shared" si="40"/>
        <v>0</v>
      </c>
      <c r="F247" s="24">
        <f t="shared" si="36"/>
        <v>0</v>
      </c>
      <c r="G247" s="24">
        <f t="shared" si="41"/>
        <v>0</v>
      </c>
      <c r="H247" s="24">
        <f t="shared" si="42"/>
        <v>0</v>
      </c>
      <c r="I247" s="24">
        <f t="shared" si="43"/>
        <v>0</v>
      </c>
      <c r="J247" s="24">
        <f t="shared" si="37"/>
        <v>0</v>
      </c>
      <c r="K247" s="327">
        <f t="shared" si="44"/>
        <v>0</v>
      </c>
      <c r="L247" s="56">
        <f t="shared" si="45"/>
        <v>3456000</v>
      </c>
      <c r="M247" s="56">
        <f t="shared" si="46"/>
        <v>3456000</v>
      </c>
      <c r="N247" s="11">
        <f>IF(COUNTIF(InputOutputData!K$20,"Chlorine") = 1,'More accurate Energy (Solar)'!M247,L247+K247+I247)</f>
        <v>3456000</v>
      </c>
    </row>
    <row r="248" spans="1:14" ht="14.45">
      <c r="A248" s="24">
        <f>IF(InputOutputData!$E$36=1,'Rainfall Data'!C236,IF(InputOutputData!$E$36=2,'Rainfall Data'!D235,IF(InputOutputData!$E$36=3,'Rainfall Data'!E235,'Rainfall Data'!F235)))</f>
        <v>0</v>
      </c>
      <c r="B248" s="24">
        <f t="shared" si="38"/>
        <v>0</v>
      </c>
      <c r="C248" s="24">
        <f t="shared" si="39"/>
        <v>0</v>
      </c>
      <c r="D248" s="24">
        <f t="shared" si="47"/>
        <v>233</v>
      </c>
      <c r="E248" s="24">
        <f t="shared" si="40"/>
        <v>0</v>
      </c>
      <c r="F248" s="24">
        <f t="shared" si="36"/>
        <v>0</v>
      </c>
      <c r="G248" s="24">
        <f t="shared" si="41"/>
        <v>0</v>
      </c>
      <c r="H248" s="24">
        <f t="shared" si="42"/>
        <v>0</v>
      </c>
      <c r="I248" s="24">
        <f t="shared" si="43"/>
        <v>0</v>
      </c>
      <c r="J248" s="24">
        <f t="shared" si="37"/>
        <v>0</v>
      </c>
      <c r="K248" s="327">
        <f t="shared" si="44"/>
        <v>0</v>
      </c>
      <c r="L248" s="56">
        <f t="shared" si="45"/>
        <v>3456000</v>
      </c>
      <c r="M248" s="56">
        <f t="shared" si="46"/>
        <v>3456000</v>
      </c>
      <c r="N248" s="11">
        <f>IF(COUNTIF(InputOutputData!K$20,"Chlorine") = 1,'More accurate Energy (Solar)'!M248,L248+K248+I248)</f>
        <v>3456000</v>
      </c>
    </row>
    <row r="249" spans="1:14" ht="14.45">
      <c r="A249" s="24">
        <f>IF(InputOutputData!$E$36=1,'Rainfall Data'!C237,IF(InputOutputData!$E$36=2,'Rainfall Data'!D236,IF(InputOutputData!$E$36=3,'Rainfall Data'!E236,'Rainfall Data'!F236)))</f>
        <v>0</v>
      </c>
      <c r="B249" s="24">
        <f t="shared" si="38"/>
        <v>0</v>
      </c>
      <c r="C249" s="24">
        <f t="shared" si="39"/>
        <v>0</v>
      </c>
      <c r="D249" s="24">
        <f t="shared" si="47"/>
        <v>234</v>
      </c>
      <c r="E249" s="24">
        <f t="shared" si="40"/>
        <v>0</v>
      </c>
      <c r="F249" s="24">
        <f t="shared" si="36"/>
        <v>0</v>
      </c>
      <c r="G249" s="24">
        <f t="shared" si="41"/>
        <v>0</v>
      </c>
      <c r="H249" s="24">
        <f t="shared" si="42"/>
        <v>0</v>
      </c>
      <c r="I249" s="24">
        <f t="shared" si="43"/>
        <v>0</v>
      </c>
      <c r="J249" s="24">
        <f t="shared" si="37"/>
        <v>0</v>
      </c>
      <c r="K249" s="327">
        <f t="shared" si="44"/>
        <v>0</v>
      </c>
      <c r="L249" s="56">
        <f t="shared" si="45"/>
        <v>3456000</v>
      </c>
      <c r="M249" s="56">
        <f t="shared" si="46"/>
        <v>3456000</v>
      </c>
      <c r="N249" s="11">
        <f>IF(COUNTIF(InputOutputData!K$20,"Chlorine") = 1,'More accurate Energy (Solar)'!M249,L249+K249+I249)</f>
        <v>3456000</v>
      </c>
    </row>
    <row r="250" spans="1:14" ht="14.45">
      <c r="A250" s="24">
        <f>IF(InputOutputData!$E$36=1,'Rainfall Data'!C238,IF(InputOutputData!$E$36=2,'Rainfall Data'!D237,IF(InputOutputData!$E$36=3,'Rainfall Data'!E237,'Rainfall Data'!F237)))</f>
        <v>0</v>
      </c>
      <c r="B250" s="24">
        <f t="shared" si="38"/>
        <v>0</v>
      </c>
      <c r="C250" s="24">
        <f t="shared" si="39"/>
        <v>0</v>
      </c>
      <c r="D250" s="24">
        <f t="shared" si="47"/>
        <v>235</v>
      </c>
      <c r="E250" s="24">
        <f t="shared" si="40"/>
        <v>0</v>
      </c>
      <c r="F250" s="24">
        <f t="shared" si="36"/>
        <v>0</v>
      </c>
      <c r="G250" s="24">
        <f t="shared" si="41"/>
        <v>0</v>
      </c>
      <c r="H250" s="24">
        <f t="shared" si="42"/>
        <v>0</v>
      </c>
      <c r="I250" s="24">
        <f t="shared" si="43"/>
        <v>0</v>
      </c>
      <c r="J250" s="24">
        <f t="shared" si="37"/>
        <v>0</v>
      </c>
      <c r="K250" s="327">
        <f t="shared" si="44"/>
        <v>0</v>
      </c>
      <c r="L250" s="56">
        <f t="shared" si="45"/>
        <v>3456000</v>
      </c>
      <c r="M250" s="56">
        <f t="shared" si="46"/>
        <v>3456000</v>
      </c>
      <c r="N250" s="11">
        <f>IF(COUNTIF(InputOutputData!K$20,"Chlorine") = 1,'More accurate Energy (Solar)'!M250,L250+K250+I250)</f>
        <v>3456000</v>
      </c>
    </row>
    <row r="251" spans="1:14" ht="14.45">
      <c r="A251" s="24">
        <f>IF(InputOutputData!$E$36=1,'Rainfall Data'!C239,IF(InputOutputData!$E$36=2,'Rainfall Data'!D238,IF(InputOutputData!$E$36=3,'Rainfall Data'!E238,'Rainfall Data'!F238)))</f>
        <v>0</v>
      </c>
      <c r="B251" s="24">
        <f t="shared" si="38"/>
        <v>0</v>
      </c>
      <c r="C251" s="24">
        <f t="shared" si="39"/>
        <v>0</v>
      </c>
      <c r="D251" s="24">
        <f t="shared" si="47"/>
        <v>236</v>
      </c>
      <c r="E251" s="24">
        <f t="shared" si="40"/>
        <v>0</v>
      </c>
      <c r="F251" s="24">
        <f t="shared" si="36"/>
        <v>0</v>
      </c>
      <c r="G251" s="24">
        <f t="shared" si="41"/>
        <v>0</v>
      </c>
      <c r="H251" s="24">
        <f t="shared" si="42"/>
        <v>0</v>
      </c>
      <c r="I251" s="24">
        <f t="shared" si="43"/>
        <v>0</v>
      </c>
      <c r="J251" s="24">
        <f t="shared" si="37"/>
        <v>0</v>
      </c>
      <c r="K251" s="327">
        <f t="shared" si="44"/>
        <v>0</v>
      </c>
      <c r="L251" s="56">
        <f t="shared" si="45"/>
        <v>3456000</v>
      </c>
      <c r="M251" s="56">
        <f t="shared" si="46"/>
        <v>3456000</v>
      </c>
      <c r="N251" s="11">
        <f>IF(COUNTIF(InputOutputData!K$20,"Chlorine") = 1,'More accurate Energy (Solar)'!M251,L251+K251+I251)</f>
        <v>3456000</v>
      </c>
    </row>
    <row r="252" spans="1:14" ht="14.45">
      <c r="A252" s="24">
        <f>IF(InputOutputData!$E$36=1,'Rainfall Data'!C240,IF(InputOutputData!$E$36=2,'Rainfall Data'!D239,IF(InputOutputData!$E$36=3,'Rainfall Data'!E239,'Rainfall Data'!F239)))</f>
        <v>0</v>
      </c>
      <c r="B252" s="24">
        <f t="shared" si="38"/>
        <v>0</v>
      </c>
      <c r="C252" s="24">
        <f t="shared" si="39"/>
        <v>0</v>
      </c>
      <c r="D252" s="24">
        <f t="shared" si="47"/>
        <v>237</v>
      </c>
      <c r="E252" s="24">
        <f t="shared" si="40"/>
        <v>0</v>
      </c>
      <c r="F252" s="24">
        <f t="shared" si="36"/>
        <v>0</v>
      </c>
      <c r="G252" s="24">
        <f t="shared" si="41"/>
        <v>0</v>
      </c>
      <c r="H252" s="24">
        <f t="shared" si="42"/>
        <v>0</v>
      </c>
      <c r="I252" s="24">
        <f t="shared" si="43"/>
        <v>0</v>
      </c>
      <c r="J252" s="24">
        <f t="shared" si="37"/>
        <v>0</v>
      </c>
      <c r="K252" s="327">
        <f t="shared" si="44"/>
        <v>0</v>
      </c>
      <c r="L252" s="56">
        <f t="shared" si="45"/>
        <v>3456000</v>
      </c>
      <c r="M252" s="56">
        <f t="shared" si="46"/>
        <v>3456000</v>
      </c>
      <c r="N252" s="11">
        <f>IF(COUNTIF(InputOutputData!K$20,"Chlorine") = 1,'More accurate Energy (Solar)'!M252,L252+K252+I252)</f>
        <v>3456000</v>
      </c>
    </row>
    <row r="253" spans="1:14" ht="14.45">
      <c r="A253" s="24">
        <f>IF(InputOutputData!$E$36=1,'Rainfall Data'!C241,IF(InputOutputData!$E$36=2,'Rainfall Data'!D240,IF(InputOutputData!$E$36=3,'Rainfall Data'!E240,'Rainfall Data'!F240)))</f>
        <v>0</v>
      </c>
      <c r="B253" s="24">
        <f t="shared" si="38"/>
        <v>0</v>
      </c>
      <c r="C253" s="24">
        <f t="shared" si="39"/>
        <v>0</v>
      </c>
      <c r="D253" s="24">
        <f t="shared" si="47"/>
        <v>238</v>
      </c>
      <c r="E253" s="24">
        <f t="shared" si="40"/>
        <v>0</v>
      </c>
      <c r="F253" s="24">
        <f t="shared" si="36"/>
        <v>0</v>
      </c>
      <c r="G253" s="24">
        <f t="shared" si="41"/>
        <v>0</v>
      </c>
      <c r="H253" s="24">
        <f t="shared" si="42"/>
        <v>0</v>
      </c>
      <c r="I253" s="24">
        <f t="shared" si="43"/>
        <v>0</v>
      </c>
      <c r="J253" s="24">
        <f t="shared" si="37"/>
        <v>0</v>
      </c>
      <c r="K253" s="327">
        <f t="shared" si="44"/>
        <v>0</v>
      </c>
      <c r="L253" s="56">
        <f t="shared" si="45"/>
        <v>3456000</v>
      </c>
      <c r="M253" s="56">
        <f t="shared" si="46"/>
        <v>3456000</v>
      </c>
      <c r="N253" s="11">
        <f>IF(COUNTIF(InputOutputData!K$20,"Chlorine") = 1,'More accurate Energy (Solar)'!M253,L253+K253+I253)</f>
        <v>3456000</v>
      </c>
    </row>
    <row r="254" spans="1:14" ht="14.45">
      <c r="A254" s="24">
        <f>IF(InputOutputData!$E$36=1,'Rainfall Data'!C242,IF(InputOutputData!$E$36=2,'Rainfall Data'!D241,IF(InputOutputData!$E$36=3,'Rainfall Data'!E241,'Rainfall Data'!F241)))</f>
        <v>2.8</v>
      </c>
      <c r="B254" s="24">
        <f t="shared" si="38"/>
        <v>0.19444444444444442</v>
      </c>
      <c r="C254" s="24">
        <f t="shared" si="39"/>
        <v>0.27999999999999997</v>
      </c>
      <c r="D254" s="24">
        <f t="shared" si="47"/>
        <v>239</v>
      </c>
      <c r="E254" s="24">
        <f t="shared" si="40"/>
        <v>0</v>
      </c>
      <c r="F254" s="24">
        <f t="shared" si="36"/>
        <v>59056.2</v>
      </c>
      <c r="G254" s="24">
        <f t="shared" si="41"/>
        <v>2.3507068854835791E-2</v>
      </c>
      <c r="H254" s="24">
        <f t="shared" si="42"/>
        <v>4009008.7909770021</v>
      </c>
      <c r="I254" s="24">
        <f t="shared" si="43"/>
        <v>4357618.2510619583</v>
      </c>
      <c r="J254" s="24">
        <f t="shared" si="37"/>
        <v>1.4</v>
      </c>
      <c r="K254" s="327">
        <f t="shared" si="44"/>
        <v>2800000</v>
      </c>
      <c r="L254" s="56">
        <f t="shared" si="45"/>
        <v>3456000</v>
      </c>
      <c r="M254" s="56">
        <f t="shared" si="46"/>
        <v>7813618.2510619583</v>
      </c>
      <c r="N254" s="11">
        <f>IF(COUNTIF(InputOutputData!K$20,"Chlorine") = 1,'More accurate Energy (Solar)'!M254,L254+K254+I254)</f>
        <v>7813618.2510619583</v>
      </c>
    </row>
    <row r="255" spans="1:14" ht="14.45">
      <c r="A255" s="24">
        <f>IF(InputOutputData!$E$36=1,'Rainfall Data'!C243,IF(InputOutputData!$E$36=2,'Rainfall Data'!D242,IF(InputOutputData!$E$36=3,'Rainfall Data'!E242,'Rainfall Data'!F242)))</f>
        <v>10.4</v>
      </c>
      <c r="B255" s="24">
        <f t="shared" si="38"/>
        <v>0.72222222222222221</v>
      </c>
      <c r="C255" s="24">
        <f t="shared" si="39"/>
        <v>1.04</v>
      </c>
      <c r="D255" s="24">
        <f t="shared" si="47"/>
        <v>240</v>
      </c>
      <c r="E255" s="24">
        <f t="shared" si="40"/>
        <v>0.6080000000000001</v>
      </c>
      <c r="F255" s="24">
        <f t="shared" si="36"/>
        <v>219351.6</v>
      </c>
      <c r="G255" s="24">
        <f t="shared" si="41"/>
        <v>4.8427480851001965E-2</v>
      </c>
      <c r="H255" s="24">
        <f t="shared" si="42"/>
        <v>7228012.8816479109</v>
      </c>
      <c r="I255" s="24">
        <f t="shared" si="43"/>
        <v>7856535.7409216417</v>
      </c>
      <c r="J255" s="24">
        <f t="shared" si="37"/>
        <v>5.2</v>
      </c>
      <c r="K255" s="327">
        <f t="shared" si="44"/>
        <v>10400000</v>
      </c>
      <c r="L255" s="56">
        <f t="shared" si="45"/>
        <v>3456000</v>
      </c>
      <c r="M255" s="56">
        <f t="shared" si="46"/>
        <v>11312535.740921643</v>
      </c>
      <c r="N255" s="11">
        <f>IF(COUNTIF(InputOutputData!K$20,"Chlorine") = 1,'More accurate Energy (Solar)'!M255,L255+K255+I255)</f>
        <v>11312535.740921643</v>
      </c>
    </row>
    <row r="256" spans="1:14" ht="14.45">
      <c r="A256" s="24">
        <f>IF(InputOutputData!$E$36=1,'Rainfall Data'!C244,IF(InputOutputData!$E$36=2,'Rainfall Data'!D243,IF(InputOutputData!$E$36=3,'Rainfall Data'!E243,'Rainfall Data'!F243)))</f>
        <v>33.4</v>
      </c>
      <c r="B256" s="24">
        <f t="shared" si="38"/>
        <v>1.0416666666666667</v>
      </c>
      <c r="C256" s="24">
        <f t="shared" si="39"/>
        <v>1.5</v>
      </c>
      <c r="D256" s="24">
        <f t="shared" si="47"/>
        <v>241</v>
      </c>
      <c r="E256" s="24">
        <f t="shared" si="40"/>
        <v>1.6760000000000002</v>
      </c>
      <c r="F256" s="24">
        <f t="shared" si="36"/>
        <v>316372.5</v>
      </c>
      <c r="G256" s="24">
        <f t="shared" si="41"/>
        <v>5.9272522795741148E-2</v>
      </c>
      <c r="H256" s="24">
        <f t="shared" si="42"/>
        <v>8517561.9968154822</v>
      </c>
      <c r="I256" s="24">
        <f t="shared" si="43"/>
        <v>9258219.5617559589</v>
      </c>
      <c r="J256" s="24">
        <f t="shared" si="37"/>
        <v>7.5</v>
      </c>
      <c r="K256" s="327">
        <f t="shared" si="44"/>
        <v>15000000</v>
      </c>
      <c r="L256" s="56">
        <f t="shared" si="45"/>
        <v>3456000</v>
      </c>
      <c r="M256" s="56">
        <f t="shared" si="46"/>
        <v>12714219.561755959</v>
      </c>
      <c r="N256" s="11">
        <f>IF(COUNTIF(InputOutputData!K$20,"Chlorine") = 1,'More accurate Energy (Solar)'!M256,L256+K256+I256)</f>
        <v>12714219.561755959</v>
      </c>
    </row>
    <row r="257" spans="1:14" ht="14.45">
      <c r="A257" s="24">
        <f>IF(InputOutputData!$E$36=1,'Rainfall Data'!C245,IF(InputOutputData!$E$36=2,'Rainfall Data'!D244,IF(InputOutputData!$E$36=3,'Rainfall Data'!E244,'Rainfall Data'!F244)))</f>
        <v>26</v>
      </c>
      <c r="B257" s="24">
        <f t="shared" si="38"/>
        <v>1.0416666666666667</v>
      </c>
      <c r="C257" s="24">
        <f t="shared" si="39"/>
        <v>1.5</v>
      </c>
      <c r="D257" s="24">
        <f t="shared" si="47"/>
        <v>242</v>
      </c>
      <c r="E257" s="24">
        <f t="shared" si="40"/>
        <v>2.7440000000000002</v>
      </c>
      <c r="F257" s="24">
        <f t="shared" si="36"/>
        <v>316372.5</v>
      </c>
      <c r="G257" s="24">
        <f t="shared" si="41"/>
        <v>5.9272522795741148E-2</v>
      </c>
      <c r="H257" s="24">
        <f t="shared" si="42"/>
        <v>8517561.9968154822</v>
      </c>
      <c r="I257" s="24">
        <f t="shared" si="43"/>
        <v>9258219.5617559589</v>
      </c>
      <c r="J257" s="24">
        <f t="shared" si="37"/>
        <v>7.5</v>
      </c>
      <c r="K257" s="327">
        <f t="shared" si="44"/>
        <v>15000000</v>
      </c>
      <c r="L257" s="56">
        <f t="shared" si="45"/>
        <v>3456000</v>
      </c>
      <c r="M257" s="56">
        <f t="shared" si="46"/>
        <v>12714219.561755959</v>
      </c>
      <c r="N257" s="11">
        <f>IF(COUNTIF(InputOutputData!K$20,"Chlorine") = 1,'More accurate Energy (Solar)'!M257,L257+K257+I257)</f>
        <v>12714219.561755959</v>
      </c>
    </row>
    <row r="258" spans="1:14" ht="14.45">
      <c r="A258" s="24">
        <f>IF(InputOutputData!$E$36=1,'Rainfall Data'!C246,IF(InputOutputData!$E$36=2,'Rainfall Data'!D245,IF(InputOutputData!$E$36=3,'Rainfall Data'!E245,'Rainfall Data'!F245)))</f>
        <v>6</v>
      </c>
      <c r="B258" s="24">
        <f t="shared" si="38"/>
        <v>0.41666666666666669</v>
      </c>
      <c r="C258" s="24">
        <f t="shared" si="39"/>
        <v>0.6</v>
      </c>
      <c r="D258" s="24">
        <f t="shared" si="47"/>
        <v>243</v>
      </c>
      <c r="E258" s="24">
        <f t="shared" si="40"/>
        <v>2.9120000000000004</v>
      </c>
      <c r="F258" s="24">
        <f t="shared" si="36"/>
        <v>126549</v>
      </c>
      <c r="G258" s="24">
        <f t="shared" si="41"/>
        <v>3.576343669814467E-2</v>
      </c>
      <c r="H258" s="24">
        <f t="shared" si="42"/>
        <v>5646631.6912610941</v>
      </c>
      <c r="I258" s="24">
        <f t="shared" si="43"/>
        <v>6137643.1426751018</v>
      </c>
      <c r="J258" s="24">
        <f t="shared" si="37"/>
        <v>3</v>
      </c>
      <c r="K258" s="327">
        <f t="shared" si="44"/>
        <v>6000000</v>
      </c>
      <c r="L258" s="56">
        <f t="shared" si="45"/>
        <v>3456000</v>
      </c>
      <c r="M258" s="56">
        <f t="shared" si="46"/>
        <v>9593643.1426751018</v>
      </c>
      <c r="N258" s="11">
        <f>IF(COUNTIF(InputOutputData!K$20,"Chlorine") = 1,'More accurate Energy (Solar)'!M258,L258+K258+I258)</f>
        <v>9593643.1426751018</v>
      </c>
    </row>
    <row r="259" spans="1:14" ht="14.45">
      <c r="A259" s="24">
        <f>IF(InputOutputData!$E$36=1,'Rainfall Data'!C247,IF(InputOutputData!$E$36=2,'Rainfall Data'!D246,IF(InputOutputData!$E$36=3,'Rainfall Data'!E246,'Rainfall Data'!F246)))</f>
        <v>15.8</v>
      </c>
      <c r="B259" s="24">
        <f t="shared" si="38"/>
        <v>1.0416666666666667</v>
      </c>
      <c r="C259" s="24">
        <f t="shared" si="39"/>
        <v>1.5</v>
      </c>
      <c r="D259" s="24">
        <f t="shared" si="47"/>
        <v>244</v>
      </c>
      <c r="E259" s="24">
        <f t="shared" si="40"/>
        <v>3.9800000000000004</v>
      </c>
      <c r="F259" s="24">
        <f t="shared" si="36"/>
        <v>316372.5</v>
      </c>
      <c r="G259" s="24">
        <f t="shared" si="41"/>
        <v>5.9272522795741148E-2</v>
      </c>
      <c r="H259" s="24">
        <f t="shared" si="42"/>
        <v>8517561.9968154822</v>
      </c>
      <c r="I259" s="24">
        <f t="shared" si="43"/>
        <v>9258219.5617559589</v>
      </c>
      <c r="J259" s="24">
        <f t="shared" si="37"/>
        <v>7.5</v>
      </c>
      <c r="K259" s="327">
        <f t="shared" si="44"/>
        <v>15000000</v>
      </c>
      <c r="L259" s="56">
        <f t="shared" si="45"/>
        <v>3456000</v>
      </c>
      <c r="M259" s="56">
        <f t="shared" si="46"/>
        <v>12714219.561755959</v>
      </c>
      <c r="N259" s="11">
        <f>IF(COUNTIF(InputOutputData!K$20,"Chlorine") = 1,'More accurate Energy (Solar)'!M259,L259+K259+I259)</f>
        <v>12714219.561755959</v>
      </c>
    </row>
    <row r="260" spans="1:14" ht="14.45">
      <c r="A260" s="24">
        <f>IF(InputOutputData!$E$36=1,'Rainfall Data'!C248,IF(InputOutputData!$E$36=2,'Rainfall Data'!D247,IF(InputOutputData!$E$36=3,'Rainfall Data'!E247,'Rainfall Data'!F247)))</f>
        <v>0.8</v>
      </c>
      <c r="B260" s="24">
        <f t="shared" si="38"/>
        <v>5.5555555555555552E-2</v>
      </c>
      <c r="C260" s="24">
        <f t="shared" si="39"/>
        <v>0.08</v>
      </c>
      <c r="D260" s="24">
        <f t="shared" si="47"/>
        <v>245</v>
      </c>
      <c r="E260" s="24">
        <f t="shared" si="40"/>
        <v>3.6280000000000006</v>
      </c>
      <c r="F260" s="24">
        <f t="shared" si="36"/>
        <v>16873.2</v>
      </c>
      <c r="G260" s="24">
        <f t="shared" si="41"/>
        <v>1.1798845559697837E-2</v>
      </c>
      <c r="H260" s="24">
        <f t="shared" si="42"/>
        <v>2282064.5633099871</v>
      </c>
      <c r="I260" s="24">
        <f t="shared" si="43"/>
        <v>2480504.960119551</v>
      </c>
      <c r="J260" s="24">
        <f t="shared" si="37"/>
        <v>0.4</v>
      </c>
      <c r="K260" s="327">
        <f t="shared" si="44"/>
        <v>800000</v>
      </c>
      <c r="L260" s="56">
        <f t="shared" si="45"/>
        <v>3456000</v>
      </c>
      <c r="M260" s="56">
        <f t="shared" si="46"/>
        <v>5936504.960119551</v>
      </c>
      <c r="N260" s="11">
        <f>IF(COUNTIF(InputOutputData!K$20,"Chlorine") = 1,'More accurate Energy (Solar)'!M260,L260+K260+I260)</f>
        <v>5936504.960119551</v>
      </c>
    </row>
    <row r="261" spans="1:14" ht="14.45">
      <c r="A261" s="24">
        <f>IF(InputOutputData!$E$36=1,'Rainfall Data'!C249,IF(InputOutputData!$E$36=2,'Rainfall Data'!D248,IF(InputOutputData!$E$36=3,'Rainfall Data'!E248,'Rainfall Data'!F248)))</f>
        <v>2.4</v>
      </c>
      <c r="B261" s="24">
        <f t="shared" si="38"/>
        <v>0.16666666666666666</v>
      </c>
      <c r="C261" s="24">
        <f t="shared" si="39"/>
        <v>0.24</v>
      </c>
      <c r="D261" s="24">
        <f t="shared" si="47"/>
        <v>246</v>
      </c>
      <c r="E261" s="24">
        <f t="shared" si="40"/>
        <v>3.4360000000000004</v>
      </c>
      <c r="F261" s="24">
        <f t="shared" si="36"/>
        <v>50619.6</v>
      </c>
      <c r="G261" s="24">
        <f t="shared" si="41"/>
        <v>2.1595011316909298E-2</v>
      </c>
      <c r="H261" s="24">
        <f t="shared" si="42"/>
        <v>3740548.2606073665</v>
      </c>
      <c r="I261" s="24">
        <f t="shared" si="43"/>
        <v>4065813.3267471371</v>
      </c>
      <c r="J261" s="24">
        <f t="shared" si="37"/>
        <v>1.2</v>
      </c>
      <c r="K261" s="327">
        <f t="shared" si="44"/>
        <v>2400000</v>
      </c>
      <c r="L261" s="56">
        <f t="shared" si="45"/>
        <v>3456000</v>
      </c>
      <c r="M261" s="56">
        <f t="shared" si="46"/>
        <v>7521813.3267471371</v>
      </c>
      <c r="N261" s="11">
        <f>IF(COUNTIF(InputOutputData!K$20,"Chlorine") = 1,'More accurate Energy (Solar)'!M261,L261+K261+I261)</f>
        <v>7521813.3267471371</v>
      </c>
    </row>
    <row r="262" spans="1:14" ht="14.45">
      <c r="A262" s="24">
        <f>IF(InputOutputData!$E$36=1,'Rainfall Data'!C250,IF(InputOutputData!$E$36=2,'Rainfall Data'!D249,IF(InputOutputData!$E$36=3,'Rainfall Data'!E249,'Rainfall Data'!F249)))</f>
        <v>0</v>
      </c>
      <c r="B262" s="24">
        <f t="shared" si="38"/>
        <v>0</v>
      </c>
      <c r="C262" s="24">
        <f t="shared" si="39"/>
        <v>0</v>
      </c>
      <c r="D262" s="24">
        <f t="shared" si="47"/>
        <v>247</v>
      </c>
      <c r="E262" s="24">
        <f t="shared" si="40"/>
        <v>3.0040000000000004</v>
      </c>
      <c r="F262" s="24">
        <f t="shared" si="36"/>
        <v>0</v>
      </c>
      <c r="G262" s="24">
        <f t="shared" si="41"/>
        <v>0</v>
      </c>
      <c r="H262" s="24">
        <f t="shared" si="42"/>
        <v>0</v>
      </c>
      <c r="I262" s="24">
        <f t="shared" si="43"/>
        <v>0</v>
      </c>
      <c r="J262" s="24">
        <f t="shared" si="37"/>
        <v>0</v>
      </c>
      <c r="K262" s="327">
        <f t="shared" si="44"/>
        <v>0</v>
      </c>
      <c r="L262" s="56">
        <f t="shared" si="45"/>
        <v>3456000</v>
      </c>
      <c r="M262" s="56">
        <f t="shared" si="46"/>
        <v>3456000</v>
      </c>
      <c r="N262" s="11">
        <f>IF(COUNTIF(InputOutputData!K$20,"Chlorine") = 1,'More accurate Energy (Solar)'!M262,L262+K262+I262)</f>
        <v>3456000</v>
      </c>
    </row>
    <row r="263" spans="1:14" ht="14.45">
      <c r="A263" s="24">
        <f>IF(InputOutputData!$E$36=1,'Rainfall Data'!C251,IF(InputOutputData!$E$36=2,'Rainfall Data'!D250,IF(InputOutputData!$E$36=3,'Rainfall Data'!E250,'Rainfall Data'!F250)))</f>
        <v>1.6</v>
      </c>
      <c r="B263" s="24">
        <f t="shared" si="38"/>
        <v>0.1111111111111111</v>
      </c>
      <c r="C263" s="24">
        <f t="shared" si="39"/>
        <v>0.16</v>
      </c>
      <c r="D263" s="24">
        <f t="shared" si="47"/>
        <v>248</v>
      </c>
      <c r="E263" s="24">
        <f t="shared" si="40"/>
        <v>2.7320000000000002</v>
      </c>
      <c r="F263" s="24">
        <f t="shared" si="36"/>
        <v>33746.400000000001</v>
      </c>
      <c r="G263" s="24">
        <f t="shared" si="41"/>
        <v>1.7276454762570417E-2</v>
      </c>
      <c r="H263" s="24">
        <f t="shared" si="42"/>
        <v>3117043.1329567269</v>
      </c>
      <c r="I263" s="24">
        <f t="shared" si="43"/>
        <v>3388090.3619094859</v>
      </c>
      <c r="J263" s="24">
        <f t="shared" si="37"/>
        <v>0.8</v>
      </c>
      <c r="K263" s="327">
        <f t="shared" si="44"/>
        <v>1600000</v>
      </c>
      <c r="L263" s="56">
        <f t="shared" si="45"/>
        <v>3456000</v>
      </c>
      <c r="M263" s="56">
        <f t="shared" si="46"/>
        <v>6844090.3619094864</v>
      </c>
      <c r="N263" s="11">
        <f>IF(COUNTIF(InputOutputData!K$20,"Chlorine") = 1,'More accurate Energy (Solar)'!M263,L263+K263+I263)</f>
        <v>6844090.3619094864</v>
      </c>
    </row>
    <row r="264" spans="1:14" ht="14.45">
      <c r="A264" s="24">
        <f>IF(InputOutputData!$E$36=1,'Rainfall Data'!C252,IF(InputOutputData!$E$36=2,'Rainfall Data'!D251,IF(InputOutputData!$E$36=3,'Rainfall Data'!E251,'Rainfall Data'!F251)))</f>
        <v>0</v>
      </c>
      <c r="B264" s="24">
        <f t="shared" si="38"/>
        <v>0</v>
      </c>
      <c r="C264" s="24">
        <f t="shared" si="39"/>
        <v>0</v>
      </c>
      <c r="D264" s="24">
        <f t="shared" si="47"/>
        <v>249</v>
      </c>
      <c r="E264" s="24">
        <f t="shared" si="40"/>
        <v>2.3000000000000003</v>
      </c>
      <c r="F264" s="24">
        <f t="shared" si="36"/>
        <v>0</v>
      </c>
      <c r="G264" s="24">
        <f t="shared" si="41"/>
        <v>0</v>
      </c>
      <c r="H264" s="24">
        <f t="shared" si="42"/>
        <v>0</v>
      </c>
      <c r="I264" s="24">
        <f t="shared" si="43"/>
        <v>0</v>
      </c>
      <c r="J264" s="24">
        <f t="shared" si="37"/>
        <v>0</v>
      </c>
      <c r="K264" s="327">
        <f t="shared" si="44"/>
        <v>0</v>
      </c>
      <c r="L264" s="56">
        <f t="shared" si="45"/>
        <v>3456000</v>
      </c>
      <c r="M264" s="56">
        <f t="shared" si="46"/>
        <v>3456000</v>
      </c>
      <c r="N264" s="11">
        <f>IF(COUNTIF(InputOutputData!K$20,"Chlorine") = 1,'More accurate Energy (Solar)'!M264,L264+K264+I264)</f>
        <v>3456000</v>
      </c>
    </row>
    <row r="265" spans="1:14" ht="14.45">
      <c r="A265" s="24">
        <f>IF(InputOutputData!$E$36=1,'Rainfall Data'!C253,IF(InputOutputData!$E$36=2,'Rainfall Data'!D252,IF(InputOutputData!$E$36=3,'Rainfall Data'!E252,'Rainfall Data'!F252)))</f>
        <v>29.6</v>
      </c>
      <c r="B265" s="24">
        <f t="shared" si="38"/>
        <v>1.0416666666666667</v>
      </c>
      <c r="C265" s="24">
        <f t="shared" si="39"/>
        <v>1.5</v>
      </c>
      <c r="D265" s="24">
        <f t="shared" si="47"/>
        <v>250</v>
      </c>
      <c r="E265" s="24">
        <f t="shared" si="40"/>
        <v>3.3680000000000003</v>
      </c>
      <c r="F265" s="24">
        <f t="shared" si="36"/>
        <v>316372.5</v>
      </c>
      <c r="G265" s="24">
        <f t="shared" si="41"/>
        <v>5.9272522795741148E-2</v>
      </c>
      <c r="H265" s="24">
        <f t="shared" si="42"/>
        <v>8517561.9968154822</v>
      </c>
      <c r="I265" s="24">
        <f t="shared" si="43"/>
        <v>9258219.5617559589</v>
      </c>
      <c r="J265" s="24">
        <f t="shared" si="37"/>
        <v>7.5</v>
      </c>
      <c r="K265" s="327">
        <f t="shared" si="44"/>
        <v>15000000</v>
      </c>
      <c r="L265" s="56">
        <f t="shared" si="45"/>
        <v>3456000</v>
      </c>
      <c r="M265" s="56">
        <f t="shared" si="46"/>
        <v>12714219.561755959</v>
      </c>
      <c r="N265" s="11">
        <f>IF(COUNTIF(InputOutputData!K$20,"Chlorine") = 1,'More accurate Energy (Solar)'!M265,L265+K265+I265)</f>
        <v>12714219.561755959</v>
      </c>
    </row>
    <row r="266" spans="1:14" ht="14.45">
      <c r="A266" s="24">
        <f>IF(InputOutputData!$E$36=1,'Rainfall Data'!C254,IF(InputOutputData!$E$36=2,'Rainfall Data'!D253,IF(InputOutputData!$E$36=3,'Rainfall Data'!E253,'Rainfall Data'!F253)))</f>
        <v>13</v>
      </c>
      <c r="B266" s="24">
        <f t="shared" si="38"/>
        <v>0.90277777777777779</v>
      </c>
      <c r="C266" s="24">
        <f t="shared" si="39"/>
        <v>1.3</v>
      </c>
      <c r="D266" s="24">
        <f t="shared" si="47"/>
        <v>251</v>
      </c>
      <c r="E266" s="24">
        <f t="shared" si="40"/>
        <v>4.2360000000000007</v>
      </c>
      <c r="F266" s="24">
        <f t="shared" si="36"/>
        <v>274189.5</v>
      </c>
      <c r="G266" s="24">
        <f t="shared" si="41"/>
        <v>5.4770973691154398E-2</v>
      </c>
      <c r="H266" s="24">
        <f t="shared" si="42"/>
        <v>7988593.9537653979</v>
      </c>
      <c r="I266" s="24">
        <f t="shared" si="43"/>
        <v>8683254.2975710835</v>
      </c>
      <c r="J266" s="24">
        <f t="shared" si="37"/>
        <v>6.5</v>
      </c>
      <c r="K266" s="327">
        <f t="shared" si="44"/>
        <v>13000000</v>
      </c>
      <c r="L266" s="56">
        <f t="shared" si="45"/>
        <v>3456000</v>
      </c>
      <c r="M266" s="56">
        <f t="shared" si="46"/>
        <v>12139254.297571084</v>
      </c>
      <c r="N266" s="11">
        <f>IF(COUNTIF(InputOutputData!K$20,"Chlorine") = 1,'More accurate Energy (Solar)'!M266,L266+K266+I266)</f>
        <v>12139254.297571084</v>
      </c>
    </row>
    <row r="267" spans="1:14" ht="14.45">
      <c r="A267" s="24">
        <f>IF(InputOutputData!$E$36=1,'Rainfall Data'!C255,IF(InputOutputData!$E$36=2,'Rainfall Data'!D254,IF(InputOutputData!$E$36=3,'Rainfall Data'!E254,'Rainfall Data'!F254)))</f>
        <v>1.4</v>
      </c>
      <c r="B267" s="24">
        <f t="shared" si="38"/>
        <v>9.722222222222221E-2</v>
      </c>
      <c r="C267" s="24">
        <f t="shared" si="39"/>
        <v>0.13999999999999999</v>
      </c>
      <c r="D267" s="24">
        <f t="shared" si="47"/>
        <v>252</v>
      </c>
      <c r="E267" s="24">
        <f t="shared" si="40"/>
        <v>3.9440000000000008</v>
      </c>
      <c r="F267" s="24">
        <f t="shared" si="36"/>
        <v>29528.1</v>
      </c>
      <c r="G267" s="24">
        <f t="shared" si="41"/>
        <v>1.6052656140628618E-2</v>
      </c>
      <c r="H267" s="24">
        <f t="shared" si="42"/>
        <v>2935341.194116177</v>
      </c>
      <c r="I267" s="24">
        <f t="shared" si="43"/>
        <v>3190588.2544741053</v>
      </c>
      <c r="J267" s="24">
        <f t="shared" si="37"/>
        <v>0.7</v>
      </c>
      <c r="K267" s="327">
        <f t="shared" si="44"/>
        <v>1400000</v>
      </c>
      <c r="L267" s="56">
        <f t="shared" si="45"/>
        <v>3456000</v>
      </c>
      <c r="M267" s="56">
        <f t="shared" si="46"/>
        <v>6646588.2544741053</v>
      </c>
      <c r="N267" s="11">
        <f>IF(COUNTIF(InputOutputData!K$20,"Chlorine") = 1,'More accurate Energy (Solar)'!M267,L267+K267+I267)</f>
        <v>6646588.2544741053</v>
      </c>
    </row>
    <row r="268" spans="1:14" ht="14.45">
      <c r="A268" s="24">
        <f>IF(InputOutputData!$E$36=1,'Rainfall Data'!C256,IF(InputOutputData!$E$36=2,'Rainfall Data'!D255,IF(InputOutputData!$E$36=3,'Rainfall Data'!E255,'Rainfall Data'!F255)))</f>
        <v>0</v>
      </c>
      <c r="B268" s="24">
        <f t="shared" si="38"/>
        <v>0</v>
      </c>
      <c r="C268" s="24">
        <f t="shared" si="39"/>
        <v>0</v>
      </c>
      <c r="D268" s="24">
        <f t="shared" si="47"/>
        <v>253</v>
      </c>
      <c r="E268" s="24">
        <f t="shared" si="40"/>
        <v>3.5120000000000009</v>
      </c>
      <c r="F268" s="24">
        <f t="shared" si="36"/>
        <v>0</v>
      </c>
      <c r="G268" s="24">
        <f t="shared" si="41"/>
        <v>0</v>
      </c>
      <c r="H268" s="24">
        <f t="shared" si="42"/>
        <v>0</v>
      </c>
      <c r="I268" s="24">
        <f t="shared" si="43"/>
        <v>0</v>
      </c>
      <c r="J268" s="24">
        <f t="shared" si="37"/>
        <v>0</v>
      </c>
      <c r="K268" s="327">
        <f t="shared" si="44"/>
        <v>0</v>
      </c>
      <c r="L268" s="56">
        <f t="shared" si="45"/>
        <v>3456000</v>
      </c>
      <c r="M268" s="56">
        <f t="shared" si="46"/>
        <v>3456000</v>
      </c>
      <c r="N268" s="11">
        <f>IF(COUNTIF(InputOutputData!K$20,"Chlorine") = 1,'More accurate Energy (Solar)'!M268,L268+K268+I268)</f>
        <v>3456000</v>
      </c>
    </row>
    <row r="269" spans="1:14" ht="14.45">
      <c r="A269" s="24">
        <f>IF(InputOutputData!$E$36=1,'Rainfall Data'!C257,IF(InputOutputData!$E$36=2,'Rainfall Data'!D256,IF(InputOutputData!$E$36=3,'Rainfall Data'!E256,'Rainfall Data'!F256)))</f>
        <v>0</v>
      </c>
      <c r="B269" s="24">
        <f t="shared" si="38"/>
        <v>0</v>
      </c>
      <c r="C269" s="24">
        <f t="shared" si="39"/>
        <v>0</v>
      </c>
      <c r="D269" s="24">
        <f t="shared" si="47"/>
        <v>254</v>
      </c>
      <c r="E269" s="24">
        <f t="shared" si="40"/>
        <v>3.080000000000001</v>
      </c>
      <c r="F269" s="24">
        <f t="shared" si="36"/>
        <v>0</v>
      </c>
      <c r="G269" s="24">
        <f t="shared" si="41"/>
        <v>0</v>
      </c>
      <c r="H269" s="24">
        <f t="shared" si="42"/>
        <v>0</v>
      </c>
      <c r="I269" s="24">
        <f t="shared" si="43"/>
        <v>0</v>
      </c>
      <c r="J269" s="24">
        <f t="shared" si="37"/>
        <v>0</v>
      </c>
      <c r="K269" s="327">
        <f t="shared" si="44"/>
        <v>0</v>
      </c>
      <c r="L269" s="56">
        <f t="shared" si="45"/>
        <v>3456000</v>
      </c>
      <c r="M269" s="56">
        <f t="shared" si="46"/>
        <v>3456000</v>
      </c>
      <c r="N269" s="11">
        <f>IF(COUNTIF(InputOutputData!K$20,"Chlorine") = 1,'More accurate Energy (Solar)'!M269,L269+K269+I269)</f>
        <v>3456000</v>
      </c>
    </row>
    <row r="270" spans="1:14" ht="14.45">
      <c r="A270" s="24">
        <f>IF(InputOutputData!$E$36=1,'Rainfall Data'!C258,IF(InputOutputData!$E$36=2,'Rainfall Data'!D257,IF(InputOutputData!$E$36=3,'Rainfall Data'!E257,'Rainfall Data'!F257)))</f>
        <v>0</v>
      </c>
      <c r="B270" s="24">
        <f t="shared" si="38"/>
        <v>0</v>
      </c>
      <c r="C270" s="24">
        <f t="shared" si="39"/>
        <v>0</v>
      </c>
      <c r="D270" s="24">
        <f t="shared" si="47"/>
        <v>255</v>
      </c>
      <c r="E270" s="24">
        <f t="shared" si="40"/>
        <v>2.648000000000001</v>
      </c>
      <c r="F270" s="24">
        <f t="shared" si="36"/>
        <v>0</v>
      </c>
      <c r="G270" s="24">
        <f t="shared" si="41"/>
        <v>0</v>
      </c>
      <c r="H270" s="24">
        <f t="shared" si="42"/>
        <v>0</v>
      </c>
      <c r="I270" s="24">
        <f t="shared" si="43"/>
        <v>0</v>
      </c>
      <c r="J270" s="24">
        <f t="shared" si="37"/>
        <v>0</v>
      </c>
      <c r="K270" s="327">
        <f t="shared" si="44"/>
        <v>0</v>
      </c>
      <c r="L270" s="56">
        <f t="shared" si="45"/>
        <v>3456000</v>
      </c>
      <c r="M270" s="56">
        <f t="shared" si="46"/>
        <v>3456000</v>
      </c>
      <c r="N270" s="11">
        <f>IF(COUNTIF(InputOutputData!K$20,"Chlorine") = 1,'More accurate Energy (Solar)'!M270,L270+K270+I270)</f>
        <v>3456000</v>
      </c>
    </row>
    <row r="271" spans="1:14" ht="14.45">
      <c r="A271" s="24">
        <f>IF(InputOutputData!$E$36=1,'Rainfall Data'!C259,IF(InputOutputData!$E$36=2,'Rainfall Data'!D258,IF(InputOutputData!$E$36=3,'Rainfall Data'!E258,'Rainfall Data'!F258)))</f>
        <v>0</v>
      </c>
      <c r="B271" s="24">
        <f t="shared" si="38"/>
        <v>0</v>
      </c>
      <c r="C271" s="24">
        <f t="shared" si="39"/>
        <v>0</v>
      </c>
      <c r="D271" s="24">
        <f t="shared" si="47"/>
        <v>256</v>
      </c>
      <c r="E271" s="24">
        <f t="shared" si="40"/>
        <v>2.2160000000000011</v>
      </c>
      <c r="F271" s="24">
        <f t="shared" si="36"/>
        <v>0</v>
      </c>
      <c r="G271" s="24">
        <f t="shared" si="41"/>
        <v>0</v>
      </c>
      <c r="H271" s="24">
        <f t="shared" si="42"/>
        <v>0</v>
      </c>
      <c r="I271" s="24">
        <f t="shared" si="43"/>
        <v>0</v>
      </c>
      <c r="J271" s="24">
        <f t="shared" si="37"/>
        <v>0</v>
      </c>
      <c r="K271" s="327">
        <f t="shared" si="44"/>
        <v>0</v>
      </c>
      <c r="L271" s="56">
        <f t="shared" si="45"/>
        <v>3456000</v>
      </c>
      <c r="M271" s="56">
        <f t="shared" si="46"/>
        <v>3456000</v>
      </c>
      <c r="N271" s="11">
        <f>IF(COUNTIF(InputOutputData!K$20,"Chlorine") = 1,'More accurate Energy (Solar)'!M271,L271+K271+I271)</f>
        <v>3456000</v>
      </c>
    </row>
    <row r="272" spans="1:14" ht="14.45">
      <c r="A272" s="24">
        <f>IF(InputOutputData!$E$36=1,'Rainfall Data'!C260,IF(InputOutputData!$E$36=2,'Rainfall Data'!D259,IF(InputOutputData!$E$36=3,'Rainfall Data'!E259,'Rainfall Data'!F259)))</f>
        <v>0</v>
      </c>
      <c r="B272" s="24">
        <f t="shared" si="38"/>
        <v>0</v>
      </c>
      <c r="C272" s="24">
        <f t="shared" si="39"/>
        <v>0</v>
      </c>
      <c r="D272" s="24">
        <f t="shared" si="47"/>
        <v>257</v>
      </c>
      <c r="E272" s="24">
        <f t="shared" si="40"/>
        <v>1.7840000000000011</v>
      </c>
      <c r="F272" s="24">
        <f t="shared" ref="F272:F335" si="48">C272*$V$1*$V$2*$E$7</f>
        <v>0</v>
      </c>
      <c r="G272" s="24">
        <f t="shared" si="41"/>
        <v>0</v>
      </c>
      <c r="H272" s="24">
        <f t="shared" si="42"/>
        <v>0</v>
      </c>
      <c r="I272" s="24">
        <f t="shared" si="43"/>
        <v>0</v>
      </c>
      <c r="J272" s="24">
        <f t="shared" ref="J272:J335" si="49">($M$7 / $M$6) * C272</f>
        <v>0</v>
      </c>
      <c r="K272" s="327">
        <f t="shared" si="44"/>
        <v>0</v>
      </c>
      <c r="L272" s="56">
        <f t="shared" si="45"/>
        <v>3456000</v>
      </c>
      <c r="M272" s="56">
        <f t="shared" si="46"/>
        <v>3456000</v>
      </c>
      <c r="N272" s="11">
        <f>IF(COUNTIF(InputOutputData!K$20,"Chlorine") = 1,'More accurate Energy (Solar)'!M272,L272+K272+I272)</f>
        <v>3456000</v>
      </c>
    </row>
    <row r="273" spans="1:14" ht="14.45">
      <c r="A273" s="24">
        <f>IF(InputOutputData!$E$36=1,'Rainfall Data'!C261,IF(InputOutputData!$E$36=2,'Rainfall Data'!D260,IF(InputOutputData!$E$36=3,'Rainfall Data'!E260,'Rainfall Data'!F260)))</f>
        <v>2</v>
      </c>
      <c r="B273" s="24">
        <f t="shared" ref="B273:B336" si="50">C273*100/144</f>
        <v>0.1388888888888889</v>
      </c>
      <c r="C273" s="24">
        <f t="shared" ref="C273:C336" si="51">MIN((A273/1000)*$E$3,$E$4)</f>
        <v>0.2</v>
      </c>
      <c r="D273" s="24">
        <f t="shared" si="47"/>
        <v>258</v>
      </c>
      <c r="E273" s="24">
        <f t="shared" ref="E273:E336" si="52">MAX(MIN(C273 - (IF(D273 &gt; $E$8, $E$2 / 1000,0)) + E272, $E$5),0)</f>
        <v>1.5520000000000012</v>
      </c>
      <c r="F273" s="24">
        <f t="shared" si="48"/>
        <v>42183</v>
      </c>
      <c r="G273" s="24">
        <f t="shared" ref="G273:G336" si="53">1.2*$V$8*(EXP(B273/$M$3)-1-(1.72*((B273/$M$3)^4)))^($V$9)</f>
        <v>1.953347190413058E-2</v>
      </c>
      <c r="H273" s="24">
        <f t="shared" ref="H273:H336" si="54">IF(C273 = 0,0,$M$2*C273/G273 * 1000)</f>
        <v>3446101.0658914233</v>
      </c>
      <c r="I273" s="24">
        <f t="shared" ref="I273:I336" si="55">H273/0.92</f>
        <v>3745762.0281428513</v>
      </c>
      <c r="J273" s="24">
        <f t="shared" si="49"/>
        <v>1</v>
      </c>
      <c r="K273" s="327">
        <f t="shared" ref="K273:K336" si="56">$M$8 * 10^6 * J273</f>
        <v>2000000</v>
      </c>
      <c r="L273" s="56">
        <f t="shared" ref="L273:L336" si="57">$Q$6 * 24 * 3600</f>
        <v>3456000</v>
      </c>
      <c r="M273" s="56">
        <f t="shared" ref="M273:M336" si="58">L273+I273</f>
        <v>7201762.0281428508</v>
      </c>
      <c r="N273" s="11">
        <f>IF(COUNTIF(InputOutputData!K$20,"Chlorine") = 1,'More accurate Energy (Solar)'!M273,L273+K273+I273)</f>
        <v>7201762.0281428508</v>
      </c>
    </row>
    <row r="274" spans="1:14" ht="14.45">
      <c r="A274" s="24">
        <f>IF(InputOutputData!$E$36=1,'Rainfall Data'!C262,IF(InputOutputData!$E$36=2,'Rainfall Data'!D261,IF(InputOutputData!$E$36=3,'Rainfall Data'!E261,'Rainfall Data'!F261)))</f>
        <v>4</v>
      </c>
      <c r="B274" s="24">
        <f t="shared" si="50"/>
        <v>0.27777777777777779</v>
      </c>
      <c r="C274" s="24">
        <f t="shared" si="51"/>
        <v>0.4</v>
      </c>
      <c r="D274" s="24">
        <f t="shared" ref="D274:D337" si="59">D273+1</f>
        <v>259</v>
      </c>
      <c r="E274" s="24">
        <f t="shared" si="52"/>
        <v>1.5200000000000011</v>
      </c>
      <c r="F274" s="24">
        <f t="shared" si="48"/>
        <v>84366</v>
      </c>
      <c r="G274" s="24">
        <f t="shared" si="53"/>
        <v>2.8606682038735863E-2</v>
      </c>
      <c r="H274" s="24">
        <f t="shared" si="54"/>
        <v>4706195.4447031152</v>
      </c>
      <c r="I274" s="24">
        <f t="shared" si="55"/>
        <v>5115429.8311990378</v>
      </c>
      <c r="J274" s="24">
        <f t="shared" si="49"/>
        <v>2</v>
      </c>
      <c r="K274" s="327">
        <f t="shared" si="56"/>
        <v>4000000</v>
      </c>
      <c r="L274" s="56">
        <f t="shared" si="57"/>
        <v>3456000</v>
      </c>
      <c r="M274" s="56">
        <f t="shared" si="58"/>
        <v>8571429.8311990388</v>
      </c>
      <c r="N274" s="11">
        <f>IF(COUNTIF(InputOutputData!K$20,"Chlorine") = 1,'More accurate Energy (Solar)'!M274,L274+K274+I274)</f>
        <v>8571429.8311990388</v>
      </c>
    </row>
    <row r="275" spans="1:14" ht="14.45">
      <c r="A275" s="24">
        <f>IF(InputOutputData!$E$36=1,'Rainfall Data'!C263,IF(InputOutputData!$E$36=2,'Rainfall Data'!D262,IF(InputOutputData!$E$36=3,'Rainfall Data'!E262,'Rainfall Data'!F262)))</f>
        <v>2.8</v>
      </c>
      <c r="B275" s="24">
        <f t="shared" si="50"/>
        <v>0.19444444444444442</v>
      </c>
      <c r="C275" s="24">
        <f t="shared" si="51"/>
        <v>0.27999999999999997</v>
      </c>
      <c r="D275" s="24">
        <f t="shared" si="59"/>
        <v>260</v>
      </c>
      <c r="E275" s="24">
        <f t="shared" si="52"/>
        <v>1.3680000000000012</v>
      </c>
      <c r="F275" s="24">
        <f t="shared" si="48"/>
        <v>59056.2</v>
      </c>
      <c r="G275" s="24">
        <f t="shared" si="53"/>
        <v>2.3507068854835791E-2</v>
      </c>
      <c r="H275" s="24">
        <f t="shared" si="54"/>
        <v>4009008.7909770021</v>
      </c>
      <c r="I275" s="24">
        <f t="shared" si="55"/>
        <v>4357618.2510619583</v>
      </c>
      <c r="J275" s="24">
        <f t="shared" si="49"/>
        <v>1.4</v>
      </c>
      <c r="K275" s="327">
        <f t="shared" si="56"/>
        <v>2800000</v>
      </c>
      <c r="L275" s="56">
        <f t="shared" si="57"/>
        <v>3456000</v>
      </c>
      <c r="M275" s="56">
        <f t="shared" si="58"/>
        <v>7813618.2510619583</v>
      </c>
      <c r="N275" s="11">
        <f>IF(COUNTIF(InputOutputData!K$20,"Chlorine") = 1,'More accurate Energy (Solar)'!M275,L275+K275+I275)</f>
        <v>7813618.2510619583</v>
      </c>
    </row>
    <row r="276" spans="1:14" ht="14.45">
      <c r="A276" s="24">
        <f>IF(InputOutputData!$E$36=1,'Rainfall Data'!C264,IF(InputOutputData!$E$36=2,'Rainfall Data'!D263,IF(InputOutputData!$E$36=3,'Rainfall Data'!E263,'Rainfall Data'!F263)))</f>
        <v>46.4</v>
      </c>
      <c r="B276" s="24">
        <f t="shared" si="50"/>
        <v>1.0416666666666667</v>
      </c>
      <c r="C276" s="24">
        <f t="shared" si="51"/>
        <v>1.5</v>
      </c>
      <c r="D276" s="24">
        <f t="shared" si="59"/>
        <v>261</v>
      </c>
      <c r="E276" s="24">
        <f t="shared" si="52"/>
        <v>2.4360000000000013</v>
      </c>
      <c r="F276" s="24">
        <f t="shared" si="48"/>
        <v>316372.5</v>
      </c>
      <c r="G276" s="24">
        <f t="shared" si="53"/>
        <v>5.9272522795741148E-2</v>
      </c>
      <c r="H276" s="24">
        <f t="shared" si="54"/>
        <v>8517561.9968154822</v>
      </c>
      <c r="I276" s="24">
        <f t="shared" si="55"/>
        <v>9258219.5617559589</v>
      </c>
      <c r="J276" s="24">
        <f t="shared" si="49"/>
        <v>7.5</v>
      </c>
      <c r="K276" s="327">
        <f t="shared" si="56"/>
        <v>15000000</v>
      </c>
      <c r="L276" s="56">
        <f t="shared" si="57"/>
        <v>3456000</v>
      </c>
      <c r="M276" s="56">
        <f t="shared" si="58"/>
        <v>12714219.561755959</v>
      </c>
      <c r="N276" s="11">
        <f>IF(COUNTIF(InputOutputData!K$20,"Chlorine") = 1,'More accurate Energy (Solar)'!M276,L276+K276+I276)</f>
        <v>12714219.561755959</v>
      </c>
    </row>
    <row r="277" spans="1:14" ht="14.45">
      <c r="A277" s="24">
        <f>IF(InputOutputData!$E$36=1,'Rainfall Data'!C265,IF(InputOutputData!$E$36=2,'Rainfall Data'!D264,IF(InputOutputData!$E$36=3,'Rainfall Data'!E264,'Rainfall Data'!F264)))</f>
        <v>86.8</v>
      </c>
      <c r="B277" s="24">
        <f t="shared" si="50"/>
        <v>1.0416666666666667</v>
      </c>
      <c r="C277" s="24">
        <f t="shared" si="51"/>
        <v>1.5</v>
      </c>
      <c r="D277" s="24">
        <f t="shared" si="59"/>
        <v>262</v>
      </c>
      <c r="E277" s="24">
        <f t="shared" si="52"/>
        <v>3.5040000000000013</v>
      </c>
      <c r="F277" s="24">
        <f t="shared" si="48"/>
        <v>316372.5</v>
      </c>
      <c r="G277" s="24">
        <f t="shared" si="53"/>
        <v>5.9272522795741148E-2</v>
      </c>
      <c r="H277" s="24">
        <f t="shared" si="54"/>
        <v>8517561.9968154822</v>
      </c>
      <c r="I277" s="24">
        <f t="shared" si="55"/>
        <v>9258219.5617559589</v>
      </c>
      <c r="J277" s="24">
        <f t="shared" si="49"/>
        <v>7.5</v>
      </c>
      <c r="K277" s="327">
        <f t="shared" si="56"/>
        <v>15000000</v>
      </c>
      <c r="L277" s="56">
        <f t="shared" si="57"/>
        <v>3456000</v>
      </c>
      <c r="M277" s="56">
        <f t="shared" si="58"/>
        <v>12714219.561755959</v>
      </c>
      <c r="N277" s="11">
        <f>IF(COUNTIF(InputOutputData!K$20,"Chlorine") = 1,'More accurate Energy (Solar)'!M277,L277+K277+I277)</f>
        <v>12714219.561755959</v>
      </c>
    </row>
    <row r="278" spans="1:14" ht="14.45">
      <c r="A278" s="24">
        <f>IF(InputOutputData!$E$36=1,'Rainfall Data'!C266,IF(InputOutputData!$E$36=2,'Rainfall Data'!D265,IF(InputOutputData!$E$36=3,'Rainfall Data'!E265,'Rainfall Data'!F265)))</f>
        <v>1.4</v>
      </c>
      <c r="B278" s="24">
        <f t="shared" si="50"/>
        <v>9.722222222222221E-2</v>
      </c>
      <c r="C278" s="24">
        <f t="shared" si="51"/>
        <v>0.13999999999999999</v>
      </c>
      <c r="D278" s="24">
        <f t="shared" si="59"/>
        <v>263</v>
      </c>
      <c r="E278" s="24">
        <f t="shared" si="52"/>
        <v>3.2120000000000015</v>
      </c>
      <c r="F278" s="24">
        <f t="shared" si="48"/>
        <v>29528.1</v>
      </c>
      <c r="G278" s="24">
        <f t="shared" si="53"/>
        <v>1.6052656140628618E-2</v>
      </c>
      <c r="H278" s="24">
        <f t="shared" si="54"/>
        <v>2935341.194116177</v>
      </c>
      <c r="I278" s="24">
        <f t="shared" si="55"/>
        <v>3190588.2544741053</v>
      </c>
      <c r="J278" s="24">
        <f t="shared" si="49"/>
        <v>0.7</v>
      </c>
      <c r="K278" s="327">
        <f t="shared" si="56"/>
        <v>1400000</v>
      </c>
      <c r="L278" s="56">
        <f t="shared" si="57"/>
        <v>3456000</v>
      </c>
      <c r="M278" s="56">
        <f t="shared" si="58"/>
        <v>6646588.2544741053</v>
      </c>
      <c r="N278" s="11">
        <f>IF(COUNTIF(InputOutputData!K$20,"Chlorine") = 1,'More accurate Energy (Solar)'!M278,L278+K278+I278)</f>
        <v>6646588.2544741053</v>
      </c>
    </row>
    <row r="279" spans="1:14" ht="14.45">
      <c r="A279" s="24">
        <f>IF(InputOutputData!$E$36=1,'Rainfall Data'!C267,IF(InputOutputData!$E$36=2,'Rainfall Data'!D266,IF(InputOutputData!$E$36=3,'Rainfall Data'!E266,'Rainfall Data'!F266)))</f>
        <v>4.2</v>
      </c>
      <c r="B279" s="24">
        <f t="shared" si="50"/>
        <v>0.29166666666666674</v>
      </c>
      <c r="C279" s="24">
        <f t="shared" si="51"/>
        <v>0.42000000000000004</v>
      </c>
      <c r="D279" s="24">
        <f t="shared" si="59"/>
        <v>264</v>
      </c>
      <c r="E279" s="24">
        <f t="shared" si="52"/>
        <v>3.2000000000000015</v>
      </c>
      <c r="F279" s="24">
        <f t="shared" si="48"/>
        <v>88584.300000000017</v>
      </c>
      <c r="G279" s="24">
        <f t="shared" si="53"/>
        <v>2.938554563262399E-2</v>
      </c>
      <c r="H279" s="24">
        <f t="shared" si="54"/>
        <v>4810530.6704521049</v>
      </c>
      <c r="I279" s="24">
        <f t="shared" si="55"/>
        <v>5228837.6852740264</v>
      </c>
      <c r="J279" s="24">
        <f t="shared" si="49"/>
        <v>2.1</v>
      </c>
      <c r="K279" s="327">
        <f t="shared" si="56"/>
        <v>4200000</v>
      </c>
      <c r="L279" s="56">
        <f t="shared" si="57"/>
        <v>3456000</v>
      </c>
      <c r="M279" s="56">
        <f t="shared" si="58"/>
        <v>8684837.6852740273</v>
      </c>
      <c r="N279" s="11">
        <f>IF(COUNTIF(InputOutputData!K$20,"Chlorine") = 1,'More accurate Energy (Solar)'!M279,L279+K279+I279)</f>
        <v>8684837.6852740273</v>
      </c>
    </row>
    <row r="280" spans="1:14" ht="14.45">
      <c r="A280" s="24">
        <f>IF(InputOutputData!$E$36=1,'Rainfall Data'!C268,IF(InputOutputData!$E$36=2,'Rainfall Data'!D267,IF(InputOutputData!$E$36=3,'Rainfall Data'!E267,'Rainfall Data'!F267)))</f>
        <v>39.799999999999997</v>
      </c>
      <c r="B280" s="24">
        <f t="shared" si="50"/>
        <v>1.0416666666666667</v>
      </c>
      <c r="C280" s="24">
        <f t="shared" si="51"/>
        <v>1.5</v>
      </c>
      <c r="D280" s="24">
        <f t="shared" si="59"/>
        <v>265</v>
      </c>
      <c r="E280" s="24">
        <f t="shared" si="52"/>
        <v>4.2680000000000016</v>
      </c>
      <c r="F280" s="24">
        <f t="shared" si="48"/>
        <v>316372.5</v>
      </c>
      <c r="G280" s="24">
        <f t="shared" si="53"/>
        <v>5.9272522795741148E-2</v>
      </c>
      <c r="H280" s="24">
        <f t="shared" si="54"/>
        <v>8517561.9968154822</v>
      </c>
      <c r="I280" s="24">
        <f t="shared" si="55"/>
        <v>9258219.5617559589</v>
      </c>
      <c r="J280" s="24">
        <f t="shared" si="49"/>
        <v>7.5</v>
      </c>
      <c r="K280" s="327">
        <f t="shared" si="56"/>
        <v>15000000</v>
      </c>
      <c r="L280" s="56">
        <f t="shared" si="57"/>
        <v>3456000</v>
      </c>
      <c r="M280" s="56">
        <f t="shared" si="58"/>
        <v>12714219.561755959</v>
      </c>
      <c r="N280" s="11">
        <f>IF(COUNTIF(InputOutputData!K$20,"Chlorine") = 1,'More accurate Energy (Solar)'!M280,L280+K280+I280)</f>
        <v>12714219.561755959</v>
      </c>
    </row>
    <row r="281" spans="1:14" ht="14.45">
      <c r="A281" s="24">
        <f>IF(InputOutputData!$E$36=1,'Rainfall Data'!C269,IF(InputOutputData!$E$36=2,'Rainfall Data'!D268,IF(InputOutputData!$E$36=3,'Rainfall Data'!E268,'Rainfall Data'!F268)))</f>
        <v>29.8</v>
      </c>
      <c r="B281" s="24">
        <f t="shared" si="50"/>
        <v>1.0416666666666667</v>
      </c>
      <c r="C281" s="24">
        <f t="shared" si="51"/>
        <v>1.5</v>
      </c>
      <c r="D281" s="24">
        <f t="shared" si="59"/>
        <v>266</v>
      </c>
      <c r="E281" s="24">
        <f t="shared" si="52"/>
        <v>5.3360000000000021</v>
      </c>
      <c r="F281" s="24">
        <f t="shared" si="48"/>
        <v>316372.5</v>
      </c>
      <c r="G281" s="24">
        <f t="shared" si="53"/>
        <v>5.9272522795741148E-2</v>
      </c>
      <c r="H281" s="24">
        <f t="shared" si="54"/>
        <v>8517561.9968154822</v>
      </c>
      <c r="I281" s="24">
        <f t="shared" si="55"/>
        <v>9258219.5617559589</v>
      </c>
      <c r="J281" s="24">
        <f t="shared" si="49"/>
        <v>7.5</v>
      </c>
      <c r="K281" s="327">
        <f t="shared" si="56"/>
        <v>15000000</v>
      </c>
      <c r="L281" s="56">
        <f t="shared" si="57"/>
        <v>3456000</v>
      </c>
      <c r="M281" s="56">
        <f t="shared" si="58"/>
        <v>12714219.561755959</v>
      </c>
      <c r="N281" s="11">
        <f>IF(COUNTIF(InputOutputData!K$20,"Chlorine") = 1,'More accurate Energy (Solar)'!M281,L281+K281+I281)</f>
        <v>12714219.561755959</v>
      </c>
    </row>
    <row r="282" spans="1:14" ht="14.45">
      <c r="A282" s="24">
        <f>IF(InputOutputData!$E$36=1,'Rainfall Data'!C270,IF(InputOutputData!$E$36=2,'Rainfall Data'!D269,IF(InputOutputData!$E$36=3,'Rainfall Data'!E269,'Rainfall Data'!F269)))</f>
        <v>11.8</v>
      </c>
      <c r="B282" s="24">
        <f t="shared" si="50"/>
        <v>0.81944444444444453</v>
      </c>
      <c r="C282" s="24">
        <f t="shared" si="51"/>
        <v>1.1800000000000002</v>
      </c>
      <c r="D282" s="24">
        <f t="shared" si="59"/>
        <v>267</v>
      </c>
      <c r="E282" s="24">
        <f t="shared" si="52"/>
        <v>6.0840000000000023</v>
      </c>
      <c r="F282" s="24">
        <f t="shared" si="48"/>
        <v>248879.70000000007</v>
      </c>
      <c r="G282" s="24">
        <f t="shared" si="53"/>
        <v>5.1921085362336715E-2</v>
      </c>
      <c r="H282" s="24">
        <f t="shared" si="54"/>
        <v>7649194.4551964775</v>
      </c>
      <c r="I282" s="24">
        <f t="shared" si="55"/>
        <v>8314341.7991266055</v>
      </c>
      <c r="J282" s="24">
        <f t="shared" si="49"/>
        <v>5.9</v>
      </c>
      <c r="K282" s="327">
        <f t="shared" si="56"/>
        <v>11800000</v>
      </c>
      <c r="L282" s="56">
        <f t="shared" si="57"/>
        <v>3456000</v>
      </c>
      <c r="M282" s="56">
        <f t="shared" si="58"/>
        <v>11770341.799126606</v>
      </c>
      <c r="N282" s="11">
        <f>IF(COUNTIF(InputOutputData!K$20,"Chlorine") = 1,'More accurate Energy (Solar)'!M282,L282+K282+I282)</f>
        <v>11770341.799126606</v>
      </c>
    </row>
    <row r="283" spans="1:14" ht="14.45">
      <c r="A283" s="24">
        <f>IF(InputOutputData!$E$36=1,'Rainfall Data'!C271,IF(InputOutputData!$E$36=2,'Rainfall Data'!D270,IF(InputOutputData!$E$36=3,'Rainfall Data'!E270,'Rainfall Data'!F270)))</f>
        <v>1.6</v>
      </c>
      <c r="B283" s="24">
        <f t="shared" si="50"/>
        <v>0.1111111111111111</v>
      </c>
      <c r="C283" s="24">
        <f t="shared" si="51"/>
        <v>0.16</v>
      </c>
      <c r="D283" s="24">
        <f t="shared" si="59"/>
        <v>268</v>
      </c>
      <c r="E283" s="24">
        <f t="shared" si="52"/>
        <v>5.8120000000000021</v>
      </c>
      <c r="F283" s="24">
        <f t="shared" si="48"/>
        <v>33746.400000000001</v>
      </c>
      <c r="G283" s="24">
        <f t="shared" si="53"/>
        <v>1.7276454762570417E-2</v>
      </c>
      <c r="H283" s="24">
        <f t="shared" si="54"/>
        <v>3117043.1329567269</v>
      </c>
      <c r="I283" s="24">
        <f t="shared" si="55"/>
        <v>3388090.3619094859</v>
      </c>
      <c r="J283" s="24">
        <f t="shared" si="49"/>
        <v>0.8</v>
      </c>
      <c r="K283" s="327">
        <f t="shared" si="56"/>
        <v>1600000</v>
      </c>
      <c r="L283" s="56">
        <f t="shared" si="57"/>
        <v>3456000</v>
      </c>
      <c r="M283" s="56">
        <f t="shared" si="58"/>
        <v>6844090.3619094864</v>
      </c>
      <c r="N283" s="11">
        <f>IF(COUNTIF(InputOutputData!K$20,"Chlorine") = 1,'More accurate Energy (Solar)'!M283,L283+K283+I283)</f>
        <v>6844090.3619094864</v>
      </c>
    </row>
    <row r="284" spans="1:14" ht="14.45">
      <c r="A284" s="24">
        <f>IF(InputOutputData!$E$36=1,'Rainfall Data'!C272,IF(InputOutputData!$E$36=2,'Rainfall Data'!D271,IF(InputOutputData!$E$36=3,'Rainfall Data'!E271,'Rainfall Data'!F271)))</f>
        <v>0</v>
      </c>
      <c r="B284" s="24">
        <f t="shared" si="50"/>
        <v>0</v>
      </c>
      <c r="C284" s="24">
        <f t="shared" si="51"/>
        <v>0</v>
      </c>
      <c r="D284" s="24">
        <f t="shared" si="59"/>
        <v>269</v>
      </c>
      <c r="E284" s="24">
        <f t="shared" si="52"/>
        <v>5.3800000000000017</v>
      </c>
      <c r="F284" s="24">
        <f t="shared" si="48"/>
        <v>0</v>
      </c>
      <c r="G284" s="24">
        <f t="shared" si="53"/>
        <v>0</v>
      </c>
      <c r="H284" s="24">
        <f t="shared" si="54"/>
        <v>0</v>
      </c>
      <c r="I284" s="24">
        <f t="shared" si="55"/>
        <v>0</v>
      </c>
      <c r="J284" s="24">
        <f t="shared" si="49"/>
        <v>0</v>
      </c>
      <c r="K284" s="327">
        <f t="shared" si="56"/>
        <v>0</v>
      </c>
      <c r="L284" s="56">
        <f t="shared" si="57"/>
        <v>3456000</v>
      </c>
      <c r="M284" s="56">
        <f t="shared" si="58"/>
        <v>3456000</v>
      </c>
      <c r="N284" s="11">
        <f>IF(COUNTIF(InputOutputData!K$20,"Chlorine") = 1,'More accurate Energy (Solar)'!M284,L284+K284+I284)</f>
        <v>3456000</v>
      </c>
    </row>
    <row r="285" spans="1:14" ht="14.45">
      <c r="A285" s="24">
        <f>IF(InputOutputData!$E$36=1,'Rainfall Data'!C273,IF(InputOutputData!$E$36=2,'Rainfall Data'!D272,IF(InputOutputData!$E$36=3,'Rainfall Data'!E272,'Rainfall Data'!F272)))</f>
        <v>0</v>
      </c>
      <c r="B285" s="24">
        <f t="shared" si="50"/>
        <v>0</v>
      </c>
      <c r="C285" s="24">
        <f t="shared" si="51"/>
        <v>0</v>
      </c>
      <c r="D285" s="24">
        <f t="shared" si="59"/>
        <v>270</v>
      </c>
      <c r="E285" s="24">
        <f t="shared" si="52"/>
        <v>4.9480000000000013</v>
      </c>
      <c r="F285" s="24">
        <f t="shared" si="48"/>
        <v>0</v>
      </c>
      <c r="G285" s="24">
        <f t="shared" si="53"/>
        <v>0</v>
      </c>
      <c r="H285" s="24">
        <f t="shared" si="54"/>
        <v>0</v>
      </c>
      <c r="I285" s="24">
        <f t="shared" si="55"/>
        <v>0</v>
      </c>
      <c r="J285" s="24">
        <f t="shared" si="49"/>
        <v>0</v>
      </c>
      <c r="K285" s="327">
        <f t="shared" si="56"/>
        <v>0</v>
      </c>
      <c r="L285" s="56">
        <f t="shared" si="57"/>
        <v>3456000</v>
      </c>
      <c r="M285" s="56">
        <f t="shared" si="58"/>
        <v>3456000</v>
      </c>
      <c r="N285" s="11">
        <f>IF(COUNTIF(InputOutputData!K$20,"Chlorine") = 1,'More accurate Energy (Solar)'!M285,L285+K285+I285)</f>
        <v>3456000</v>
      </c>
    </row>
    <row r="286" spans="1:14" ht="14.45">
      <c r="A286" s="24">
        <f>IF(InputOutputData!$E$36=1,'Rainfall Data'!C274,IF(InputOutputData!$E$36=2,'Rainfall Data'!D273,IF(InputOutputData!$E$36=3,'Rainfall Data'!E273,'Rainfall Data'!F273)))</f>
        <v>0</v>
      </c>
      <c r="B286" s="24">
        <f t="shared" si="50"/>
        <v>0</v>
      </c>
      <c r="C286" s="24">
        <f t="shared" si="51"/>
        <v>0</v>
      </c>
      <c r="D286" s="24">
        <f t="shared" si="59"/>
        <v>271</v>
      </c>
      <c r="E286" s="24">
        <f t="shared" si="52"/>
        <v>4.5160000000000009</v>
      </c>
      <c r="F286" s="24">
        <f t="shared" si="48"/>
        <v>0</v>
      </c>
      <c r="G286" s="24">
        <f t="shared" si="53"/>
        <v>0</v>
      </c>
      <c r="H286" s="24">
        <f t="shared" si="54"/>
        <v>0</v>
      </c>
      <c r="I286" s="24">
        <f t="shared" si="55"/>
        <v>0</v>
      </c>
      <c r="J286" s="24">
        <f t="shared" si="49"/>
        <v>0</v>
      </c>
      <c r="K286" s="327">
        <f t="shared" si="56"/>
        <v>0</v>
      </c>
      <c r="L286" s="56">
        <f t="shared" si="57"/>
        <v>3456000</v>
      </c>
      <c r="M286" s="56">
        <f t="shared" si="58"/>
        <v>3456000</v>
      </c>
      <c r="N286" s="11">
        <f>IF(COUNTIF(InputOutputData!K$20,"Chlorine") = 1,'More accurate Energy (Solar)'!M286,L286+K286+I286)</f>
        <v>3456000</v>
      </c>
    </row>
    <row r="287" spans="1:14" ht="14.45">
      <c r="A287" s="24">
        <f>IF(InputOutputData!$E$36=1,'Rainfall Data'!C275,IF(InputOutputData!$E$36=2,'Rainfall Data'!D274,IF(InputOutputData!$E$36=3,'Rainfall Data'!E274,'Rainfall Data'!F274)))</f>
        <v>0</v>
      </c>
      <c r="B287" s="24">
        <f t="shared" si="50"/>
        <v>0</v>
      </c>
      <c r="C287" s="24">
        <f t="shared" si="51"/>
        <v>0</v>
      </c>
      <c r="D287" s="24">
        <f t="shared" si="59"/>
        <v>272</v>
      </c>
      <c r="E287" s="24">
        <f t="shared" si="52"/>
        <v>4.0840000000000005</v>
      </c>
      <c r="F287" s="24">
        <f t="shared" si="48"/>
        <v>0</v>
      </c>
      <c r="G287" s="24">
        <f t="shared" si="53"/>
        <v>0</v>
      </c>
      <c r="H287" s="24">
        <f t="shared" si="54"/>
        <v>0</v>
      </c>
      <c r="I287" s="24">
        <f t="shared" si="55"/>
        <v>0</v>
      </c>
      <c r="J287" s="24">
        <f t="shared" si="49"/>
        <v>0</v>
      </c>
      <c r="K287" s="327">
        <f t="shared" si="56"/>
        <v>0</v>
      </c>
      <c r="L287" s="56">
        <f t="shared" si="57"/>
        <v>3456000</v>
      </c>
      <c r="M287" s="56">
        <f t="shared" si="58"/>
        <v>3456000</v>
      </c>
      <c r="N287" s="11">
        <f>IF(COUNTIF(InputOutputData!K$20,"Chlorine") = 1,'More accurate Energy (Solar)'!M287,L287+K287+I287)</f>
        <v>3456000</v>
      </c>
    </row>
    <row r="288" spans="1:14" ht="14.45">
      <c r="A288" s="24">
        <f>IF(InputOutputData!$E$36=1,'Rainfall Data'!C276,IF(InputOutputData!$E$36=2,'Rainfall Data'!D275,IF(InputOutputData!$E$36=3,'Rainfall Data'!E275,'Rainfall Data'!F275)))</f>
        <v>0</v>
      </c>
      <c r="B288" s="24">
        <f t="shared" si="50"/>
        <v>0</v>
      </c>
      <c r="C288" s="24">
        <f t="shared" si="51"/>
        <v>0</v>
      </c>
      <c r="D288" s="24">
        <f t="shared" si="59"/>
        <v>273</v>
      </c>
      <c r="E288" s="24">
        <f t="shared" si="52"/>
        <v>3.6520000000000006</v>
      </c>
      <c r="F288" s="24">
        <f t="shared" si="48"/>
        <v>0</v>
      </c>
      <c r="G288" s="24">
        <f t="shared" si="53"/>
        <v>0</v>
      </c>
      <c r="H288" s="24">
        <f t="shared" si="54"/>
        <v>0</v>
      </c>
      <c r="I288" s="24">
        <f t="shared" si="55"/>
        <v>0</v>
      </c>
      <c r="J288" s="24">
        <f t="shared" si="49"/>
        <v>0</v>
      </c>
      <c r="K288" s="327">
        <f t="shared" si="56"/>
        <v>0</v>
      </c>
      <c r="L288" s="56">
        <f t="shared" si="57"/>
        <v>3456000</v>
      </c>
      <c r="M288" s="56">
        <f t="shared" si="58"/>
        <v>3456000</v>
      </c>
      <c r="N288" s="11">
        <f>IF(COUNTIF(InputOutputData!K$20,"Chlorine") = 1,'More accurate Energy (Solar)'!M288,L288+K288+I288)</f>
        <v>3456000</v>
      </c>
    </row>
    <row r="289" spans="1:14" ht="14.45">
      <c r="A289" s="24">
        <f>IF(InputOutputData!$E$36=1,'Rainfall Data'!C277,IF(InputOutputData!$E$36=2,'Rainfall Data'!D276,IF(InputOutputData!$E$36=3,'Rainfall Data'!E276,'Rainfall Data'!F276)))</f>
        <v>0</v>
      </c>
      <c r="B289" s="24">
        <f t="shared" si="50"/>
        <v>0</v>
      </c>
      <c r="C289" s="24">
        <f t="shared" si="51"/>
        <v>0</v>
      </c>
      <c r="D289" s="24">
        <f t="shared" si="59"/>
        <v>274</v>
      </c>
      <c r="E289" s="24">
        <f t="shared" si="52"/>
        <v>3.2200000000000006</v>
      </c>
      <c r="F289" s="24">
        <f t="shared" si="48"/>
        <v>0</v>
      </c>
      <c r="G289" s="24">
        <f t="shared" si="53"/>
        <v>0</v>
      </c>
      <c r="H289" s="24">
        <f t="shared" si="54"/>
        <v>0</v>
      </c>
      <c r="I289" s="24">
        <f t="shared" si="55"/>
        <v>0</v>
      </c>
      <c r="J289" s="24">
        <f t="shared" si="49"/>
        <v>0</v>
      </c>
      <c r="K289" s="327">
        <f t="shared" si="56"/>
        <v>0</v>
      </c>
      <c r="L289" s="56">
        <f t="shared" si="57"/>
        <v>3456000</v>
      </c>
      <c r="M289" s="56">
        <f t="shared" si="58"/>
        <v>3456000</v>
      </c>
      <c r="N289" s="11">
        <f>IF(COUNTIF(InputOutputData!K$20,"Chlorine") = 1,'More accurate Energy (Solar)'!M289,L289+K289+I289)</f>
        <v>3456000</v>
      </c>
    </row>
    <row r="290" spans="1:14" ht="14.45">
      <c r="A290" s="24">
        <f>IF(InputOutputData!$E$36=1,'Rainfall Data'!C278,IF(InputOutputData!$E$36=2,'Rainfall Data'!D277,IF(InputOutputData!$E$36=3,'Rainfall Data'!E277,'Rainfall Data'!F277)))</f>
        <v>0</v>
      </c>
      <c r="B290" s="24">
        <f t="shared" si="50"/>
        <v>0</v>
      </c>
      <c r="C290" s="24">
        <f t="shared" si="51"/>
        <v>0</v>
      </c>
      <c r="D290" s="24">
        <f t="shared" si="59"/>
        <v>275</v>
      </c>
      <c r="E290" s="24">
        <f t="shared" si="52"/>
        <v>2.7880000000000007</v>
      </c>
      <c r="F290" s="24">
        <f t="shared" si="48"/>
        <v>0</v>
      </c>
      <c r="G290" s="24">
        <f t="shared" si="53"/>
        <v>0</v>
      </c>
      <c r="H290" s="24">
        <f t="shared" si="54"/>
        <v>0</v>
      </c>
      <c r="I290" s="24">
        <f t="shared" si="55"/>
        <v>0</v>
      </c>
      <c r="J290" s="24">
        <f t="shared" si="49"/>
        <v>0</v>
      </c>
      <c r="K290" s="327">
        <f t="shared" si="56"/>
        <v>0</v>
      </c>
      <c r="L290" s="56">
        <f t="shared" si="57"/>
        <v>3456000</v>
      </c>
      <c r="M290" s="56">
        <f t="shared" si="58"/>
        <v>3456000</v>
      </c>
      <c r="N290" s="11">
        <f>IF(COUNTIF(InputOutputData!K$20,"Chlorine") = 1,'More accurate Energy (Solar)'!M290,L290+K290+I290)</f>
        <v>3456000</v>
      </c>
    </row>
    <row r="291" spans="1:14" ht="14.45">
      <c r="A291" s="24">
        <f>IF(InputOutputData!$E$36=1,'Rainfall Data'!C279,IF(InputOutputData!$E$36=2,'Rainfall Data'!D278,IF(InputOutputData!$E$36=3,'Rainfall Data'!E278,'Rainfall Data'!F278)))</f>
        <v>0</v>
      </c>
      <c r="B291" s="24">
        <f t="shared" si="50"/>
        <v>0</v>
      </c>
      <c r="C291" s="24">
        <f t="shared" si="51"/>
        <v>0</v>
      </c>
      <c r="D291" s="24">
        <f t="shared" si="59"/>
        <v>276</v>
      </c>
      <c r="E291" s="24">
        <f t="shared" si="52"/>
        <v>2.3560000000000008</v>
      </c>
      <c r="F291" s="24">
        <f t="shared" si="48"/>
        <v>0</v>
      </c>
      <c r="G291" s="24">
        <f t="shared" si="53"/>
        <v>0</v>
      </c>
      <c r="H291" s="24">
        <f t="shared" si="54"/>
        <v>0</v>
      </c>
      <c r="I291" s="24">
        <f t="shared" si="55"/>
        <v>0</v>
      </c>
      <c r="J291" s="24">
        <f t="shared" si="49"/>
        <v>0</v>
      </c>
      <c r="K291" s="327">
        <f t="shared" si="56"/>
        <v>0</v>
      </c>
      <c r="L291" s="56">
        <f t="shared" si="57"/>
        <v>3456000</v>
      </c>
      <c r="M291" s="56">
        <f t="shared" si="58"/>
        <v>3456000</v>
      </c>
      <c r="N291" s="11">
        <f>IF(COUNTIF(InputOutputData!K$20,"Chlorine") = 1,'More accurate Energy (Solar)'!M291,L291+K291+I291)</f>
        <v>3456000</v>
      </c>
    </row>
    <row r="292" spans="1:14" ht="14.45">
      <c r="A292" s="24">
        <f>IF(InputOutputData!$E$36=1,'Rainfall Data'!C280,IF(InputOutputData!$E$36=2,'Rainfall Data'!D279,IF(InputOutputData!$E$36=3,'Rainfall Data'!E279,'Rainfall Data'!F279)))</f>
        <v>0</v>
      </c>
      <c r="B292" s="24">
        <f t="shared" si="50"/>
        <v>0</v>
      </c>
      <c r="C292" s="24">
        <f t="shared" si="51"/>
        <v>0</v>
      </c>
      <c r="D292" s="24">
        <f t="shared" si="59"/>
        <v>277</v>
      </c>
      <c r="E292" s="24">
        <f t="shared" si="52"/>
        <v>1.9240000000000008</v>
      </c>
      <c r="F292" s="24">
        <f t="shared" si="48"/>
        <v>0</v>
      </c>
      <c r="G292" s="24">
        <f t="shared" si="53"/>
        <v>0</v>
      </c>
      <c r="H292" s="24">
        <f t="shared" si="54"/>
        <v>0</v>
      </c>
      <c r="I292" s="24">
        <f t="shared" si="55"/>
        <v>0</v>
      </c>
      <c r="J292" s="24">
        <f t="shared" si="49"/>
        <v>0</v>
      </c>
      <c r="K292" s="327">
        <f t="shared" si="56"/>
        <v>0</v>
      </c>
      <c r="L292" s="56">
        <f t="shared" si="57"/>
        <v>3456000</v>
      </c>
      <c r="M292" s="56">
        <f t="shared" si="58"/>
        <v>3456000</v>
      </c>
      <c r="N292" s="11">
        <f>IF(COUNTIF(InputOutputData!K$20,"Chlorine") = 1,'More accurate Energy (Solar)'!M292,L292+K292+I292)</f>
        <v>3456000</v>
      </c>
    </row>
    <row r="293" spans="1:14" ht="14.45">
      <c r="A293" s="24">
        <f>IF(InputOutputData!$E$36=1,'Rainfall Data'!C281,IF(InputOutputData!$E$36=2,'Rainfall Data'!D280,IF(InputOutputData!$E$36=3,'Rainfall Data'!E280,'Rainfall Data'!F280)))</f>
        <v>0</v>
      </c>
      <c r="B293" s="24">
        <f t="shared" si="50"/>
        <v>0</v>
      </c>
      <c r="C293" s="24">
        <f t="shared" si="51"/>
        <v>0</v>
      </c>
      <c r="D293" s="24">
        <f t="shared" si="59"/>
        <v>278</v>
      </c>
      <c r="E293" s="24">
        <f t="shared" si="52"/>
        <v>1.4920000000000009</v>
      </c>
      <c r="F293" s="24">
        <f t="shared" si="48"/>
        <v>0</v>
      </c>
      <c r="G293" s="24">
        <f t="shared" si="53"/>
        <v>0</v>
      </c>
      <c r="H293" s="24">
        <f t="shared" si="54"/>
        <v>0</v>
      </c>
      <c r="I293" s="24">
        <f t="shared" si="55"/>
        <v>0</v>
      </c>
      <c r="J293" s="24">
        <f t="shared" si="49"/>
        <v>0</v>
      </c>
      <c r="K293" s="327">
        <f t="shared" si="56"/>
        <v>0</v>
      </c>
      <c r="L293" s="56">
        <f t="shared" si="57"/>
        <v>3456000</v>
      </c>
      <c r="M293" s="56">
        <f t="shared" si="58"/>
        <v>3456000</v>
      </c>
      <c r="N293" s="11">
        <f>IF(COUNTIF(InputOutputData!K$20,"Chlorine") = 1,'More accurate Energy (Solar)'!M293,L293+K293+I293)</f>
        <v>3456000</v>
      </c>
    </row>
    <row r="294" spans="1:14" ht="14.45">
      <c r="A294" s="24">
        <f>IF(InputOutputData!$E$36=1,'Rainfall Data'!C282,IF(InputOutputData!$E$36=2,'Rainfall Data'!D281,IF(InputOutputData!$E$36=3,'Rainfall Data'!E281,'Rainfall Data'!F281)))</f>
        <v>4</v>
      </c>
      <c r="B294" s="24">
        <f t="shared" si="50"/>
        <v>0.27777777777777779</v>
      </c>
      <c r="C294" s="24">
        <f t="shared" si="51"/>
        <v>0.4</v>
      </c>
      <c r="D294" s="24">
        <f t="shared" si="59"/>
        <v>279</v>
      </c>
      <c r="E294" s="24">
        <f t="shared" si="52"/>
        <v>1.4600000000000009</v>
      </c>
      <c r="F294" s="24">
        <f t="shared" si="48"/>
        <v>84366</v>
      </c>
      <c r="G294" s="24">
        <f t="shared" si="53"/>
        <v>2.8606682038735863E-2</v>
      </c>
      <c r="H294" s="24">
        <f t="shared" si="54"/>
        <v>4706195.4447031152</v>
      </c>
      <c r="I294" s="24">
        <f t="shared" si="55"/>
        <v>5115429.8311990378</v>
      </c>
      <c r="J294" s="24">
        <f t="shared" si="49"/>
        <v>2</v>
      </c>
      <c r="K294" s="327">
        <f t="shared" si="56"/>
        <v>4000000</v>
      </c>
      <c r="L294" s="56">
        <f t="shared" si="57"/>
        <v>3456000</v>
      </c>
      <c r="M294" s="56">
        <f t="shared" si="58"/>
        <v>8571429.8311990388</v>
      </c>
      <c r="N294" s="11">
        <f>IF(COUNTIF(InputOutputData!K$20,"Chlorine") = 1,'More accurate Energy (Solar)'!M294,L294+K294+I294)</f>
        <v>8571429.8311990388</v>
      </c>
    </row>
    <row r="295" spans="1:14" ht="14.45">
      <c r="A295" s="24">
        <f>IF(InputOutputData!$E$36=1,'Rainfall Data'!C283,IF(InputOutputData!$E$36=2,'Rainfall Data'!D282,IF(InputOutputData!$E$36=3,'Rainfall Data'!E282,'Rainfall Data'!F282)))</f>
        <v>15.6</v>
      </c>
      <c r="B295" s="24">
        <f t="shared" si="50"/>
        <v>1.0416666666666667</v>
      </c>
      <c r="C295" s="24">
        <f t="shared" si="51"/>
        <v>1.5</v>
      </c>
      <c r="D295" s="24">
        <f t="shared" si="59"/>
        <v>280</v>
      </c>
      <c r="E295" s="24">
        <f t="shared" si="52"/>
        <v>2.5280000000000009</v>
      </c>
      <c r="F295" s="24">
        <f t="shared" si="48"/>
        <v>316372.5</v>
      </c>
      <c r="G295" s="24">
        <f t="shared" si="53"/>
        <v>5.9272522795741148E-2</v>
      </c>
      <c r="H295" s="24">
        <f t="shared" si="54"/>
        <v>8517561.9968154822</v>
      </c>
      <c r="I295" s="24">
        <f t="shared" si="55"/>
        <v>9258219.5617559589</v>
      </c>
      <c r="J295" s="24">
        <f t="shared" si="49"/>
        <v>7.5</v>
      </c>
      <c r="K295" s="327">
        <f t="shared" si="56"/>
        <v>15000000</v>
      </c>
      <c r="L295" s="56">
        <f t="shared" si="57"/>
        <v>3456000</v>
      </c>
      <c r="M295" s="56">
        <f t="shared" si="58"/>
        <v>12714219.561755959</v>
      </c>
      <c r="N295" s="11">
        <f>IF(COUNTIF(InputOutputData!K$20,"Chlorine") = 1,'More accurate Energy (Solar)'!M295,L295+K295+I295)</f>
        <v>12714219.561755959</v>
      </c>
    </row>
    <row r="296" spans="1:14" ht="14.45">
      <c r="A296" s="24">
        <f>IF(InputOutputData!$E$36=1,'Rainfall Data'!C284,IF(InputOutputData!$E$36=2,'Rainfall Data'!D283,IF(InputOutputData!$E$36=3,'Rainfall Data'!E283,'Rainfall Data'!F283)))</f>
        <v>9.1999999999999993</v>
      </c>
      <c r="B296" s="24">
        <f t="shared" si="50"/>
        <v>0.63888888888888884</v>
      </c>
      <c r="C296" s="24">
        <f t="shared" si="51"/>
        <v>0.91999999999999993</v>
      </c>
      <c r="D296" s="24">
        <f t="shared" si="59"/>
        <v>281</v>
      </c>
      <c r="E296" s="24">
        <f t="shared" si="52"/>
        <v>3.0160000000000009</v>
      </c>
      <c r="F296" s="24">
        <f t="shared" si="48"/>
        <v>194041.8</v>
      </c>
      <c r="G296" s="24">
        <f t="shared" si="53"/>
        <v>4.5262015799365396E-2</v>
      </c>
      <c r="H296" s="24">
        <f t="shared" si="54"/>
        <v>6841185.9025401697</v>
      </c>
      <c r="I296" s="24">
        <f t="shared" si="55"/>
        <v>7436071.6331958361</v>
      </c>
      <c r="J296" s="24">
        <f t="shared" si="49"/>
        <v>4.5999999999999996</v>
      </c>
      <c r="K296" s="327">
        <f t="shared" si="56"/>
        <v>9200000</v>
      </c>
      <c r="L296" s="56">
        <f t="shared" si="57"/>
        <v>3456000</v>
      </c>
      <c r="M296" s="56">
        <f t="shared" si="58"/>
        <v>10892071.633195836</v>
      </c>
      <c r="N296" s="11">
        <f>IF(COUNTIF(InputOutputData!K$20,"Chlorine") = 1,'More accurate Energy (Solar)'!M296,L296+K296+I296)</f>
        <v>10892071.633195836</v>
      </c>
    </row>
    <row r="297" spans="1:14" ht="14.45">
      <c r="A297" s="24">
        <f>IF(InputOutputData!$E$36=1,'Rainfall Data'!C285,IF(InputOutputData!$E$36=2,'Rainfall Data'!D284,IF(InputOutputData!$E$36=3,'Rainfall Data'!E284,'Rainfall Data'!F284)))</f>
        <v>26.4</v>
      </c>
      <c r="B297" s="24">
        <f t="shared" si="50"/>
        <v>1.0416666666666667</v>
      </c>
      <c r="C297" s="24">
        <f t="shared" si="51"/>
        <v>1.5</v>
      </c>
      <c r="D297" s="24">
        <f t="shared" si="59"/>
        <v>282</v>
      </c>
      <c r="E297" s="24">
        <f t="shared" si="52"/>
        <v>4.0840000000000014</v>
      </c>
      <c r="F297" s="24">
        <f t="shared" si="48"/>
        <v>316372.5</v>
      </c>
      <c r="G297" s="24">
        <f t="shared" si="53"/>
        <v>5.9272522795741148E-2</v>
      </c>
      <c r="H297" s="24">
        <f t="shared" si="54"/>
        <v>8517561.9968154822</v>
      </c>
      <c r="I297" s="24">
        <f t="shared" si="55"/>
        <v>9258219.5617559589</v>
      </c>
      <c r="J297" s="24">
        <f t="shared" si="49"/>
        <v>7.5</v>
      </c>
      <c r="K297" s="327">
        <f t="shared" si="56"/>
        <v>15000000</v>
      </c>
      <c r="L297" s="56">
        <f t="shared" si="57"/>
        <v>3456000</v>
      </c>
      <c r="M297" s="56">
        <f t="shared" si="58"/>
        <v>12714219.561755959</v>
      </c>
      <c r="N297" s="11">
        <f>IF(COUNTIF(InputOutputData!K$20,"Chlorine") = 1,'More accurate Energy (Solar)'!M297,L297+K297+I297)</f>
        <v>12714219.561755959</v>
      </c>
    </row>
    <row r="298" spans="1:14" ht="14.45">
      <c r="A298" s="24">
        <f>IF(InputOutputData!$E$36=1,'Rainfall Data'!C286,IF(InputOutputData!$E$36=2,'Rainfall Data'!D285,IF(InputOutputData!$E$36=3,'Rainfall Data'!E285,'Rainfall Data'!F285)))</f>
        <v>27</v>
      </c>
      <c r="B298" s="24">
        <f t="shared" si="50"/>
        <v>1.0416666666666667</v>
      </c>
      <c r="C298" s="24">
        <f t="shared" si="51"/>
        <v>1.5</v>
      </c>
      <c r="D298" s="24">
        <f t="shared" si="59"/>
        <v>283</v>
      </c>
      <c r="E298" s="24">
        <f t="shared" si="52"/>
        <v>5.152000000000001</v>
      </c>
      <c r="F298" s="24">
        <f t="shared" si="48"/>
        <v>316372.5</v>
      </c>
      <c r="G298" s="24">
        <f t="shared" si="53"/>
        <v>5.9272522795741148E-2</v>
      </c>
      <c r="H298" s="24">
        <f t="shared" si="54"/>
        <v>8517561.9968154822</v>
      </c>
      <c r="I298" s="24">
        <f t="shared" si="55"/>
        <v>9258219.5617559589</v>
      </c>
      <c r="J298" s="24">
        <f t="shared" si="49"/>
        <v>7.5</v>
      </c>
      <c r="K298" s="327">
        <f t="shared" si="56"/>
        <v>15000000</v>
      </c>
      <c r="L298" s="56">
        <f t="shared" si="57"/>
        <v>3456000</v>
      </c>
      <c r="M298" s="56">
        <f t="shared" si="58"/>
        <v>12714219.561755959</v>
      </c>
      <c r="N298" s="11">
        <f>IF(COUNTIF(InputOutputData!K$20,"Chlorine") = 1,'More accurate Energy (Solar)'!M298,L298+K298+I298)</f>
        <v>12714219.561755959</v>
      </c>
    </row>
    <row r="299" spans="1:14" ht="14.45">
      <c r="A299" s="24">
        <f>IF(InputOutputData!$E$36=1,'Rainfall Data'!C287,IF(InputOutputData!$E$36=2,'Rainfall Data'!D286,IF(InputOutputData!$E$36=3,'Rainfall Data'!E286,'Rainfall Data'!F286)))</f>
        <v>37.6</v>
      </c>
      <c r="B299" s="24">
        <f t="shared" si="50"/>
        <v>1.0416666666666667</v>
      </c>
      <c r="C299" s="24">
        <f t="shared" si="51"/>
        <v>1.5</v>
      </c>
      <c r="D299" s="24">
        <f t="shared" si="59"/>
        <v>284</v>
      </c>
      <c r="E299" s="24">
        <f t="shared" si="52"/>
        <v>6.2200000000000006</v>
      </c>
      <c r="F299" s="24">
        <f t="shared" si="48"/>
        <v>316372.5</v>
      </c>
      <c r="G299" s="24">
        <f t="shared" si="53"/>
        <v>5.9272522795741148E-2</v>
      </c>
      <c r="H299" s="24">
        <f t="shared" si="54"/>
        <v>8517561.9968154822</v>
      </c>
      <c r="I299" s="24">
        <f t="shared" si="55"/>
        <v>9258219.5617559589</v>
      </c>
      <c r="J299" s="24">
        <f t="shared" si="49"/>
        <v>7.5</v>
      </c>
      <c r="K299" s="327">
        <f t="shared" si="56"/>
        <v>15000000</v>
      </c>
      <c r="L299" s="56">
        <f t="shared" si="57"/>
        <v>3456000</v>
      </c>
      <c r="M299" s="56">
        <f t="shared" si="58"/>
        <v>12714219.561755959</v>
      </c>
      <c r="N299" s="11">
        <f>IF(COUNTIF(InputOutputData!K$20,"Chlorine") = 1,'More accurate Energy (Solar)'!M299,L299+K299+I299)</f>
        <v>12714219.561755959</v>
      </c>
    </row>
    <row r="300" spans="1:14" ht="14.45">
      <c r="A300" s="24">
        <f>IF(InputOutputData!$E$36=1,'Rainfall Data'!C288,IF(InputOutputData!$E$36=2,'Rainfall Data'!D287,IF(InputOutputData!$E$36=3,'Rainfall Data'!E287,'Rainfall Data'!F287)))</f>
        <v>0.8</v>
      </c>
      <c r="B300" s="24">
        <f t="shared" si="50"/>
        <v>5.5555555555555552E-2</v>
      </c>
      <c r="C300" s="24">
        <f t="shared" si="51"/>
        <v>0.08</v>
      </c>
      <c r="D300" s="24">
        <f t="shared" si="59"/>
        <v>285</v>
      </c>
      <c r="E300" s="24">
        <f t="shared" si="52"/>
        <v>5.8680000000000003</v>
      </c>
      <c r="F300" s="24">
        <f t="shared" si="48"/>
        <v>16873.2</v>
      </c>
      <c r="G300" s="24">
        <f t="shared" si="53"/>
        <v>1.1798845559697837E-2</v>
      </c>
      <c r="H300" s="24">
        <f t="shared" si="54"/>
        <v>2282064.5633099871</v>
      </c>
      <c r="I300" s="24">
        <f t="shared" si="55"/>
        <v>2480504.960119551</v>
      </c>
      <c r="J300" s="24">
        <f t="shared" si="49"/>
        <v>0.4</v>
      </c>
      <c r="K300" s="327">
        <f t="shared" si="56"/>
        <v>800000</v>
      </c>
      <c r="L300" s="56">
        <f t="shared" si="57"/>
        <v>3456000</v>
      </c>
      <c r="M300" s="56">
        <f t="shared" si="58"/>
        <v>5936504.960119551</v>
      </c>
      <c r="N300" s="11">
        <f>IF(COUNTIF(InputOutputData!K$20,"Chlorine") = 1,'More accurate Energy (Solar)'!M300,L300+K300+I300)</f>
        <v>5936504.960119551</v>
      </c>
    </row>
    <row r="301" spans="1:14" ht="14.45">
      <c r="A301" s="24">
        <f>IF(InputOutputData!$E$36=1,'Rainfall Data'!C289,IF(InputOutputData!$E$36=2,'Rainfall Data'!D288,IF(InputOutputData!$E$36=3,'Rainfall Data'!E288,'Rainfall Data'!F288)))</f>
        <v>0.6</v>
      </c>
      <c r="B301" s="24">
        <f t="shared" si="50"/>
        <v>4.1666666666666664E-2</v>
      </c>
      <c r="C301" s="24">
        <f t="shared" si="51"/>
        <v>0.06</v>
      </c>
      <c r="D301" s="24">
        <f t="shared" si="59"/>
        <v>286</v>
      </c>
      <c r="E301" s="24">
        <f t="shared" si="52"/>
        <v>5.4960000000000004</v>
      </c>
      <c r="F301" s="24">
        <f t="shared" si="48"/>
        <v>12654.9</v>
      </c>
      <c r="G301" s="24">
        <f t="shared" si="53"/>
        <v>1.0071891960946849E-2</v>
      </c>
      <c r="H301" s="24">
        <f t="shared" si="54"/>
        <v>2005015.1037280308</v>
      </c>
      <c r="I301" s="24">
        <f t="shared" si="55"/>
        <v>2179364.2431826419</v>
      </c>
      <c r="J301" s="24">
        <f t="shared" si="49"/>
        <v>0.3</v>
      </c>
      <c r="K301" s="327">
        <f t="shared" si="56"/>
        <v>600000</v>
      </c>
      <c r="L301" s="56">
        <f t="shared" si="57"/>
        <v>3456000</v>
      </c>
      <c r="M301" s="56">
        <f t="shared" si="58"/>
        <v>5635364.2431826424</v>
      </c>
      <c r="N301" s="11">
        <f>IF(COUNTIF(InputOutputData!K$20,"Chlorine") = 1,'More accurate Energy (Solar)'!M301,L301+K301+I301)</f>
        <v>5635364.2431826424</v>
      </c>
    </row>
    <row r="302" spans="1:14" ht="14.45">
      <c r="A302" s="24">
        <f>IF(InputOutputData!$E$36=1,'Rainfall Data'!C290,IF(InputOutputData!$E$36=2,'Rainfall Data'!D289,IF(InputOutputData!$E$36=3,'Rainfall Data'!E289,'Rainfall Data'!F289)))</f>
        <v>0</v>
      </c>
      <c r="B302" s="24">
        <f t="shared" si="50"/>
        <v>0</v>
      </c>
      <c r="C302" s="24">
        <f t="shared" si="51"/>
        <v>0</v>
      </c>
      <c r="D302" s="24">
        <f t="shared" si="59"/>
        <v>287</v>
      </c>
      <c r="E302" s="24">
        <f t="shared" si="52"/>
        <v>5.0640000000000001</v>
      </c>
      <c r="F302" s="24">
        <f t="shared" si="48"/>
        <v>0</v>
      </c>
      <c r="G302" s="24">
        <f t="shared" si="53"/>
        <v>0</v>
      </c>
      <c r="H302" s="24">
        <f t="shared" si="54"/>
        <v>0</v>
      </c>
      <c r="I302" s="24">
        <f t="shared" si="55"/>
        <v>0</v>
      </c>
      <c r="J302" s="24">
        <f t="shared" si="49"/>
        <v>0</v>
      </c>
      <c r="K302" s="327">
        <f t="shared" si="56"/>
        <v>0</v>
      </c>
      <c r="L302" s="56">
        <f t="shared" si="57"/>
        <v>3456000</v>
      </c>
      <c r="M302" s="56">
        <f t="shared" si="58"/>
        <v>3456000</v>
      </c>
      <c r="N302" s="11">
        <f>IF(COUNTIF(InputOutputData!K$20,"Chlorine") = 1,'More accurate Energy (Solar)'!M302,L302+K302+I302)</f>
        <v>3456000</v>
      </c>
    </row>
    <row r="303" spans="1:14" ht="14.45">
      <c r="A303" s="24">
        <f>IF(InputOutputData!$E$36=1,'Rainfall Data'!C291,IF(InputOutputData!$E$36=2,'Rainfall Data'!D290,IF(InputOutputData!$E$36=3,'Rainfall Data'!E290,'Rainfall Data'!F290)))</f>
        <v>0</v>
      </c>
      <c r="B303" s="24">
        <f t="shared" si="50"/>
        <v>0</v>
      </c>
      <c r="C303" s="24">
        <f t="shared" si="51"/>
        <v>0</v>
      </c>
      <c r="D303" s="24">
        <f t="shared" si="59"/>
        <v>288</v>
      </c>
      <c r="E303" s="24">
        <f t="shared" si="52"/>
        <v>4.6319999999999997</v>
      </c>
      <c r="F303" s="24">
        <f t="shared" si="48"/>
        <v>0</v>
      </c>
      <c r="G303" s="24">
        <f t="shared" si="53"/>
        <v>0</v>
      </c>
      <c r="H303" s="24">
        <f t="shared" si="54"/>
        <v>0</v>
      </c>
      <c r="I303" s="24">
        <f t="shared" si="55"/>
        <v>0</v>
      </c>
      <c r="J303" s="24">
        <f t="shared" si="49"/>
        <v>0</v>
      </c>
      <c r="K303" s="327">
        <f t="shared" si="56"/>
        <v>0</v>
      </c>
      <c r="L303" s="56">
        <f t="shared" si="57"/>
        <v>3456000</v>
      </c>
      <c r="M303" s="56">
        <f t="shared" si="58"/>
        <v>3456000</v>
      </c>
      <c r="N303" s="11">
        <f>IF(COUNTIF(InputOutputData!K$20,"Chlorine") = 1,'More accurate Energy (Solar)'!M303,L303+K303+I303)</f>
        <v>3456000</v>
      </c>
    </row>
    <row r="304" spans="1:14" ht="14.45">
      <c r="A304" s="24">
        <f>IF(InputOutputData!$E$36=1,'Rainfall Data'!C292,IF(InputOutputData!$E$36=2,'Rainfall Data'!D291,IF(InputOutputData!$E$36=3,'Rainfall Data'!E291,'Rainfall Data'!F291)))</f>
        <v>14.2</v>
      </c>
      <c r="B304" s="24">
        <f t="shared" si="50"/>
        <v>0.98611111111111116</v>
      </c>
      <c r="C304" s="24">
        <f t="shared" si="51"/>
        <v>1.42</v>
      </c>
      <c r="D304" s="24">
        <f t="shared" si="59"/>
        <v>289</v>
      </c>
      <c r="E304" s="24">
        <f t="shared" si="52"/>
        <v>5.6199999999999992</v>
      </c>
      <c r="F304" s="24">
        <f t="shared" si="48"/>
        <v>299499.3</v>
      </c>
      <c r="G304" s="24">
        <f t="shared" si="53"/>
        <v>5.7506001084358813E-2</v>
      </c>
      <c r="H304" s="24">
        <f t="shared" si="54"/>
        <v>8310987.5711845327</v>
      </c>
      <c r="I304" s="24">
        <f t="shared" si="55"/>
        <v>9033682.1425918825</v>
      </c>
      <c r="J304" s="24">
        <f t="shared" si="49"/>
        <v>7.1</v>
      </c>
      <c r="K304" s="327">
        <f t="shared" si="56"/>
        <v>14200000</v>
      </c>
      <c r="L304" s="56">
        <f t="shared" si="57"/>
        <v>3456000</v>
      </c>
      <c r="M304" s="56">
        <f t="shared" si="58"/>
        <v>12489682.142591882</v>
      </c>
      <c r="N304" s="11">
        <f>IF(COUNTIF(InputOutputData!K$20,"Chlorine") = 1,'More accurate Energy (Solar)'!M304,L304+K304+I304)</f>
        <v>12489682.142591882</v>
      </c>
    </row>
    <row r="305" spans="1:14" ht="14.45">
      <c r="A305" s="24">
        <f>IF(InputOutputData!$E$36=1,'Rainfall Data'!C293,IF(InputOutputData!$E$36=2,'Rainfall Data'!D292,IF(InputOutputData!$E$36=3,'Rainfall Data'!E292,'Rainfall Data'!F292)))</f>
        <v>6.4</v>
      </c>
      <c r="B305" s="24">
        <f t="shared" si="50"/>
        <v>0.44444444444444442</v>
      </c>
      <c r="C305" s="24">
        <f t="shared" si="51"/>
        <v>0.64</v>
      </c>
      <c r="D305" s="24">
        <f t="shared" si="59"/>
        <v>290</v>
      </c>
      <c r="E305" s="24">
        <f t="shared" si="52"/>
        <v>5.8279999999999994</v>
      </c>
      <c r="F305" s="24">
        <f t="shared" si="48"/>
        <v>134985.60000000001</v>
      </c>
      <c r="G305" s="24">
        <f t="shared" si="53"/>
        <v>3.7057776549355513E-2</v>
      </c>
      <c r="H305" s="24">
        <f t="shared" si="54"/>
        <v>5812702.1849554768</v>
      </c>
      <c r="I305" s="24">
        <f t="shared" si="55"/>
        <v>6318154.5488646487</v>
      </c>
      <c r="J305" s="24">
        <f t="shared" si="49"/>
        <v>3.2</v>
      </c>
      <c r="K305" s="327">
        <f t="shared" si="56"/>
        <v>6400000</v>
      </c>
      <c r="L305" s="56">
        <f t="shared" si="57"/>
        <v>3456000</v>
      </c>
      <c r="M305" s="56">
        <f t="shared" si="58"/>
        <v>9774154.5488646477</v>
      </c>
      <c r="N305" s="11">
        <f>IF(COUNTIF(InputOutputData!K$20,"Chlorine") = 1,'More accurate Energy (Solar)'!M305,L305+K305+I305)</f>
        <v>9774154.5488646477</v>
      </c>
    </row>
    <row r="306" spans="1:14" ht="14.45">
      <c r="A306" s="24">
        <f>IF(InputOutputData!$E$36=1,'Rainfall Data'!C294,IF(InputOutputData!$E$36=2,'Rainfall Data'!D293,IF(InputOutputData!$E$36=3,'Rainfall Data'!E293,'Rainfall Data'!F293)))</f>
        <v>23.4</v>
      </c>
      <c r="B306" s="24">
        <f t="shared" si="50"/>
        <v>1.0416666666666667</v>
      </c>
      <c r="C306" s="24">
        <f t="shared" si="51"/>
        <v>1.5</v>
      </c>
      <c r="D306" s="24">
        <f t="shared" si="59"/>
        <v>291</v>
      </c>
      <c r="E306" s="24">
        <f t="shared" si="52"/>
        <v>6.895999999999999</v>
      </c>
      <c r="F306" s="24">
        <f t="shared" si="48"/>
        <v>316372.5</v>
      </c>
      <c r="G306" s="24">
        <f t="shared" si="53"/>
        <v>5.9272522795741148E-2</v>
      </c>
      <c r="H306" s="24">
        <f t="shared" si="54"/>
        <v>8517561.9968154822</v>
      </c>
      <c r="I306" s="24">
        <f t="shared" si="55"/>
        <v>9258219.5617559589</v>
      </c>
      <c r="J306" s="24">
        <f t="shared" si="49"/>
        <v>7.5</v>
      </c>
      <c r="K306" s="327">
        <f t="shared" si="56"/>
        <v>15000000</v>
      </c>
      <c r="L306" s="56">
        <f t="shared" si="57"/>
        <v>3456000</v>
      </c>
      <c r="M306" s="56">
        <f t="shared" si="58"/>
        <v>12714219.561755959</v>
      </c>
      <c r="N306" s="11">
        <f>IF(COUNTIF(InputOutputData!K$20,"Chlorine") = 1,'More accurate Energy (Solar)'!M306,L306+K306+I306)</f>
        <v>12714219.561755959</v>
      </c>
    </row>
    <row r="307" spans="1:14" ht="14.45">
      <c r="A307" s="24">
        <f>IF(InputOutputData!$E$36=1,'Rainfall Data'!C295,IF(InputOutputData!$E$36=2,'Rainfall Data'!D294,IF(InputOutputData!$E$36=3,'Rainfall Data'!E294,'Rainfall Data'!F294)))</f>
        <v>0.6</v>
      </c>
      <c r="B307" s="24">
        <f t="shared" si="50"/>
        <v>4.1666666666666664E-2</v>
      </c>
      <c r="C307" s="24">
        <f t="shared" si="51"/>
        <v>0.06</v>
      </c>
      <c r="D307" s="24">
        <f t="shared" si="59"/>
        <v>292</v>
      </c>
      <c r="E307" s="24">
        <f t="shared" si="52"/>
        <v>6.5239999999999991</v>
      </c>
      <c r="F307" s="24">
        <f t="shared" si="48"/>
        <v>12654.9</v>
      </c>
      <c r="G307" s="24">
        <f t="shared" si="53"/>
        <v>1.0071891960946849E-2</v>
      </c>
      <c r="H307" s="24">
        <f t="shared" si="54"/>
        <v>2005015.1037280308</v>
      </c>
      <c r="I307" s="24">
        <f t="shared" si="55"/>
        <v>2179364.2431826419</v>
      </c>
      <c r="J307" s="24">
        <f t="shared" si="49"/>
        <v>0.3</v>
      </c>
      <c r="K307" s="327">
        <f t="shared" si="56"/>
        <v>600000</v>
      </c>
      <c r="L307" s="56">
        <f t="shared" si="57"/>
        <v>3456000</v>
      </c>
      <c r="M307" s="56">
        <f t="shared" si="58"/>
        <v>5635364.2431826424</v>
      </c>
      <c r="N307" s="11">
        <f>IF(COUNTIF(InputOutputData!K$20,"Chlorine") = 1,'More accurate Energy (Solar)'!M307,L307+K307+I307)</f>
        <v>5635364.2431826424</v>
      </c>
    </row>
    <row r="308" spans="1:14" ht="14.45">
      <c r="A308" s="24">
        <f>IF(InputOutputData!$E$36=1,'Rainfall Data'!C296,IF(InputOutputData!$E$36=2,'Rainfall Data'!D295,IF(InputOutputData!$E$36=3,'Rainfall Data'!E295,'Rainfall Data'!F295)))</f>
        <v>10.199999999999999</v>
      </c>
      <c r="B308" s="24">
        <f t="shared" si="50"/>
        <v>0.70833333333333326</v>
      </c>
      <c r="C308" s="24">
        <f t="shared" si="51"/>
        <v>1.0199999999999998</v>
      </c>
      <c r="D308" s="24">
        <f t="shared" si="59"/>
        <v>293</v>
      </c>
      <c r="E308" s="24">
        <f t="shared" si="52"/>
        <v>7.1119999999999992</v>
      </c>
      <c r="F308" s="24">
        <f t="shared" si="48"/>
        <v>215133.3</v>
      </c>
      <c r="G308" s="24">
        <f t="shared" si="53"/>
        <v>4.7911688514244183E-2</v>
      </c>
      <c r="H308" s="24">
        <f t="shared" si="54"/>
        <v>7165329.2594728097</v>
      </c>
      <c r="I308" s="24">
        <f t="shared" si="55"/>
        <v>7788401.3689921843</v>
      </c>
      <c r="J308" s="24">
        <f t="shared" si="49"/>
        <v>5.0999999999999988</v>
      </c>
      <c r="K308" s="327">
        <f t="shared" si="56"/>
        <v>10199999.999999998</v>
      </c>
      <c r="L308" s="56">
        <f t="shared" si="57"/>
        <v>3456000</v>
      </c>
      <c r="M308" s="56">
        <f t="shared" si="58"/>
        <v>11244401.368992183</v>
      </c>
      <c r="N308" s="11">
        <f>IF(COUNTIF(InputOutputData!K$20,"Chlorine") = 1,'More accurate Energy (Solar)'!M308,L308+K308+I308)</f>
        <v>11244401.368992183</v>
      </c>
    </row>
    <row r="309" spans="1:14" ht="14.45">
      <c r="A309" s="24">
        <f>IF(InputOutputData!$E$36=1,'Rainfall Data'!C297,IF(InputOutputData!$E$36=2,'Rainfall Data'!D296,IF(InputOutputData!$E$36=3,'Rainfall Data'!E296,'Rainfall Data'!F296)))</f>
        <v>4</v>
      </c>
      <c r="B309" s="24">
        <f t="shared" si="50"/>
        <v>0.27777777777777779</v>
      </c>
      <c r="C309" s="24">
        <f t="shared" si="51"/>
        <v>0.4</v>
      </c>
      <c r="D309" s="24">
        <f t="shared" si="59"/>
        <v>294</v>
      </c>
      <c r="E309" s="24">
        <f t="shared" si="52"/>
        <v>7.0799999999999992</v>
      </c>
      <c r="F309" s="24">
        <f t="shared" si="48"/>
        <v>84366</v>
      </c>
      <c r="G309" s="24">
        <f t="shared" si="53"/>
        <v>2.8606682038735863E-2</v>
      </c>
      <c r="H309" s="24">
        <f t="shared" si="54"/>
        <v>4706195.4447031152</v>
      </c>
      <c r="I309" s="24">
        <f t="shared" si="55"/>
        <v>5115429.8311990378</v>
      </c>
      <c r="J309" s="24">
        <f t="shared" si="49"/>
        <v>2</v>
      </c>
      <c r="K309" s="327">
        <f t="shared" si="56"/>
        <v>4000000</v>
      </c>
      <c r="L309" s="56">
        <f t="shared" si="57"/>
        <v>3456000</v>
      </c>
      <c r="M309" s="56">
        <f t="shared" si="58"/>
        <v>8571429.8311990388</v>
      </c>
      <c r="N309" s="11">
        <f>IF(COUNTIF(InputOutputData!K$20,"Chlorine") = 1,'More accurate Energy (Solar)'!M309,L309+K309+I309)</f>
        <v>8571429.8311990388</v>
      </c>
    </row>
    <row r="310" spans="1:14" ht="14.45">
      <c r="A310" s="24">
        <f>IF(InputOutputData!$E$36=1,'Rainfall Data'!C298,IF(InputOutputData!$E$36=2,'Rainfall Data'!D297,IF(InputOutputData!$E$36=3,'Rainfall Data'!E297,'Rainfall Data'!F297)))</f>
        <v>9.8000000000000007</v>
      </c>
      <c r="B310" s="24">
        <f t="shared" si="50"/>
        <v>0.68055555555555569</v>
      </c>
      <c r="C310" s="24">
        <f t="shared" si="51"/>
        <v>0.98000000000000009</v>
      </c>
      <c r="D310" s="24">
        <f t="shared" si="59"/>
        <v>295</v>
      </c>
      <c r="E310" s="24">
        <f t="shared" si="52"/>
        <v>7.6279999999999992</v>
      </c>
      <c r="F310" s="24">
        <f t="shared" si="48"/>
        <v>206696.7</v>
      </c>
      <c r="G310" s="24">
        <f t="shared" si="53"/>
        <v>4.6866379556791737E-2</v>
      </c>
      <c r="H310" s="24">
        <f t="shared" si="54"/>
        <v>7037884.3646817375</v>
      </c>
      <c r="I310" s="24">
        <f t="shared" si="55"/>
        <v>7649874.3094366705</v>
      </c>
      <c r="J310" s="24">
        <f t="shared" si="49"/>
        <v>4.9000000000000004</v>
      </c>
      <c r="K310" s="327">
        <f t="shared" si="56"/>
        <v>9800000</v>
      </c>
      <c r="L310" s="56">
        <f t="shared" si="57"/>
        <v>3456000</v>
      </c>
      <c r="M310" s="56">
        <f t="shared" si="58"/>
        <v>11105874.309436671</v>
      </c>
      <c r="N310" s="11">
        <f>IF(COUNTIF(InputOutputData!K$20,"Chlorine") = 1,'More accurate Energy (Solar)'!M310,L310+K310+I310)</f>
        <v>11105874.309436671</v>
      </c>
    </row>
    <row r="311" spans="1:14" ht="14.45">
      <c r="A311" s="24">
        <f>IF(InputOutputData!$E$36=1,'Rainfall Data'!C299,IF(InputOutputData!$E$36=2,'Rainfall Data'!D298,IF(InputOutputData!$E$36=3,'Rainfall Data'!E298,'Rainfall Data'!F298)))</f>
        <v>0</v>
      </c>
      <c r="B311" s="24">
        <f t="shared" si="50"/>
        <v>0</v>
      </c>
      <c r="C311" s="24">
        <f t="shared" si="51"/>
        <v>0</v>
      </c>
      <c r="D311" s="24">
        <f t="shared" si="59"/>
        <v>296</v>
      </c>
      <c r="E311" s="24">
        <f t="shared" si="52"/>
        <v>7.1959999999999988</v>
      </c>
      <c r="F311" s="24">
        <f t="shared" si="48"/>
        <v>0</v>
      </c>
      <c r="G311" s="24">
        <f t="shared" si="53"/>
        <v>0</v>
      </c>
      <c r="H311" s="24">
        <f t="shared" si="54"/>
        <v>0</v>
      </c>
      <c r="I311" s="24">
        <f t="shared" si="55"/>
        <v>0</v>
      </c>
      <c r="J311" s="24">
        <f t="shared" si="49"/>
        <v>0</v>
      </c>
      <c r="K311" s="327">
        <f t="shared" si="56"/>
        <v>0</v>
      </c>
      <c r="L311" s="56">
        <f t="shared" si="57"/>
        <v>3456000</v>
      </c>
      <c r="M311" s="56">
        <f t="shared" si="58"/>
        <v>3456000</v>
      </c>
      <c r="N311" s="11">
        <f>IF(COUNTIF(InputOutputData!K$20,"Chlorine") = 1,'More accurate Energy (Solar)'!M311,L311+K311+I311)</f>
        <v>3456000</v>
      </c>
    </row>
    <row r="312" spans="1:14" ht="14.45">
      <c r="A312" s="24">
        <f>IF(InputOutputData!$E$36=1,'Rainfall Data'!C300,IF(InputOutputData!$E$36=2,'Rainfall Data'!D299,IF(InputOutputData!$E$36=3,'Rainfall Data'!E299,'Rainfall Data'!F299)))</f>
        <v>5.8</v>
      </c>
      <c r="B312" s="24">
        <f t="shared" si="50"/>
        <v>0.40277777777777773</v>
      </c>
      <c r="C312" s="24">
        <f t="shared" si="51"/>
        <v>0.57999999999999996</v>
      </c>
      <c r="D312" s="24">
        <f t="shared" si="59"/>
        <v>297</v>
      </c>
      <c r="E312" s="24">
        <f t="shared" si="52"/>
        <v>7.3439999999999985</v>
      </c>
      <c r="F312" s="24">
        <f t="shared" si="48"/>
        <v>122330.7</v>
      </c>
      <c r="G312" s="24">
        <f t="shared" si="53"/>
        <v>3.5101792730858464E-2</v>
      </c>
      <c r="H312" s="24">
        <f t="shared" si="54"/>
        <v>5561297.814900551</v>
      </c>
      <c r="I312" s="24">
        <f t="shared" si="55"/>
        <v>6044888.9292397294</v>
      </c>
      <c r="J312" s="24">
        <f t="shared" si="49"/>
        <v>2.9</v>
      </c>
      <c r="K312" s="327">
        <f t="shared" si="56"/>
        <v>5800000</v>
      </c>
      <c r="L312" s="56">
        <f t="shared" si="57"/>
        <v>3456000</v>
      </c>
      <c r="M312" s="56">
        <f t="shared" si="58"/>
        <v>9500888.9292397294</v>
      </c>
      <c r="N312" s="11">
        <f>IF(COUNTIF(InputOutputData!K$20,"Chlorine") = 1,'More accurate Energy (Solar)'!M312,L312+K312+I312)</f>
        <v>9500888.9292397294</v>
      </c>
    </row>
    <row r="313" spans="1:14" ht="14.45">
      <c r="A313" s="24">
        <f>IF(InputOutputData!$E$36=1,'Rainfall Data'!C301,IF(InputOutputData!$E$36=2,'Rainfall Data'!D300,IF(InputOutputData!$E$36=3,'Rainfall Data'!E300,'Rainfall Data'!F300)))</f>
        <v>4</v>
      </c>
      <c r="B313" s="24">
        <f t="shared" si="50"/>
        <v>0.27777777777777779</v>
      </c>
      <c r="C313" s="24">
        <f t="shared" si="51"/>
        <v>0.4</v>
      </c>
      <c r="D313" s="24">
        <f t="shared" si="59"/>
        <v>298</v>
      </c>
      <c r="E313" s="24">
        <f t="shared" si="52"/>
        <v>7.3119999999999985</v>
      </c>
      <c r="F313" s="24">
        <f t="shared" si="48"/>
        <v>84366</v>
      </c>
      <c r="G313" s="24">
        <f t="shared" si="53"/>
        <v>2.8606682038735863E-2</v>
      </c>
      <c r="H313" s="24">
        <f t="shared" si="54"/>
        <v>4706195.4447031152</v>
      </c>
      <c r="I313" s="24">
        <f t="shared" si="55"/>
        <v>5115429.8311990378</v>
      </c>
      <c r="J313" s="24">
        <f t="shared" si="49"/>
        <v>2</v>
      </c>
      <c r="K313" s="327">
        <f t="shared" si="56"/>
        <v>4000000</v>
      </c>
      <c r="L313" s="56">
        <f t="shared" si="57"/>
        <v>3456000</v>
      </c>
      <c r="M313" s="56">
        <f t="shared" si="58"/>
        <v>8571429.8311990388</v>
      </c>
      <c r="N313" s="11">
        <f>IF(COUNTIF(InputOutputData!K$20,"Chlorine") = 1,'More accurate Energy (Solar)'!M313,L313+K313+I313)</f>
        <v>8571429.8311990388</v>
      </c>
    </row>
    <row r="314" spans="1:14" ht="14.45">
      <c r="A314" s="24">
        <f>IF(InputOutputData!$E$36=1,'Rainfall Data'!C302,IF(InputOutputData!$E$36=2,'Rainfall Data'!D301,IF(InputOutputData!$E$36=3,'Rainfall Data'!E301,'Rainfall Data'!F301)))</f>
        <v>0</v>
      </c>
      <c r="B314" s="24">
        <f t="shared" si="50"/>
        <v>0</v>
      </c>
      <c r="C314" s="24">
        <f t="shared" si="51"/>
        <v>0</v>
      </c>
      <c r="D314" s="24">
        <f t="shared" si="59"/>
        <v>299</v>
      </c>
      <c r="E314" s="24">
        <f t="shared" si="52"/>
        <v>6.8799999999999981</v>
      </c>
      <c r="F314" s="24">
        <f t="shared" si="48"/>
        <v>0</v>
      </c>
      <c r="G314" s="24">
        <f t="shared" si="53"/>
        <v>0</v>
      </c>
      <c r="H314" s="24">
        <f t="shared" si="54"/>
        <v>0</v>
      </c>
      <c r="I314" s="24">
        <f t="shared" si="55"/>
        <v>0</v>
      </c>
      <c r="J314" s="24">
        <f t="shared" si="49"/>
        <v>0</v>
      </c>
      <c r="K314" s="327">
        <f t="shared" si="56"/>
        <v>0</v>
      </c>
      <c r="L314" s="56">
        <f t="shared" si="57"/>
        <v>3456000</v>
      </c>
      <c r="M314" s="56">
        <f t="shared" si="58"/>
        <v>3456000</v>
      </c>
      <c r="N314" s="11">
        <f>IF(COUNTIF(InputOutputData!K$20,"Chlorine") = 1,'More accurate Energy (Solar)'!M314,L314+K314+I314)</f>
        <v>3456000</v>
      </c>
    </row>
    <row r="315" spans="1:14" ht="14.45">
      <c r="A315" s="24">
        <f>IF(InputOutputData!$E$36=1,'Rainfall Data'!C303,IF(InputOutputData!$E$36=2,'Rainfall Data'!D302,IF(InputOutputData!$E$36=3,'Rainfall Data'!E302,'Rainfall Data'!F302)))</f>
        <v>6.8</v>
      </c>
      <c r="B315" s="24">
        <f t="shared" si="50"/>
        <v>0.47222222222222221</v>
      </c>
      <c r="C315" s="24">
        <f t="shared" si="51"/>
        <v>0.67999999999999994</v>
      </c>
      <c r="D315" s="24">
        <f t="shared" si="59"/>
        <v>300</v>
      </c>
      <c r="E315" s="24">
        <f t="shared" si="52"/>
        <v>7.1279999999999983</v>
      </c>
      <c r="F315" s="24">
        <f t="shared" si="48"/>
        <v>143422.19999999998</v>
      </c>
      <c r="G315" s="24">
        <f t="shared" si="53"/>
        <v>3.8316390401455125E-2</v>
      </c>
      <c r="H315" s="24">
        <f t="shared" si="54"/>
        <v>5973127.4264085125</v>
      </c>
      <c r="I315" s="24">
        <f t="shared" si="55"/>
        <v>6492529.8113136003</v>
      </c>
      <c r="J315" s="24">
        <f t="shared" si="49"/>
        <v>3.3999999999999995</v>
      </c>
      <c r="K315" s="327">
        <f t="shared" si="56"/>
        <v>6799999.9999999991</v>
      </c>
      <c r="L315" s="56">
        <f t="shared" si="57"/>
        <v>3456000</v>
      </c>
      <c r="M315" s="56">
        <f t="shared" si="58"/>
        <v>9948529.8113135993</v>
      </c>
      <c r="N315" s="11">
        <f>IF(COUNTIF(InputOutputData!K$20,"Chlorine") = 1,'More accurate Energy (Solar)'!M315,L315+K315+I315)</f>
        <v>9948529.8113135993</v>
      </c>
    </row>
    <row r="316" spans="1:14" ht="14.45">
      <c r="A316" s="24">
        <f>IF(InputOutputData!$E$36=1,'Rainfall Data'!C304,IF(InputOutputData!$E$36=2,'Rainfall Data'!D303,IF(InputOutputData!$E$36=3,'Rainfall Data'!E303,'Rainfall Data'!F303)))</f>
        <v>39</v>
      </c>
      <c r="B316" s="24">
        <f t="shared" si="50"/>
        <v>1.0416666666666667</v>
      </c>
      <c r="C316" s="24">
        <f t="shared" si="51"/>
        <v>1.5</v>
      </c>
      <c r="D316" s="24">
        <f t="shared" si="59"/>
        <v>301</v>
      </c>
      <c r="E316" s="24">
        <f t="shared" si="52"/>
        <v>8.195999999999998</v>
      </c>
      <c r="F316" s="24">
        <f t="shared" si="48"/>
        <v>316372.5</v>
      </c>
      <c r="G316" s="24">
        <f t="shared" si="53"/>
        <v>5.9272522795741148E-2</v>
      </c>
      <c r="H316" s="24">
        <f t="shared" si="54"/>
        <v>8517561.9968154822</v>
      </c>
      <c r="I316" s="24">
        <f t="shared" si="55"/>
        <v>9258219.5617559589</v>
      </c>
      <c r="J316" s="24">
        <f t="shared" si="49"/>
        <v>7.5</v>
      </c>
      <c r="K316" s="327">
        <f t="shared" si="56"/>
        <v>15000000</v>
      </c>
      <c r="L316" s="56">
        <f t="shared" si="57"/>
        <v>3456000</v>
      </c>
      <c r="M316" s="56">
        <f t="shared" si="58"/>
        <v>12714219.561755959</v>
      </c>
      <c r="N316" s="11">
        <f>IF(COUNTIF(InputOutputData!K$20,"Chlorine") = 1,'More accurate Energy (Solar)'!M316,L316+K316+I316)</f>
        <v>12714219.561755959</v>
      </c>
    </row>
    <row r="317" spans="1:14" ht="14.45">
      <c r="A317" s="24">
        <f>IF(InputOutputData!$E$36=1,'Rainfall Data'!C305,IF(InputOutputData!$E$36=2,'Rainfall Data'!D304,IF(InputOutputData!$E$36=3,'Rainfall Data'!E304,'Rainfall Data'!F304)))</f>
        <v>40.6</v>
      </c>
      <c r="B317" s="24">
        <f t="shared" si="50"/>
        <v>1.0416666666666667</v>
      </c>
      <c r="C317" s="24">
        <f t="shared" si="51"/>
        <v>1.5</v>
      </c>
      <c r="D317" s="24">
        <f t="shared" si="59"/>
        <v>302</v>
      </c>
      <c r="E317" s="24">
        <f t="shared" si="52"/>
        <v>9.2639999999999976</v>
      </c>
      <c r="F317" s="24">
        <f t="shared" si="48"/>
        <v>316372.5</v>
      </c>
      <c r="G317" s="24">
        <f t="shared" si="53"/>
        <v>5.9272522795741148E-2</v>
      </c>
      <c r="H317" s="24">
        <f t="shared" si="54"/>
        <v>8517561.9968154822</v>
      </c>
      <c r="I317" s="24">
        <f t="shared" si="55"/>
        <v>9258219.5617559589</v>
      </c>
      <c r="J317" s="24">
        <f t="shared" si="49"/>
        <v>7.5</v>
      </c>
      <c r="K317" s="327">
        <f t="shared" si="56"/>
        <v>15000000</v>
      </c>
      <c r="L317" s="56">
        <f t="shared" si="57"/>
        <v>3456000</v>
      </c>
      <c r="M317" s="56">
        <f t="shared" si="58"/>
        <v>12714219.561755959</v>
      </c>
      <c r="N317" s="11">
        <f>IF(COUNTIF(InputOutputData!K$20,"Chlorine") = 1,'More accurate Energy (Solar)'!M317,L317+K317+I317)</f>
        <v>12714219.561755959</v>
      </c>
    </row>
    <row r="318" spans="1:14" ht="14.45">
      <c r="A318" s="24">
        <f>IF(InputOutputData!$E$36=1,'Rainfall Data'!C306,IF(InputOutputData!$E$36=2,'Rainfall Data'!D305,IF(InputOutputData!$E$36=3,'Rainfall Data'!E305,'Rainfall Data'!F305)))</f>
        <v>35.4</v>
      </c>
      <c r="B318" s="24">
        <f t="shared" si="50"/>
        <v>1.0416666666666667</v>
      </c>
      <c r="C318" s="24">
        <f t="shared" si="51"/>
        <v>1.5</v>
      </c>
      <c r="D318" s="24">
        <f t="shared" si="59"/>
        <v>303</v>
      </c>
      <c r="E318" s="24">
        <f t="shared" si="52"/>
        <v>10.331999999999997</v>
      </c>
      <c r="F318" s="24">
        <f t="shared" si="48"/>
        <v>316372.5</v>
      </c>
      <c r="G318" s="24">
        <f t="shared" si="53"/>
        <v>5.9272522795741148E-2</v>
      </c>
      <c r="H318" s="24">
        <f t="shared" si="54"/>
        <v>8517561.9968154822</v>
      </c>
      <c r="I318" s="24">
        <f t="shared" si="55"/>
        <v>9258219.5617559589</v>
      </c>
      <c r="J318" s="24">
        <f t="shared" si="49"/>
        <v>7.5</v>
      </c>
      <c r="K318" s="327">
        <f t="shared" si="56"/>
        <v>15000000</v>
      </c>
      <c r="L318" s="56">
        <f t="shared" si="57"/>
        <v>3456000</v>
      </c>
      <c r="M318" s="56">
        <f t="shared" si="58"/>
        <v>12714219.561755959</v>
      </c>
      <c r="N318" s="11">
        <f>IF(COUNTIF(InputOutputData!K$20,"Chlorine") = 1,'More accurate Energy (Solar)'!M318,L318+K318+I318)</f>
        <v>12714219.561755959</v>
      </c>
    </row>
    <row r="319" spans="1:14" ht="14.45">
      <c r="A319" s="24">
        <f>IF(InputOutputData!$E$36=1,'Rainfall Data'!C307,IF(InputOutputData!$E$36=2,'Rainfall Data'!D306,IF(InputOutputData!$E$36=3,'Rainfall Data'!E306,'Rainfall Data'!F306)))</f>
        <v>21.2</v>
      </c>
      <c r="B319" s="24">
        <f t="shared" si="50"/>
        <v>1.0416666666666667</v>
      </c>
      <c r="C319" s="24">
        <f t="shared" si="51"/>
        <v>1.5</v>
      </c>
      <c r="D319" s="24">
        <f t="shared" si="59"/>
        <v>304</v>
      </c>
      <c r="E319" s="24">
        <f t="shared" si="52"/>
        <v>11.399999999999997</v>
      </c>
      <c r="F319" s="24">
        <f t="shared" si="48"/>
        <v>316372.5</v>
      </c>
      <c r="G319" s="24">
        <f t="shared" si="53"/>
        <v>5.9272522795741148E-2</v>
      </c>
      <c r="H319" s="24">
        <f t="shared" si="54"/>
        <v>8517561.9968154822</v>
      </c>
      <c r="I319" s="24">
        <f t="shared" si="55"/>
        <v>9258219.5617559589</v>
      </c>
      <c r="J319" s="24">
        <f t="shared" si="49"/>
        <v>7.5</v>
      </c>
      <c r="K319" s="327">
        <f t="shared" si="56"/>
        <v>15000000</v>
      </c>
      <c r="L319" s="56">
        <f t="shared" si="57"/>
        <v>3456000</v>
      </c>
      <c r="M319" s="56">
        <f t="shared" si="58"/>
        <v>12714219.561755959</v>
      </c>
      <c r="N319" s="11">
        <f>IF(COUNTIF(InputOutputData!K$20,"Chlorine") = 1,'More accurate Energy (Solar)'!M319,L319+K319+I319)</f>
        <v>12714219.561755959</v>
      </c>
    </row>
    <row r="320" spans="1:14" ht="14.45">
      <c r="A320" s="24">
        <f>IF(InputOutputData!$E$36=1,'Rainfall Data'!C308,IF(InputOutputData!$E$36=2,'Rainfall Data'!D307,IF(InputOutputData!$E$36=3,'Rainfall Data'!E307,'Rainfall Data'!F307)))</f>
        <v>1.2</v>
      </c>
      <c r="B320" s="24">
        <f t="shared" si="50"/>
        <v>8.3333333333333329E-2</v>
      </c>
      <c r="C320" s="24">
        <f t="shared" si="51"/>
        <v>0.12</v>
      </c>
      <c r="D320" s="24">
        <f t="shared" si="59"/>
        <v>305</v>
      </c>
      <c r="E320" s="24">
        <f t="shared" si="52"/>
        <v>11.087999999999997</v>
      </c>
      <c r="F320" s="24">
        <f t="shared" si="48"/>
        <v>25309.8</v>
      </c>
      <c r="G320" s="24">
        <f t="shared" si="53"/>
        <v>1.4747350940040569E-2</v>
      </c>
      <c r="H320" s="24">
        <f t="shared" si="54"/>
        <v>2738701.4233160731</v>
      </c>
      <c r="I320" s="24">
        <f t="shared" si="55"/>
        <v>2976849.3731696447</v>
      </c>
      <c r="J320" s="24">
        <f t="shared" si="49"/>
        <v>0.6</v>
      </c>
      <c r="K320" s="327">
        <f t="shared" si="56"/>
        <v>1200000</v>
      </c>
      <c r="L320" s="56">
        <f t="shared" si="57"/>
        <v>3456000</v>
      </c>
      <c r="M320" s="56">
        <f t="shared" si="58"/>
        <v>6432849.3731696447</v>
      </c>
      <c r="N320" s="11">
        <f>IF(COUNTIF(InputOutputData!K$20,"Chlorine") = 1,'More accurate Energy (Solar)'!M320,L320+K320+I320)</f>
        <v>6432849.3731696447</v>
      </c>
    </row>
    <row r="321" spans="1:14" ht="14.45">
      <c r="A321" s="24">
        <f>IF(InputOutputData!$E$36=1,'Rainfall Data'!C309,IF(InputOutputData!$E$36=2,'Rainfall Data'!D308,IF(InputOutputData!$E$36=3,'Rainfall Data'!E308,'Rainfall Data'!F308)))</f>
        <v>0</v>
      </c>
      <c r="B321" s="24">
        <f t="shared" si="50"/>
        <v>0</v>
      </c>
      <c r="C321" s="24">
        <f t="shared" si="51"/>
        <v>0</v>
      </c>
      <c r="D321" s="24">
        <f t="shared" si="59"/>
        <v>306</v>
      </c>
      <c r="E321" s="24">
        <f t="shared" si="52"/>
        <v>10.655999999999997</v>
      </c>
      <c r="F321" s="24">
        <f t="shared" si="48"/>
        <v>0</v>
      </c>
      <c r="G321" s="24">
        <f t="shared" si="53"/>
        <v>0</v>
      </c>
      <c r="H321" s="24">
        <f t="shared" si="54"/>
        <v>0</v>
      </c>
      <c r="I321" s="24">
        <f t="shared" si="55"/>
        <v>0</v>
      </c>
      <c r="J321" s="24">
        <f t="shared" si="49"/>
        <v>0</v>
      </c>
      <c r="K321" s="327">
        <f t="shared" si="56"/>
        <v>0</v>
      </c>
      <c r="L321" s="56">
        <f t="shared" si="57"/>
        <v>3456000</v>
      </c>
      <c r="M321" s="56">
        <f t="shared" si="58"/>
        <v>3456000</v>
      </c>
      <c r="N321" s="11">
        <f>IF(COUNTIF(InputOutputData!K$20,"Chlorine") = 1,'More accurate Energy (Solar)'!M321,L321+K321+I321)</f>
        <v>3456000</v>
      </c>
    </row>
    <row r="322" spans="1:14" ht="14.45">
      <c r="A322" s="24">
        <f>IF(InputOutputData!$E$36=1,'Rainfall Data'!C310,IF(InputOutputData!$E$36=2,'Rainfall Data'!D309,IF(InputOutputData!$E$36=3,'Rainfall Data'!E309,'Rainfall Data'!F309)))</f>
        <v>0</v>
      </c>
      <c r="B322" s="24">
        <f t="shared" si="50"/>
        <v>0</v>
      </c>
      <c r="C322" s="24">
        <f t="shared" si="51"/>
        <v>0</v>
      </c>
      <c r="D322" s="24">
        <f t="shared" si="59"/>
        <v>307</v>
      </c>
      <c r="E322" s="24">
        <f t="shared" si="52"/>
        <v>10.223999999999997</v>
      </c>
      <c r="F322" s="24">
        <f t="shared" si="48"/>
        <v>0</v>
      </c>
      <c r="G322" s="24">
        <f t="shared" si="53"/>
        <v>0</v>
      </c>
      <c r="H322" s="24">
        <f t="shared" si="54"/>
        <v>0</v>
      </c>
      <c r="I322" s="24">
        <f t="shared" si="55"/>
        <v>0</v>
      </c>
      <c r="J322" s="24">
        <f t="shared" si="49"/>
        <v>0</v>
      </c>
      <c r="K322" s="327">
        <f t="shared" si="56"/>
        <v>0</v>
      </c>
      <c r="L322" s="56">
        <f t="shared" si="57"/>
        <v>3456000</v>
      </c>
      <c r="M322" s="56">
        <f t="shared" si="58"/>
        <v>3456000</v>
      </c>
      <c r="N322" s="11">
        <f>IF(COUNTIF(InputOutputData!K$20,"Chlorine") = 1,'More accurate Energy (Solar)'!M322,L322+K322+I322)</f>
        <v>3456000</v>
      </c>
    </row>
    <row r="323" spans="1:14" ht="14.45">
      <c r="A323" s="24">
        <f>IF(InputOutputData!$E$36=1,'Rainfall Data'!C311,IF(InputOutputData!$E$36=2,'Rainfall Data'!D310,IF(InputOutputData!$E$36=3,'Rainfall Data'!E310,'Rainfall Data'!F310)))</f>
        <v>3.4</v>
      </c>
      <c r="B323" s="24">
        <f t="shared" si="50"/>
        <v>0.2361111111111111</v>
      </c>
      <c r="C323" s="24">
        <f t="shared" si="51"/>
        <v>0.33999999999999997</v>
      </c>
      <c r="D323" s="24">
        <f t="shared" si="59"/>
        <v>308</v>
      </c>
      <c r="E323" s="24">
        <f t="shared" si="52"/>
        <v>10.131999999999996</v>
      </c>
      <c r="F323" s="24">
        <f t="shared" si="48"/>
        <v>71711.099999999991</v>
      </c>
      <c r="G323" s="24">
        <f t="shared" si="53"/>
        <v>2.6158415362698681E-2</v>
      </c>
      <c r="H323" s="24">
        <f t="shared" si="54"/>
        <v>4374666.4164196495</v>
      </c>
      <c r="I323" s="24">
        <f t="shared" si="55"/>
        <v>4755072.1917604888</v>
      </c>
      <c r="J323" s="24">
        <f t="shared" si="49"/>
        <v>1.6999999999999997</v>
      </c>
      <c r="K323" s="327">
        <f t="shared" si="56"/>
        <v>3399999.9999999995</v>
      </c>
      <c r="L323" s="56">
        <f t="shared" si="57"/>
        <v>3456000</v>
      </c>
      <c r="M323" s="56">
        <f t="shared" si="58"/>
        <v>8211072.1917604888</v>
      </c>
      <c r="N323" s="11">
        <f>IF(COUNTIF(InputOutputData!K$20,"Chlorine") = 1,'More accurate Energy (Solar)'!M323,L323+K323+I323)</f>
        <v>8211072.1917604888</v>
      </c>
    </row>
    <row r="324" spans="1:14" ht="14.45">
      <c r="A324" s="24">
        <f>IF(InputOutputData!$E$36=1,'Rainfall Data'!C312,IF(InputOutputData!$E$36=2,'Rainfall Data'!D311,IF(InputOutputData!$E$36=3,'Rainfall Data'!E311,'Rainfall Data'!F311)))</f>
        <v>6</v>
      </c>
      <c r="B324" s="24">
        <f t="shared" si="50"/>
        <v>0.41666666666666669</v>
      </c>
      <c r="C324" s="24">
        <f t="shared" si="51"/>
        <v>0.6</v>
      </c>
      <c r="D324" s="24">
        <f t="shared" si="59"/>
        <v>309</v>
      </c>
      <c r="E324" s="24">
        <f t="shared" si="52"/>
        <v>10.299999999999995</v>
      </c>
      <c r="F324" s="24">
        <f t="shared" si="48"/>
        <v>126549</v>
      </c>
      <c r="G324" s="24">
        <f t="shared" si="53"/>
        <v>3.576343669814467E-2</v>
      </c>
      <c r="H324" s="24">
        <f t="shared" si="54"/>
        <v>5646631.6912610941</v>
      </c>
      <c r="I324" s="24">
        <f t="shared" si="55"/>
        <v>6137643.1426751018</v>
      </c>
      <c r="J324" s="24">
        <f t="shared" si="49"/>
        <v>3</v>
      </c>
      <c r="K324" s="327">
        <f t="shared" si="56"/>
        <v>6000000</v>
      </c>
      <c r="L324" s="56">
        <f t="shared" si="57"/>
        <v>3456000</v>
      </c>
      <c r="M324" s="56">
        <f t="shared" si="58"/>
        <v>9593643.1426751018</v>
      </c>
      <c r="N324" s="11">
        <f>IF(COUNTIF(InputOutputData!K$20,"Chlorine") = 1,'More accurate Energy (Solar)'!M324,L324+K324+I324)</f>
        <v>9593643.1426751018</v>
      </c>
    </row>
    <row r="325" spans="1:14" ht="14.45">
      <c r="A325" s="24">
        <f>IF(InputOutputData!$E$36=1,'Rainfall Data'!C313,IF(InputOutputData!$E$36=2,'Rainfall Data'!D312,IF(InputOutputData!$E$36=3,'Rainfall Data'!E312,'Rainfall Data'!F312)))</f>
        <v>44.2</v>
      </c>
      <c r="B325" s="24">
        <f t="shared" si="50"/>
        <v>1.0416666666666667</v>
      </c>
      <c r="C325" s="24">
        <f t="shared" si="51"/>
        <v>1.5</v>
      </c>
      <c r="D325" s="24">
        <f t="shared" si="59"/>
        <v>310</v>
      </c>
      <c r="E325" s="24">
        <f t="shared" si="52"/>
        <v>11.367999999999995</v>
      </c>
      <c r="F325" s="24">
        <f t="shared" si="48"/>
        <v>316372.5</v>
      </c>
      <c r="G325" s="24">
        <f t="shared" si="53"/>
        <v>5.9272522795741148E-2</v>
      </c>
      <c r="H325" s="24">
        <f t="shared" si="54"/>
        <v>8517561.9968154822</v>
      </c>
      <c r="I325" s="24">
        <f t="shared" si="55"/>
        <v>9258219.5617559589</v>
      </c>
      <c r="J325" s="24">
        <f t="shared" si="49"/>
        <v>7.5</v>
      </c>
      <c r="K325" s="327">
        <f t="shared" si="56"/>
        <v>15000000</v>
      </c>
      <c r="L325" s="56">
        <f t="shared" si="57"/>
        <v>3456000</v>
      </c>
      <c r="M325" s="56">
        <f t="shared" si="58"/>
        <v>12714219.561755959</v>
      </c>
      <c r="N325" s="11">
        <f>IF(COUNTIF(InputOutputData!K$20,"Chlorine") = 1,'More accurate Energy (Solar)'!M325,L325+K325+I325)</f>
        <v>12714219.561755959</v>
      </c>
    </row>
    <row r="326" spans="1:14" ht="14.45">
      <c r="A326" s="24">
        <f>IF(InputOutputData!$E$36=1,'Rainfall Data'!C314,IF(InputOutputData!$E$36=2,'Rainfall Data'!D313,IF(InputOutputData!$E$36=3,'Rainfall Data'!E313,'Rainfall Data'!F313)))</f>
        <v>2.2000000000000002</v>
      </c>
      <c r="B326" s="24">
        <f t="shared" si="50"/>
        <v>0.15277777777777779</v>
      </c>
      <c r="C326" s="24">
        <f t="shared" si="51"/>
        <v>0.22</v>
      </c>
      <c r="D326" s="24">
        <f t="shared" si="59"/>
        <v>311</v>
      </c>
      <c r="E326" s="24">
        <f t="shared" si="52"/>
        <v>11.155999999999995</v>
      </c>
      <c r="F326" s="24">
        <f t="shared" si="48"/>
        <v>46401.3</v>
      </c>
      <c r="G326" s="24">
        <f t="shared" si="53"/>
        <v>2.0585317661094952E-2</v>
      </c>
      <c r="H326" s="24">
        <f t="shared" si="54"/>
        <v>3597017.6124250526</v>
      </c>
      <c r="I326" s="24">
        <f t="shared" si="55"/>
        <v>3909801.7526359265</v>
      </c>
      <c r="J326" s="24">
        <f t="shared" si="49"/>
        <v>1.1000000000000001</v>
      </c>
      <c r="K326" s="327">
        <f t="shared" si="56"/>
        <v>2200000</v>
      </c>
      <c r="L326" s="56">
        <f t="shared" si="57"/>
        <v>3456000</v>
      </c>
      <c r="M326" s="56">
        <f t="shared" si="58"/>
        <v>7365801.752635926</v>
      </c>
      <c r="N326" s="11">
        <f>IF(COUNTIF(InputOutputData!K$20,"Chlorine") = 1,'More accurate Energy (Solar)'!M326,L326+K326+I326)</f>
        <v>7365801.752635926</v>
      </c>
    </row>
    <row r="327" spans="1:14" ht="14.45">
      <c r="A327" s="24">
        <f>IF(InputOutputData!$E$36=1,'Rainfall Data'!C315,IF(InputOutputData!$E$36=2,'Rainfall Data'!D314,IF(InputOutputData!$E$36=3,'Rainfall Data'!E314,'Rainfall Data'!F314)))</f>
        <v>1.6</v>
      </c>
      <c r="B327" s="24">
        <f t="shared" si="50"/>
        <v>0.1111111111111111</v>
      </c>
      <c r="C327" s="24">
        <f t="shared" si="51"/>
        <v>0.16</v>
      </c>
      <c r="D327" s="24">
        <f t="shared" si="59"/>
        <v>312</v>
      </c>
      <c r="E327" s="24">
        <f t="shared" si="52"/>
        <v>10.883999999999995</v>
      </c>
      <c r="F327" s="24">
        <f t="shared" si="48"/>
        <v>33746.400000000001</v>
      </c>
      <c r="G327" s="24">
        <f t="shared" si="53"/>
        <v>1.7276454762570417E-2</v>
      </c>
      <c r="H327" s="24">
        <f t="shared" si="54"/>
        <v>3117043.1329567269</v>
      </c>
      <c r="I327" s="24">
        <f t="shared" si="55"/>
        <v>3388090.3619094859</v>
      </c>
      <c r="J327" s="24">
        <f t="shared" si="49"/>
        <v>0.8</v>
      </c>
      <c r="K327" s="327">
        <f t="shared" si="56"/>
        <v>1600000</v>
      </c>
      <c r="L327" s="56">
        <f t="shared" si="57"/>
        <v>3456000</v>
      </c>
      <c r="M327" s="56">
        <f t="shared" si="58"/>
        <v>6844090.3619094864</v>
      </c>
      <c r="N327" s="11">
        <f>IF(COUNTIF(InputOutputData!K$20,"Chlorine") = 1,'More accurate Energy (Solar)'!M327,L327+K327+I327)</f>
        <v>6844090.3619094864</v>
      </c>
    </row>
    <row r="328" spans="1:14" ht="14.45">
      <c r="A328" s="24">
        <f>IF(InputOutputData!$E$36=1,'Rainfall Data'!C316,IF(InputOutputData!$E$36=2,'Rainfall Data'!D315,IF(InputOutputData!$E$36=3,'Rainfall Data'!E315,'Rainfall Data'!F315)))</f>
        <v>0</v>
      </c>
      <c r="B328" s="24">
        <f t="shared" si="50"/>
        <v>0</v>
      </c>
      <c r="C328" s="24">
        <f t="shared" si="51"/>
        <v>0</v>
      </c>
      <c r="D328" s="24">
        <f t="shared" si="59"/>
        <v>313</v>
      </c>
      <c r="E328" s="24">
        <f t="shared" si="52"/>
        <v>10.451999999999995</v>
      </c>
      <c r="F328" s="24">
        <f t="shared" si="48"/>
        <v>0</v>
      </c>
      <c r="G328" s="24">
        <f t="shared" si="53"/>
        <v>0</v>
      </c>
      <c r="H328" s="24">
        <f t="shared" si="54"/>
        <v>0</v>
      </c>
      <c r="I328" s="24">
        <f t="shared" si="55"/>
        <v>0</v>
      </c>
      <c r="J328" s="24">
        <f t="shared" si="49"/>
        <v>0</v>
      </c>
      <c r="K328" s="327">
        <f t="shared" si="56"/>
        <v>0</v>
      </c>
      <c r="L328" s="56">
        <f t="shared" si="57"/>
        <v>3456000</v>
      </c>
      <c r="M328" s="56">
        <f t="shared" si="58"/>
        <v>3456000</v>
      </c>
      <c r="N328" s="11">
        <f>IF(COUNTIF(InputOutputData!K$20,"Chlorine") = 1,'More accurate Energy (Solar)'!M328,L328+K328+I328)</f>
        <v>3456000</v>
      </c>
    </row>
    <row r="329" spans="1:14" ht="14.45">
      <c r="A329" s="24">
        <f>IF(InputOutputData!$E$36=1,'Rainfall Data'!C317,IF(InputOutputData!$E$36=2,'Rainfall Data'!D316,IF(InputOutputData!$E$36=3,'Rainfall Data'!E316,'Rainfall Data'!F316)))</f>
        <v>20.5</v>
      </c>
      <c r="B329" s="24">
        <f t="shared" si="50"/>
        <v>1.0416666666666667</v>
      </c>
      <c r="C329" s="24">
        <f t="shared" si="51"/>
        <v>1.5</v>
      </c>
      <c r="D329" s="24">
        <f t="shared" si="59"/>
        <v>314</v>
      </c>
      <c r="E329" s="24">
        <f t="shared" si="52"/>
        <v>11.519999999999994</v>
      </c>
      <c r="F329" s="24">
        <f t="shared" si="48"/>
        <v>316372.5</v>
      </c>
      <c r="G329" s="24">
        <f t="shared" si="53"/>
        <v>5.9272522795741148E-2</v>
      </c>
      <c r="H329" s="24">
        <f t="shared" si="54"/>
        <v>8517561.9968154822</v>
      </c>
      <c r="I329" s="24">
        <f t="shared" si="55"/>
        <v>9258219.5617559589</v>
      </c>
      <c r="J329" s="24">
        <f t="shared" si="49"/>
        <v>7.5</v>
      </c>
      <c r="K329" s="327">
        <f t="shared" si="56"/>
        <v>15000000</v>
      </c>
      <c r="L329" s="56">
        <f t="shared" si="57"/>
        <v>3456000</v>
      </c>
      <c r="M329" s="56">
        <f t="shared" si="58"/>
        <v>12714219.561755959</v>
      </c>
      <c r="N329" s="11">
        <f>IF(COUNTIF(InputOutputData!K$20,"Chlorine") = 1,'More accurate Energy (Solar)'!M329,L329+K329+I329)</f>
        <v>12714219.561755959</v>
      </c>
    </row>
    <row r="330" spans="1:14" ht="14.45">
      <c r="A330" s="24">
        <f>IF(InputOutputData!$E$36=1,'Rainfall Data'!C318,IF(InputOutputData!$E$36=2,'Rainfall Data'!D317,IF(InputOutputData!$E$36=3,'Rainfall Data'!E317,'Rainfall Data'!F317)))</f>
        <v>18.8</v>
      </c>
      <c r="B330" s="24">
        <f t="shared" si="50"/>
        <v>1.0416666666666667</v>
      </c>
      <c r="C330" s="24">
        <f t="shared" si="51"/>
        <v>1.5</v>
      </c>
      <c r="D330" s="24">
        <f t="shared" si="59"/>
        <v>315</v>
      </c>
      <c r="E330" s="24">
        <f t="shared" si="52"/>
        <v>12.587999999999994</v>
      </c>
      <c r="F330" s="24">
        <f t="shared" si="48"/>
        <v>316372.5</v>
      </c>
      <c r="G330" s="24">
        <f t="shared" si="53"/>
        <v>5.9272522795741148E-2</v>
      </c>
      <c r="H330" s="24">
        <f t="shared" si="54"/>
        <v>8517561.9968154822</v>
      </c>
      <c r="I330" s="24">
        <f t="shared" si="55"/>
        <v>9258219.5617559589</v>
      </c>
      <c r="J330" s="24">
        <f t="shared" si="49"/>
        <v>7.5</v>
      </c>
      <c r="K330" s="327">
        <f t="shared" si="56"/>
        <v>15000000</v>
      </c>
      <c r="L330" s="56">
        <f t="shared" si="57"/>
        <v>3456000</v>
      </c>
      <c r="M330" s="56">
        <f t="shared" si="58"/>
        <v>12714219.561755959</v>
      </c>
      <c r="N330" s="11">
        <f>IF(COUNTIF(InputOutputData!K$20,"Chlorine") = 1,'More accurate Energy (Solar)'!M330,L330+K330+I330)</f>
        <v>12714219.561755959</v>
      </c>
    </row>
    <row r="331" spans="1:14" ht="14.45">
      <c r="A331" s="24">
        <f>IF(InputOutputData!$E$36=1,'Rainfall Data'!C319,IF(InputOutputData!$E$36=2,'Rainfall Data'!D318,IF(InputOutputData!$E$36=3,'Rainfall Data'!E318,'Rainfall Data'!F318)))</f>
        <v>59</v>
      </c>
      <c r="B331" s="24">
        <f t="shared" si="50"/>
        <v>1.0416666666666667</v>
      </c>
      <c r="C331" s="24">
        <f t="shared" si="51"/>
        <v>1.5</v>
      </c>
      <c r="D331" s="24">
        <f t="shared" si="59"/>
        <v>316</v>
      </c>
      <c r="E331" s="24">
        <f t="shared" si="52"/>
        <v>13.655999999999993</v>
      </c>
      <c r="F331" s="24">
        <f t="shared" si="48"/>
        <v>316372.5</v>
      </c>
      <c r="G331" s="24">
        <f t="shared" si="53"/>
        <v>5.9272522795741148E-2</v>
      </c>
      <c r="H331" s="24">
        <f t="shared" si="54"/>
        <v>8517561.9968154822</v>
      </c>
      <c r="I331" s="24">
        <f t="shared" si="55"/>
        <v>9258219.5617559589</v>
      </c>
      <c r="J331" s="24">
        <f t="shared" si="49"/>
        <v>7.5</v>
      </c>
      <c r="K331" s="327">
        <f t="shared" si="56"/>
        <v>15000000</v>
      </c>
      <c r="L331" s="56">
        <f t="shared" si="57"/>
        <v>3456000</v>
      </c>
      <c r="M331" s="56">
        <f t="shared" si="58"/>
        <v>12714219.561755959</v>
      </c>
      <c r="N331" s="11">
        <f>IF(COUNTIF(InputOutputData!K$20,"Chlorine") = 1,'More accurate Energy (Solar)'!M331,L331+K331+I331)</f>
        <v>12714219.561755959</v>
      </c>
    </row>
    <row r="332" spans="1:14" ht="14.45">
      <c r="A332" s="24">
        <f>IF(InputOutputData!$E$36=1,'Rainfall Data'!C320,IF(InputOutputData!$E$36=2,'Rainfall Data'!D319,IF(InputOutputData!$E$36=3,'Rainfall Data'!E319,'Rainfall Data'!F319)))</f>
        <v>11.4</v>
      </c>
      <c r="B332" s="24">
        <f t="shared" si="50"/>
        <v>0.79166666666666674</v>
      </c>
      <c r="C332" s="24">
        <f t="shared" si="51"/>
        <v>1.1400000000000001</v>
      </c>
      <c r="D332" s="24">
        <f t="shared" si="59"/>
        <v>317</v>
      </c>
      <c r="E332" s="24">
        <f t="shared" si="52"/>
        <v>14.363999999999994</v>
      </c>
      <c r="F332" s="24">
        <f t="shared" si="48"/>
        <v>240443.10000000006</v>
      </c>
      <c r="G332" s="24">
        <f t="shared" si="53"/>
        <v>5.0942705634705189E-2</v>
      </c>
      <c r="H332" s="24">
        <f t="shared" si="54"/>
        <v>7531826.3883121787</v>
      </c>
      <c r="I332" s="24">
        <f t="shared" si="55"/>
        <v>8186767.8133828025</v>
      </c>
      <c r="J332" s="24">
        <f t="shared" si="49"/>
        <v>5.7000000000000011</v>
      </c>
      <c r="K332" s="327">
        <f t="shared" si="56"/>
        <v>11400000.000000002</v>
      </c>
      <c r="L332" s="56">
        <f t="shared" si="57"/>
        <v>3456000</v>
      </c>
      <c r="M332" s="56">
        <f t="shared" si="58"/>
        <v>11642767.813382803</v>
      </c>
      <c r="N332" s="11">
        <f>IF(COUNTIF(InputOutputData!K$20,"Chlorine") = 1,'More accurate Energy (Solar)'!M332,L332+K332+I332)</f>
        <v>11642767.813382803</v>
      </c>
    </row>
    <row r="333" spans="1:14" ht="14.45">
      <c r="A333" s="24">
        <f>IF(InputOutputData!$E$36=1,'Rainfall Data'!C321,IF(InputOutputData!$E$36=2,'Rainfall Data'!D320,IF(InputOutputData!$E$36=3,'Rainfall Data'!E320,'Rainfall Data'!F320)))</f>
        <v>0.6</v>
      </c>
      <c r="B333" s="24">
        <f t="shared" si="50"/>
        <v>4.1666666666666664E-2</v>
      </c>
      <c r="C333" s="24">
        <f t="shared" si="51"/>
        <v>0.06</v>
      </c>
      <c r="D333" s="24">
        <f t="shared" si="59"/>
        <v>318</v>
      </c>
      <c r="E333" s="24">
        <f t="shared" si="52"/>
        <v>13.991999999999994</v>
      </c>
      <c r="F333" s="24">
        <f t="shared" si="48"/>
        <v>12654.9</v>
      </c>
      <c r="G333" s="24">
        <f t="shared" si="53"/>
        <v>1.0071891960946849E-2</v>
      </c>
      <c r="H333" s="24">
        <f t="shared" si="54"/>
        <v>2005015.1037280308</v>
      </c>
      <c r="I333" s="24">
        <f t="shared" si="55"/>
        <v>2179364.2431826419</v>
      </c>
      <c r="J333" s="24">
        <f t="shared" si="49"/>
        <v>0.3</v>
      </c>
      <c r="K333" s="327">
        <f t="shared" si="56"/>
        <v>600000</v>
      </c>
      <c r="L333" s="56">
        <f t="shared" si="57"/>
        <v>3456000</v>
      </c>
      <c r="M333" s="56">
        <f t="shared" si="58"/>
        <v>5635364.2431826424</v>
      </c>
      <c r="N333" s="11">
        <f>IF(COUNTIF(InputOutputData!K$20,"Chlorine") = 1,'More accurate Energy (Solar)'!M333,L333+K333+I333)</f>
        <v>5635364.2431826424</v>
      </c>
    </row>
    <row r="334" spans="1:14" ht="14.45">
      <c r="A334" s="24">
        <f>IF(InputOutputData!$E$36=1,'Rainfall Data'!C322,IF(InputOutputData!$E$36=2,'Rainfall Data'!D321,IF(InputOutputData!$E$36=3,'Rainfall Data'!E321,'Rainfall Data'!F321)))</f>
        <v>6</v>
      </c>
      <c r="B334" s="24">
        <f t="shared" si="50"/>
        <v>0.41666666666666669</v>
      </c>
      <c r="C334" s="24">
        <f t="shared" si="51"/>
        <v>0.6</v>
      </c>
      <c r="D334" s="24">
        <f t="shared" si="59"/>
        <v>319</v>
      </c>
      <c r="E334" s="24">
        <f t="shared" si="52"/>
        <v>14.159999999999993</v>
      </c>
      <c r="F334" s="24">
        <f t="shared" si="48"/>
        <v>126549</v>
      </c>
      <c r="G334" s="24">
        <f t="shared" si="53"/>
        <v>3.576343669814467E-2</v>
      </c>
      <c r="H334" s="24">
        <f t="shared" si="54"/>
        <v>5646631.6912610941</v>
      </c>
      <c r="I334" s="24">
        <f t="shared" si="55"/>
        <v>6137643.1426751018</v>
      </c>
      <c r="J334" s="24">
        <f t="shared" si="49"/>
        <v>3</v>
      </c>
      <c r="K334" s="327">
        <f t="shared" si="56"/>
        <v>6000000</v>
      </c>
      <c r="L334" s="56">
        <f t="shared" si="57"/>
        <v>3456000</v>
      </c>
      <c r="M334" s="56">
        <f t="shared" si="58"/>
        <v>9593643.1426751018</v>
      </c>
      <c r="N334" s="11">
        <f>IF(COUNTIF(InputOutputData!K$20,"Chlorine") = 1,'More accurate Energy (Solar)'!M334,L334+K334+I334)</f>
        <v>9593643.1426751018</v>
      </c>
    </row>
    <row r="335" spans="1:14" ht="14.45">
      <c r="A335" s="24">
        <f>IF(InputOutputData!$E$36=1,'Rainfall Data'!C323,IF(InputOutputData!$E$36=2,'Rainfall Data'!D322,IF(InputOutputData!$E$36=3,'Rainfall Data'!E322,'Rainfall Data'!F322)))</f>
        <v>55.4</v>
      </c>
      <c r="B335" s="24">
        <f t="shared" si="50"/>
        <v>1.0416666666666667</v>
      </c>
      <c r="C335" s="24">
        <f t="shared" si="51"/>
        <v>1.5</v>
      </c>
      <c r="D335" s="24">
        <f t="shared" si="59"/>
        <v>320</v>
      </c>
      <c r="E335" s="24">
        <f t="shared" si="52"/>
        <v>15.227999999999993</v>
      </c>
      <c r="F335" s="24">
        <f t="shared" si="48"/>
        <v>316372.5</v>
      </c>
      <c r="G335" s="24">
        <f t="shared" si="53"/>
        <v>5.9272522795741148E-2</v>
      </c>
      <c r="H335" s="24">
        <f t="shared" si="54"/>
        <v>8517561.9968154822</v>
      </c>
      <c r="I335" s="24">
        <f t="shared" si="55"/>
        <v>9258219.5617559589</v>
      </c>
      <c r="J335" s="24">
        <f t="shared" si="49"/>
        <v>7.5</v>
      </c>
      <c r="K335" s="327">
        <f t="shared" si="56"/>
        <v>15000000</v>
      </c>
      <c r="L335" s="56">
        <f t="shared" si="57"/>
        <v>3456000</v>
      </c>
      <c r="M335" s="56">
        <f t="shared" si="58"/>
        <v>12714219.561755959</v>
      </c>
      <c r="N335" s="11">
        <f>IF(COUNTIF(InputOutputData!K$20,"Chlorine") = 1,'More accurate Energy (Solar)'!M335,L335+K335+I335)</f>
        <v>12714219.561755959</v>
      </c>
    </row>
    <row r="336" spans="1:14" ht="14.45">
      <c r="A336" s="24">
        <f>IF(InputOutputData!$E$36=1,'Rainfall Data'!C324,IF(InputOutputData!$E$36=2,'Rainfall Data'!D323,IF(InputOutputData!$E$36=3,'Rainfall Data'!E323,'Rainfall Data'!F323)))</f>
        <v>6.2</v>
      </c>
      <c r="B336" s="24">
        <f t="shared" si="50"/>
        <v>0.43055555555555558</v>
      </c>
      <c r="C336" s="24">
        <f t="shared" si="51"/>
        <v>0.62</v>
      </c>
      <c r="D336" s="24">
        <f t="shared" si="59"/>
        <v>321</v>
      </c>
      <c r="E336" s="24">
        <f t="shared" si="52"/>
        <v>15.415999999999993</v>
      </c>
      <c r="F336" s="24">
        <f t="shared" ref="F336:F380" si="60">C336*$V$1*$V$2*$E$7</f>
        <v>130767.30000000002</v>
      </c>
      <c r="G336" s="24">
        <f t="shared" si="53"/>
        <v>3.6415279234193028E-2</v>
      </c>
      <c r="H336" s="24">
        <f t="shared" si="54"/>
        <v>5730407.4353259988</v>
      </c>
      <c r="I336" s="24">
        <f t="shared" si="55"/>
        <v>6228703.7340499982</v>
      </c>
      <c r="J336" s="24">
        <f t="shared" ref="J336:J380" si="61">($M$7 / $M$6) * C336</f>
        <v>3.1</v>
      </c>
      <c r="K336" s="327">
        <f t="shared" si="56"/>
        <v>6200000</v>
      </c>
      <c r="L336" s="56">
        <f t="shared" si="57"/>
        <v>3456000</v>
      </c>
      <c r="M336" s="56">
        <f t="shared" si="58"/>
        <v>9684703.7340499982</v>
      </c>
      <c r="N336" s="11">
        <f>IF(COUNTIF(InputOutputData!K$20,"Chlorine") = 1,'More accurate Energy (Solar)'!M336,L336+K336+I336)</f>
        <v>9684703.7340499982</v>
      </c>
    </row>
    <row r="337" spans="1:14" ht="14.45">
      <c r="A337" s="24">
        <f>IF(InputOutputData!$E$36=1,'Rainfall Data'!C325,IF(InputOutputData!$E$36=2,'Rainfall Data'!D324,IF(InputOutputData!$E$36=3,'Rainfall Data'!E324,'Rainfall Data'!F324)))</f>
        <v>0</v>
      </c>
      <c r="B337" s="24">
        <f t="shared" ref="B337:B380" si="62">C337*100/144</f>
        <v>0</v>
      </c>
      <c r="C337" s="24">
        <f t="shared" ref="C337:C380" si="63">MIN((A337/1000)*$E$3,$E$4)</f>
        <v>0</v>
      </c>
      <c r="D337" s="24">
        <f t="shared" si="59"/>
        <v>322</v>
      </c>
      <c r="E337" s="24">
        <f t="shared" ref="E337:E380" si="64">MAX(MIN(C337 - (IF(D337 &gt; $E$8, $E$2 / 1000,0)) + E336, $E$5),0)</f>
        <v>14.983999999999993</v>
      </c>
      <c r="F337" s="24">
        <f t="shared" si="60"/>
        <v>0</v>
      </c>
      <c r="G337" s="24">
        <f t="shared" ref="G337:G380" si="65">1.2*$V$8*(EXP(B337/$M$3)-1-(1.72*((B337/$M$3)^4)))^($V$9)</f>
        <v>0</v>
      </c>
      <c r="H337" s="24">
        <f t="shared" ref="H337:H380" si="66">IF(C337 = 0,0,$M$2*C337/G337 * 1000)</f>
        <v>0</v>
      </c>
      <c r="I337" s="24">
        <f t="shared" ref="I337:I380" si="67">H337/0.92</f>
        <v>0</v>
      </c>
      <c r="J337" s="24">
        <f t="shared" si="61"/>
        <v>0</v>
      </c>
      <c r="K337" s="327">
        <f t="shared" ref="K337:K380" si="68">$M$8 * 10^6 * J337</f>
        <v>0</v>
      </c>
      <c r="L337" s="56">
        <f t="shared" ref="L337:L380" si="69">$Q$6 * 24 * 3600</f>
        <v>3456000</v>
      </c>
      <c r="M337" s="56">
        <f t="shared" ref="M337:M380" si="70">L337+I337</f>
        <v>3456000</v>
      </c>
      <c r="N337" s="11">
        <f>IF(COUNTIF(InputOutputData!K$20,"Chlorine") = 1,'More accurate Energy (Solar)'!M337,L337+K337+I337)</f>
        <v>3456000</v>
      </c>
    </row>
    <row r="338" spans="1:14" ht="14.45">
      <c r="A338" s="24">
        <f>IF(InputOutputData!$E$36=1,'Rainfall Data'!C326,IF(InputOutputData!$E$36=2,'Rainfall Data'!D325,IF(InputOutputData!$E$36=3,'Rainfall Data'!E325,'Rainfall Data'!F325)))</f>
        <v>0</v>
      </c>
      <c r="B338" s="24">
        <f t="shared" si="62"/>
        <v>0</v>
      </c>
      <c r="C338" s="24">
        <f t="shared" si="63"/>
        <v>0</v>
      </c>
      <c r="D338" s="24">
        <f t="shared" ref="D338:D380" si="71">D337+1</f>
        <v>323</v>
      </c>
      <c r="E338" s="24">
        <f t="shared" si="64"/>
        <v>14.551999999999992</v>
      </c>
      <c r="F338" s="24">
        <f t="shared" si="60"/>
        <v>0</v>
      </c>
      <c r="G338" s="24">
        <f t="shared" si="65"/>
        <v>0</v>
      </c>
      <c r="H338" s="24">
        <f t="shared" si="66"/>
        <v>0</v>
      </c>
      <c r="I338" s="24">
        <f t="shared" si="67"/>
        <v>0</v>
      </c>
      <c r="J338" s="24">
        <f t="shared" si="61"/>
        <v>0</v>
      </c>
      <c r="K338" s="327">
        <f t="shared" si="68"/>
        <v>0</v>
      </c>
      <c r="L338" s="56">
        <f t="shared" si="69"/>
        <v>3456000</v>
      </c>
      <c r="M338" s="56">
        <f t="shared" si="70"/>
        <v>3456000</v>
      </c>
      <c r="N338" s="11">
        <f>IF(COUNTIF(InputOutputData!K$20,"Chlorine") = 1,'More accurate Energy (Solar)'!M338,L338+K338+I338)</f>
        <v>3456000</v>
      </c>
    </row>
    <row r="339" spans="1:14" ht="14.45">
      <c r="A339" s="24">
        <f>IF(InputOutputData!$E$36=1,'Rainfall Data'!C327,IF(InputOutputData!$E$36=2,'Rainfall Data'!D326,IF(InputOutputData!$E$36=3,'Rainfall Data'!E326,'Rainfall Data'!F326)))</f>
        <v>0</v>
      </c>
      <c r="B339" s="24">
        <f t="shared" si="62"/>
        <v>0</v>
      </c>
      <c r="C339" s="24">
        <f t="shared" si="63"/>
        <v>0</v>
      </c>
      <c r="D339" s="24">
        <f t="shared" si="71"/>
        <v>324</v>
      </c>
      <c r="E339" s="24">
        <f t="shared" si="64"/>
        <v>14.119999999999992</v>
      </c>
      <c r="F339" s="24">
        <f t="shared" si="60"/>
        <v>0</v>
      </c>
      <c r="G339" s="24">
        <f t="shared" si="65"/>
        <v>0</v>
      </c>
      <c r="H339" s="24">
        <f t="shared" si="66"/>
        <v>0</v>
      </c>
      <c r="I339" s="24">
        <f t="shared" si="67"/>
        <v>0</v>
      </c>
      <c r="J339" s="24">
        <f t="shared" si="61"/>
        <v>0</v>
      </c>
      <c r="K339" s="327">
        <f t="shared" si="68"/>
        <v>0</v>
      </c>
      <c r="L339" s="56">
        <f t="shared" si="69"/>
        <v>3456000</v>
      </c>
      <c r="M339" s="56">
        <f t="shared" si="70"/>
        <v>3456000</v>
      </c>
      <c r="N339" s="11">
        <f>IF(COUNTIF(InputOutputData!K$20,"Chlorine") = 1,'More accurate Energy (Solar)'!M339,L339+K339+I339)</f>
        <v>3456000</v>
      </c>
    </row>
    <row r="340" spans="1:14" ht="14.45">
      <c r="A340" s="24">
        <f>IF(InputOutputData!$E$36=1,'Rainfall Data'!C328,IF(InputOutputData!$E$36=2,'Rainfall Data'!D327,IF(InputOutputData!$E$36=3,'Rainfall Data'!E327,'Rainfall Data'!F327)))</f>
        <v>0</v>
      </c>
      <c r="B340" s="24">
        <f t="shared" si="62"/>
        <v>0</v>
      </c>
      <c r="C340" s="24">
        <f t="shared" si="63"/>
        <v>0</v>
      </c>
      <c r="D340" s="24">
        <f t="shared" si="71"/>
        <v>325</v>
      </c>
      <c r="E340" s="24">
        <f t="shared" si="64"/>
        <v>13.687999999999992</v>
      </c>
      <c r="F340" s="24">
        <f t="shared" si="60"/>
        <v>0</v>
      </c>
      <c r="G340" s="24">
        <f t="shared" si="65"/>
        <v>0</v>
      </c>
      <c r="H340" s="24">
        <f t="shared" si="66"/>
        <v>0</v>
      </c>
      <c r="I340" s="24">
        <f t="shared" si="67"/>
        <v>0</v>
      </c>
      <c r="J340" s="24">
        <f t="shared" si="61"/>
        <v>0</v>
      </c>
      <c r="K340" s="327">
        <f t="shared" si="68"/>
        <v>0</v>
      </c>
      <c r="L340" s="56">
        <f t="shared" si="69"/>
        <v>3456000</v>
      </c>
      <c r="M340" s="56">
        <f t="shared" si="70"/>
        <v>3456000</v>
      </c>
      <c r="N340" s="11">
        <f>IF(COUNTIF(InputOutputData!K$20,"Chlorine") = 1,'More accurate Energy (Solar)'!M340,L340+K340+I340)</f>
        <v>3456000</v>
      </c>
    </row>
    <row r="341" spans="1:14" ht="14.45">
      <c r="A341" s="24">
        <f>IF(InputOutputData!$E$36=1,'Rainfall Data'!C329,IF(InputOutputData!$E$36=2,'Rainfall Data'!D328,IF(InputOutputData!$E$36=3,'Rainfall Data'!E328,'Rainfall Data'!F328)))</f>
        <v>0</v>
      </c>
      <c r="B341" s="24">
        <f t="shared" si="62"/>
        <v>0</v>
      </c>
      <c r="C341" s="24">
        <f t="shared" si="63"/>
        <v>0</v>
      </c>
      <c r="D341" s="24">
        <f t="shared" si="71"/>
        <v>326</v>
      </c>
      <c r="E341" s="24">
        <f t="shared" si="64"/>
        <v>13.255999999999991</v>
      </c>
      <c r="F341" s="24">
        <f t="shared" si="60"/>
        <v>0</v>
      </c>
      <c r="G341" s="24">
        <f t="shared" si="65"/>
        <v>0</v>
      </c>
      <c r="H341" s="24">
        <f t="shared" si="66"/>
        <v>0</v>
      </c>
      <c r="I341" s="24">
        <f t="shared" si="67"/>
        <v>0</v>
      </c>
      <c r="J341" s="24">
        <f t="shared" si="61"/>
        <v>0</v>
      </c>
      <c r="K341" s="327">
        <f t="shared" si="68"/>
        <v>0</v>
      </c>
      <c r="L341" s="56">
        <f t="shared" si="69"/>
        <v>3456000</v>
      </c>
      <c r="M341" s="56">
        <f t="shared" si="70"/>
        <v>3456000</v>
      </c>
      <c r="N341" s="11">
        <f>IF(COUNTIF(InputOutputData!K$20,"Chlorine") = 1,'More accurate Energy (Solar)'!M341,L341+K341+I341)</f>
        <v>3456000</v>
      </c>
    </row>
    <row r="342" spans="1:14" ht="14.45">
      <c r="A342" s="24">
        <f>IF(InputOutputData!$E$36=1,'Rainfall Data'!C330,IF(InputOutputData!$E$36=2,'Rainfall Data'!D329,IF(InputOutputData!$E$36=3,'Rainfall Data'!E329,'Rainfall Data'!F329)))</f>
        <v>0</v>
      </c>
      <c r="B342" s="24">
        <f t="shared" si="62"/>
        <v>0</v>
      </c>
      <c r="C342" s="24">
        <f t="shared" si="63"/>
        <v>0</v>
      </c>
      <c r="D342" s="24">
        <f t="shared" si="71"/>
        <v>327</v>
      </c>
      <c r="E342" s="24">
        <f t="shared" si="64"/>
        <v>12.823999999999991</v>
      </c>
      <c r="F342" s="24">
        <f t="shared" si="60"/>
        <v>0</v>
      </c>
      <c r="G342" s="24">
        <f t="shared" si="65"/>
        <v>0</v>
      </c>
      <c r="H342" s="24">
        <f t="shared" si="66"/>
        <v>0</v>
      </c>
      <c r="I342" s="24">
        <f t="shared" si="67"/>
        <v>0</v>
      </c>
      <c r="J342" s="24">
        <f t="shared" si="61"/>
        <v>0</v>
      </c>
      <c r="K342" s="327">
        <f t="shared" si="68"/>
        <v>0</v>
      </c>
      <c r="L342" s="56">
        <f t="shared" si="69"/>
        <v>3456000</v>
      </c>
      <c r="M342" s="56">
        <f t="shared" si="70"/>
        <v>3456000</v>
      </c>
      <c r="N342" s="11">
        <f>IF(COUNTIF(InputOutputData!K$20,"Chlorine") = 1,'More accurate Energy (Solar)'!M342,L342+K342+I342)</f>
        <v>3456000</v>
      </c>
    </row>
    <row r="343" spans="1:14" ht="14.45">
      <c r="A343" s="24">
        <f>IF(InputOutputData!$E$36=1,'Rainfall Data'!C331,IF(InputOutputData!$E$36=2,'Rainfall Data'!D330,IF(InputOutputData!$E$36=3,'Rainfall Data'!E330,'Rainfall Data'!F330)))</f>
        <v>0</v>
      </c>
      <c r="B343" s="24">
        <f t="shared" si="62"/>
        <v>0</v>
      </c>
      <c r="C343" s="24">
        <f t="shared" si="63"/>
        <v>0</v>
      </c>
      <c r="D343" s="24">
        <f t="shared" si="71"/>
        <v>328</v>
      </c>
      <c r="E343" s="24">
        <f t="shared" si="64"/>
        <v>12.391999999999991</v>
      </c>
      <c r="F343" s="24">
        <f t="shared" si="60"/>
        <v>0</v>
      </c>
      <c r="G343" s="24">
        <f t="shared" si="65"/>
        <v>0</v>
      </c>
      <c r="H343" s="24">
        <f t="shared" si="66"/>
        <v>0</v>
      </c>
      <c r="I343" s="24">
        <f t="shared" si="67"/>
        <v>0</v>
      </c>
      <c r="J343" s="24">
        <f t="shared" si="61"/>
        <v>0</v>
      </c>
      <c r="K343" s="327">
        <f t="shared" si="68"/>
        <v>0</v>
      </c>
      <c r="L343" s="56">
        <f t="shared" si="69"/>
        <v>3456000</v>
      </c>
      <c r="M343" s="56">
        <f t="shared" si="70"/>
        <v>3456000</v>
      </c>
      <c r="N343" s="11">
        <f>IF(COUNTIF(InputOutputData!K$20,"Chlorine") = 1,'More accurate Energy (Solar)'!M343,L343+K343+I343)</f>
        <v>3456000</v>
      </c>
    </row>
    <row r="344" spans="1:14" ht="14.45">
      <c r="A344" s="24">
        <f>IF(InputOutputData!$E$36=1,'Rainfall Data'!C332,IF(InputOutputData!$E$36=2,'Rainfall Data'!D331,IF(InputOutputData!$E$36=3,'Rainfall Data'!E331,'Rainfall Data'!F331)))</f>
        <v>0</v>
      </c>
      <c r="B344" s="24">
        <f t="shared" si="62"/>
        <v>0</v>
      </c>
      <c r="C344" s="24">
        <f t="shared" si="63"/>
        <v>0</v>
      </c>
      <c r="D344" s="24">
        <f t="shared" si="71"/>
        <v>329</v>
      </c>
      <c r="E344" s="24">
        <f t="shared" si="64"/>
        <v>11.95999999999999</v>
      </c>
      <c r="F344" s="24">
        <f t="shared" si="60"/>
        <v>0</v>
      </c>
      <c r="G344" s="24">
        <f t="shared" si="65"/>
        <v>0</v>
      </c>
      <c r="H344" s="24">
        <f t="shared" si="66"/>
        <v>0</v>
      </c>
      <c r="I344" s="24">
        <f t="shared" si="67"/>
        <v>0</v>
      </c>
      <c r="J344" s="24">
        <f t="shared" si="61"/>
        <v>0</v>
      </c>
      <c r="K344" s="327">
        <f t="shared" si="68"/>
        <v>0</v>
      </c>
      <c r="L344" s="56">
        <f t="shared" si="69"/>
        <v>3456000</v>
      </c>
      <c r="M344" s="56">
        <f t="shared" si="70"/>
        <v>3456000</v>
      </c>
      <c r="N344" s="11">
        <f>IF(COUNTIF(InputOutputData!K$20,"Chlorine") = 1,'More accurate Energy (Solar)'!M344,L344+K344+I344)</f>
        <v>3456000</v>
      </c>
    </row>
    <row r="345" spans="1:14" ht="14.45">
      <c r="A345" s="24">
        <f>IF(InputOutputData!$E$36=1,'Rainfall Data'!C333,IF(InputOutputData!$E$36=2,'Rainfall Data'!D332,IF(InputOutputData!$E$36=3,'Rainfall Data'!E332,'Rainfall Data'!F332)))</f>
        <v>0</v>
      </c>
      <c r="B345" s="24">
        <f t="shared" si="62"/>
        <v>0</v>
      </c>
      <c r="C345" s="24">
        <f t="shared" si="63"/>
        <v>0</v>
      </c>
      <c r="D345" s="24">
        <f t="shared" si="71"/>
        <v>330</v>
      </c>
      <c r="E345" s="24">
        <f t="shared" si="64"/>
        <v>11.52799999999999</v>
      </c>
      <c r="F345" s="24">
        <f t="shared" si="60"/>
        <v>0</v>
      </c>
      <c r="G345" s="24">
        <f t="shared" si="65"/>
        <v>0</v>
      </c>
      <c r="H345" s="24">
        <f t="shared" si="66"/>
        <v>0</v>
      </c>
      <c r="I345" s="24">
        <f t="shared" si="67"/>
        <v>0</v>
      </c>
      <c r="J345" s="24">
        <f t="shared" si="61"/>
        <v>0</v>
      </c>
      <c r="K345" s="327">
        <f t="shared" si="68"/>
        <v>0</v>
      </c>
      <c r="L345" s="56">
        <f t="shared" si="69"/>
        <v>3456000</v>
      </c>
      <c r="M345" s="56">
        <f t="shared" si="70"/>
        <v>3456000</v>
      </c>
      <c r="N345" s="11">
        <f>IF(COUNTIF(InputOutputData!K$20,"Chlorine") = 1,'More accurate Energy (Solar)'!M345,L345+K345+I345)</f>
        <v>3456000</v>
      </c>
    </row>
    <row r="346" spans="1:14" ht="14.45">
      <c r="A346" s="24">
        <f>IF(InputOutputData!$E$36=1,'Rainfall Data'!C334,IF(InputOutputData!$E$36=2,'Rainfall Data'!D333,IF(InputOutputData!$E$36=3,'Rainfall Data'!E333,'Rainfall Data'!F333)))</f>
        <v>0</v>
      </c>
      <c r="B346" s="24">
        <f t="shared" si="62"/>
        <v>0</v>
      </c>
      <c r="C346" s="24">
        <f t="shared" si="63"/>
        <v>0</v>
      </c>
      <c r="D346" s="24">
        <f t="shared" si="71"/>
        <v>331</v>
      </c>
      <c r="E346" s="24">
        <f t="shared" si="64"/>
        <v>11.095999999999989</v>
      </c>
      <c r="F346" s="24">
        <f t="shared" si="60"/>
        <v>0</v>
      </c>
      <c r="G346" s="24">
        <f t="shared" si="65"/>
        <v>0</v>
      </c>
      <c r="H346" s="24">
        <f t="shared" si="66"/>
        <v>0</v>
      </c>
      <c r="I346" s="24">
        <f t="shared" si="67"/>
        <v>0</v>
      </c>
      <c r="J346" s="24">
        <f t="shared" si="61"/>
        <v>0</v>
      </c>
      <c r="K346" s="327">
        <f t="shared" si="68"/>
        <v>0</v>
      </c>
      <c r="L346" s="56">
        <f t="shared" si="69"/>
        <v>3456000</v>
      </c>
      <c r="M346" s="56">
        <f t="shared" si="70"/>
        <v>3456000</v>
      </c>
      <c r="N346" s="11">
        <f>IF(COUNTIF(InputOutputData!K$20,"Chlorine") = 1,'More accurate Energy (Solar)'!M346,L346+K346+I346)</f>
        <v>3456000</v>
      </c>
    </row>
    <row r="347" spans="1:14" ht="14.45">
      <c r="A347" s="24">
        <f>IF(InputOutputData!$E$36=1,'Rainfall Data'!C335,IF(InputOutputData!$E$36=2,'Rainfall Data'!D334,IF(InputOutputData!$E$36=3,'Rainfall Data'!E334,'Rainfall Data'!F334)))</f>
        <v>0</v>
      </c>
      <c r="B347" s="24">
        <f t="shared" si="62"/>
        <v>0</v>
      </c>
      <c r="C347" s="24">
        <f t="shared" si="63"/>
        <v>0</v>
      </c>
      <c r="D347" s="24">
        <f t="shared" si="71"/>
        <v>332</v>
      </c>
      <c r="E347" s="24">
        <f t="shared" si="64"/>
        <v>10.663999999999989</v>
      </c>
      <c r="F347" s="24">
        <f t="shared" si="60"/>
        <v>0</v>
      </c>
      <c r="G347" s="24">
        <f t="shared" si="65"/>
        <v>0</v>
      </c>
      <c r="H347" s="24">
        <f t="shared" si="66"/>
        <v>0</v>
      </c>
      <c r="I347" s="24">
        <f t="shared" si="67"/>
        <v>0</v>
      </c>
      <c r="J347" s="24">
        <f t="shared" si="61"/>
        <v>0</v>
      </c>
      <c r="K347" s="327">
        <f t="shared" si="68"/>
        <v>0</v>
      </c>
      <c r="L347" s="56">
        <f t="shared" si="69"/>
        <v>3456000</v>
      </c>
      <c r="M347" s="56">
        <f t="shared" si="70"/>
        <v>3456000</v>
      </c>
      <c r="N347" s="11">
        <f>IF(COUNTIF(InputOutputData!K$20,"Chlorine") = 1,'More accurate Energy (Solar)'!M347,L347+K347+I347)</f>
        <v>3456000</v>
      </c>
    </row>
    <row r="348" spans="1:14" ht="14.45">
      <c r="A348" s="24">
        <f>IF(InputOutputData!$E$36=1,'Rainfall Data'!C336,IF(InputOutputData!$E$36=2,'Rainfall Data'!D335,IF(InputOutputData!$E$36=3,'Rainfall Data'!E335,'Rainfall Data'!F335)))</f>
        <v>0</v>
      </c>
      <c r="B348" s="24">
        <f t="shared" si="62"/>
        <v>0</v>
      </c>
      <c r="C348" s="24">
        <f t="shared" si="63"/>
        <v>0</v>
      </c>
      <c r="D348" s="24">
        <f t="shared" si="71"/>
        <v>333</v>
      </c>
      <c r="E348" s="24">
        <f t="shared" si="64"/>
        <v>10.231999999999989</v>
      </c>
      <c r="F348" s="24">
        <f t="shared" si="60"/>
        <v>0</v>
      </c>
      <c r="G348" s="24">
        <f t="shared" si="65"/>
        <v>0</v>
      </c>
      <c r="H348" s="24">
        <f t="shared" si="66"/>
        <v>0</v>
      </c>
      <c r="I348" s="24">
        <f t="shared" si="67"/>
        <v>0</v>
      </c>
      <c r="J348" s="24">
        <f t="shared" si="61"/>
        <v>0</v>
      </c>
      <c r="K348" s="327">
        <f t="shared" si="68"/>
        <v>0</v>
      </c>
      <c r="L348" s="56">
        <f t="shared" si="69"/>
        <v>3456000</v>
      </c>
      <c r="M348" s="56">
        <f t="shared" si="70"/>
        <v>3456000</v>
      </c>
      <c r="N348" s="11">
        <f>IF(COUNTIF(InputOutputData!K$20,"Chlorine") = 1,'More accurate Energy (Solar)'!M348,L348+K348+I348)</f>
        <v>3456000</v>
      </c>
    </row>
    <row r="349" spans="1:14" ht="14.45">
      <c r="A349" s="24">
        <f>IF(InputOutputData!$E$36=1,'Rainfall Data'!C337,IF(InputOutputData!$E$36=2,'Rainfall Data'!D336,IF(InputOutputData!$E$36=3,'Rainfall Data'!E336,'Rainfall Data'!F336)))</f>
        <v>13</v>
      </c>
      <c r="B349" s="24">
        <f t="shared" si="62"/>
        <v>0.90277777777777779</v>
      </c>
      <c r="C349" s="24">
        <f t="shared" si="63"/>
        <v>1.3</v>
      </c>
      <c r="D349" s="24">
        <f t="shared" si="71"/>
        <v>334</v>
      </c>
      <c r="E349" s="24">
        <f t="shared" si="64"/>
        <v>11.099999999999989</v>
      </c>
      <c r="F349" s="24">
        <f t="shared" si="60"/>
        <v>274189.5</v>
      </c>
      <c r="G349" s="24">
        <f t="shared" si="65"/>
        <v>5.4770973691154398E-2</v>
      </c>
      <c r="H349" s="24">
        <f t="shared" si="66"/>
        <v>7988593.9537653979</v>
      </c>
      <c r="I349" s="24">
        <f t="shared" si="67"/>
        <v>8683254.2975710835</v>
      </c>
      <c r="J349" s="24">
        <f t="shared" si="61"/>
        <v>6.5</v>
      </c>
      <c r="K349" s="327">
        <f t="shared" si="68"/>
        <v>13000000</v>
      </c>
      <c r="L349" s="56">
        <f t="shared" si="69"/>
        <v>3456000</v>
      </c>
      <c r="M349" s="56">
        <f t="shared" si="70"/>
        <v>12139254.297571084</v>
      </c>
      <c r="N349" s="11">
        <f>IF(COUNTIF(InputOutputData!K$20,"Chlorine") = 1,'More accurate Energy (Solar)'!M349,L349+K349+I349)</f>
        <v>12139254.297571084</v>
      </c>
    </row>
    <row r="350" spans="1:14" ht="14.45">
      <c r="A350" s="24">
        <f>IF(InputOutputData!$E$36=1,'Rainfall Data'!C338,IF(InputOutputData!$E$36=2,'Rainfall Data'!D337,IF(InputOutputData!$E$36=3,'Rainfall Data'!E337,'Rainfall Data'!F337)))</f>
        <v>34.6</v>
      </c>
      <c r="B350" s="24">
        <f t="shared" si="62"/>
        <v>1.0416666666666667</v>
      </c>
      <c r="C350" s="24">
        <f t="shared" si="63"/>
        <v>1.5</v>
      </c>
      <c r="D350" s="24">
        <f t="shared" si="71"/>
        <v>335</v>
      </c>
      <c r="E350" s="24">
        <f t="shared" si="64"/>
        <v>12.167999999999989</v>
      </c>
      <c r="F350" s="24">
        <f t="shared" si="60"/>
        <v>316372.5</v>
      </c>
      <c r="G350" s="24">
        <f t="shared" si="65"/>
        <v>5.9272522795741148E-2</v>
      </c>
      <c r="H350" s="24">
        <f t="shared" si="66"/>
        <v>8517561.9968154822</v>
      </c>
      <c r="I350" s="24">
        <f t="shared" si="67"/>
        <v>9258219.5617559589</v>
      </c>
      <c r="J350" s="24">
        <f t="shared" si="61"/>
        <v>7.5</v>
      </c>
      <c r="K350" s="327">
        <f t="shared" si="68"/>
        <v>15000000</v>
      </c>
      <c r="L350" s="56">
        <f t="shared" si="69"/>
        <v>3456000</v>
      </c>
      <c r="M350" s="56">
        <f t="shared" si="70"/>
        <v>12714219.561755959</v>
      </c>
      <c r="N350" s="11">
        <f>IF(COUNTIF(InputOutputData!K$20,"Chlorine") = 1,'More accurate Energy (Solar)'!M350,L350+K350+I350)</f>
        <v>12714219.561755959</v>
      </c>
    </row>
    <row r="351" spans="1:14" ht="14.45">
      <c r="A351" s="24">
        <f>IF(InputOutputData!$E$36=1,'Rainfall Data'!C339,IF(InputOutputData!$E$36=2,'Rainfall Data'!D338,IF(InputOutputData!$E$36=3,'Rainfall Data'!E338,'Rainfall Data'!F338)))</f>
        <v>27.4</v>
      </c>
      <c r="B351" s="24">
        <f t="shared" si="62"/>
        <v>1.0416666666666667</v>
      </c>
      <c r="C351" s="24">
        <f t="shared" si="63"/>
        <v>1.5</v>
      </c>
      <c r="D351" s="24">
        <f t="shared" si="71"/>
        <v>336</v>
      </c>
      <c r="E351" s="24">
        <f t="shared" si="64"/>
        <v>13.235999999999988</v>
      </c>
      <c r="F351" s="24">
        <f t="shared" si="60"/>
        <v>316372.5</v>
      </c>
      <c r="G351" s="24">
        <f t="shared" si="65"/>
        <v>5.9272522795741148E-2</v>
      </c>
      <c r="H351" s="24">
        <f t="shared" si="66"/>
        <v>8517561.9968154822</v>
      </c>
      <c r="I351" s="24">
        <f t="shared" si="67"/>
        <v>9258219.5617559589</v>
      </c>
      <c r="J351" s="24">
        <f t="shared" si="61"/>
        <v>7.5</v>
      </c>
      <c r="K351" s="327">
        <f t="shared" si="68"/>
        <v>15000000</v>
      </c>
      <c r="L351" s="56">
        <f t="shared" si="69"/>
        <v>3456000</v>
      </c>
      <c r="M351" s="56">
        <f t="shared" si="70"/>
        <v>12714219.561755959</v>
      </c>
      <c r="N351" s="11">
        <f>IF(COUNTIF(InputOutputData!K$20,"Chlorine") = 1,'More accurate Energy (Solar)'!M351,L351+K351+I351)</f>
        <v>12714219.561755959</v>
      </c>
    </row>
    <row r="352" spans="1:14" ht="14.45">
      <c r="A352" s="24">
        <f>IF(InputOutputData!$E$36=1,'Rainfall Data'!C340,IF(InputOutputData!$E$36=2,'Rainfall Data'!D339,IF(InputOutputData!$E$36=3,'Rainfall Data'!E339,'Rainfall Data'!F339)))</f>
        <v>32.6</v>
      </c>
      <c r="B352" s="24">
        <f t="shared" si="62"/>
        <v>1.0416666666666667</v>
      </c>
      <c r="C352" s="24">
        <f t="shared" si="63"/>
        <v>1.5</v>
      </c>
      <c r="D352" s="24">
        <f t="shared" si="71"/>
        <v>337</v>
      </c>
      <c r="E352" s="24">
        <f t="shared" si="64"/>
        <v>14.303999999999988</v>
      </c>
      <c r="F352" s="24">
        <f t="shared" si="60"/>
        <v>316372.5</v>
      </c>
      <c r="G352" s="24">
        <f t="shared" si="65"/>
        <v>5.9272522795741148E-2</v>
      </c>
      <c r="H352" s="24">
        <f t="shared" si="66"/>
        <v>8517561.9968154822</v>
      </c>
      <c r="I352" s="24">
        <f t="shared" si="67"/>
        <v>9258219.5617559589</v>
      </c>
      <c r="J352" s="24">
        <f t="shared" si="61"/>
        <v>7.5</v>
      </c>
      <c r="K352" s="327">
        <f t="shared" si="68"/>
        <v>15000000</v>
      </c>
      <c r="L352" s="56">
        <f t="shared" si="69"/>
        <v>3456000</v>
      </c>
      <c r="M352" s="56">
        <f t="shared" si="70"/>
        <v>12714219.561755959</v>
      </c>
      <c r="N352" s="11">
        <f>IF(COUNTIF(InputOutputData!K$20,"Chlorine") = 1,'More accurate Energy (Solar)'!M352,L352+K352+I352)</f>
        <v>12714219.561755959</v>
      </c>
    </row>
    <row r="353" spans="1:14" ht="14.45">
      <c r="A353" s="24">
        <f>IF(InputOutputData!$E$36=1,'Rainfall Data'!C341,IF(InputOutputData!$E$36=2,'Rainfall Data'!D340,IF(InputOutputData!$E$36=3,'Rainfall Data'!E340,'Rainfall Data'!F340)))</f>
        <v>27.2</v>
      </c>
      <c r="B353" s="24">
        <f t="shared" si="62"/>
        <v>1.0416666666666667</v>
      </c>
      <c r="C353" s="24">
        <f t="shared" si="63"/>
        <v>1.5</v>
      </c>
      <c r="D353" s="24">
        <f t="shared" si="71"/>
        <v>338</v>
      </c>
      <c r="E353" s="24">
        <f t="shared" si="64"/>
        <v>15.371999999999987</v>
      </c>
      <c r="F353" s="24">
        <f t="shared" si="60"/>
        <v>316372.5</v>
      </c>
      <c r="G353" s="24">
        <f t="shared" si="65"/>
        <v>5.9272522795741148E-2</v>
      </c>
      <c r="H353" s="24">
        <f t="shared" si="66"/>
        <v>8517561.9968154822</v>
      </c>
      <c r="I353" s="24">
        <f t="shared" si="67"/>
        <v>9258219.5617559589</v>
      </c>
      <c r="J353" s="24">
        <f t="shared" si="61"/>
        <v>7.5</v>
      </c>
      <c r="K353" s="327">
        <f t="shared" si="68"/>
        <v>15000000</v>
      </c>
      <c r="L353" s="56">
        <f t="shared" si="69"/>
        <v>3456000</v>
      </c>
      <c r="M353" s="56">
        <f t="shared" si="70"/>
        <v>12714219.561755959</v>
      </c>
      <c r="N353" s="11">
        <f>IF(COUNTIF(InputOutputData!K$20,"Chlorine") = 1,'More accurate Energy (Solar)'!M353,L353+K353+I353)</f>
        <v>12714219.561755959</v>
      </c>
    </row>
    <row r="354" spans="1:14" ht="14.45">
      <c r="A354" s="24">
        <f>IF(InputOutputData!$E$36=1,'Rainfall Data'!C342,IF(InputOutputData!$E$36=2,'Rainfall Data'!D341,IF(InputOutputData!$E$36=3,'Rainfall Data'!E341,'Rainfall Data'!F341)))</f>
        <v>33.799999999999997</v>
      </c>
      <c r="B354" s="24">
        <f t="shared" si="62"/>
        <v>1.0416666666666667</v>
      </c>
      <c r="C354" s="24">
        <f t="shared" si="63"/>
        <v>1.5</v>
      </c>
      <c r="D354" s="24">
        <f t="shared" si="71"/>
        <v>339</v>
      </c>
      <c r="E354" s="24">
        <f t="shared" si="64"/>
        <v>16.439999999999987</v>
      </c>
      <c r="F354" s="24">
        <f t="shared" si="60"/>
        <v>316372.5</v>
      </c>
      <c r="G354" s="24">
        <f t="shared" si="65"/>
        <v>5.9272522795741148E-2</v>
      </c>
      <c r="H354" s="24">
        <f t="shared" si="66"/>
        <v>8517561.9968154822</v>
      </c>
      <c r="I354" s="24">
        <f t="shared" si="67"/>
        <v>9258219.5617559589</v>
      </c>
      <c r="J354" s="24">
        <f t="shared" si="61"/>
        <v>7.5</v>
      </c>
      <c r="K354" s="327">
        <f t="shared" si="68"/>
        <v>15000000</v>
      </c>
      <c r="L354" s="56">
        <f t="shared" si="69"/>
        <v>3456000</v>
      </c>
      <c r="M354" s="56">
        <f t="shared" si="70"/>
        <v>12714219.561755959</v>
      </c>
      <c r="N354" s="11">
        <f>IF(COUNTIF(InputOutputData!K$20,"Chlorine") = 1,'More accurate Energy (Solar)'!M354,L354+K354+I354)</f>
        <v>12714219.561755959</v>
      </c>
    </row>
    <row r="355" spans="1:14" ht="14.45">
      <c r="A355" s="24">
        <f>IF(InputOutputData!$E$36=1,'Rainfall Data'!C343,IF(InputOutputData!$E$36=2,'Rainfall Data'!D342,IF(InputOutputData!$E$36=3,'Rainfall Data'!E342,'Rainfall Data'!F342)))</f>
        <v>22.4</v>
      </c>
      <c r="B355" s="24">
        <f t="shared" si="62"/>
        <v>1.0416666666666667</v>
      </c>
      <c r="C355" s="24">
        <f t="shared" si="63"/>
        <v>1.5</v>
      </c>
      <c r="D355" s="24">
        <f t="shared" si="71"/>
        <v>340</v>
      </c>
      <c r="E355" s="24">
        <f t="shared" si="64"/>
        <v>17.507999999999988</v>
      </c>
      <c r="F355" s="24">
        <f t="shared" si="60"/>
        <v>316372.5</v>
      </c>
      <c r="G355" s="24">
        <f t="shared" si="65"/>
        <v>5.9272522795741148E-2</v>
      </c>
      <c r="H355" s="24">
        <f t="shared" si="66"/>
        <v>8517561.9968154822</v>
      </c>
      <c r="I355" s="24">
        <f t="shared" si="67"/>
        <v>9258219.5617559589</v>
      </c>
      <c r="J355" s="24">
        <f t="shared" si="61"/>
        <v>7.5</v>
      </c>
      <c r="K355" s="327">
        <f t="shared" si="68"/>
        <v>15000000</v>
      </c>
      <c r="L355" s="56">
        <f t="shared" si="69"/>
        <v>3456000</v>
      </c>
      <c r="M355" s="56">
        <f t="shared" si="70"/>
        <v>12714219.561755959</v>
      </c>
      <c r="N355" s="11">
        <f>IF(COUNTIF(InputOutputData!K$20,"Chlorine") = 1,'More accurate Energy (Solar)'!M355,L355+K355+I355)</f>
        <v>12714219.561755959</v>
      </c>
    </row>
    <row r="356" spans="1:14" ht="14.45">
      <c r="A356" s="24">
        <f>IF(InputOutputData!$E$36=1,'Rainfall Data'!C344,IF(InputOutputData!$E$36=2,'Rainfall Data'!D343,IF(InputOutputData!$E$36=3,'Rainfall Data'!E343,'Rainfall Data'!F343)))</f>
        <v>37.200000000000003</v>
      </c>
      <c r="B356" s="24">
        <f t="shared" si="62"/>
        <v>1.0416666666666667</v>
      </c>
      <c r="C356" s="24">
        <f t="shared" si="63"/>
        <v>1.5</v>
      </c>
      <c r="D356" s="24">
        <f t="shared" si="71"/>
        <v>341</v>
      </c>
      <c r="E356" s="24">
        <f t="shared" si="64"/>
        <v>18.57599999999999</v>
      </c>
      <c r="F356" s="24">
        <f t="shared" si="60"/>
        <v>316372.5</v>
      </c>
      <c r="G356" s="24">
        <f t="shared" si="65"/>
        <v>5.9272522795741148E-2</v>
      </c>
      <c r="H356" s="24">
        <f t="shared" si="66"/>
        <v>8517561.9968154822</v>
      </c>
      <c r="I356" s="24">
        <f t="shared" si="67"/>
        <v>9258219.5617559589</v>
      </c>
      <c r="J356" s="24">
        <f t="shared" si="61"/>
        <v>7.5</v>
      </c>
      <c r="K356" s="327">
        <f t="shared" si="68"/>
        <v>15000000</v>
      </c>
      <c r="L356" s="56">
        <f t="shared" si="69"/>
        <v>3456000</v>
      </c>
      <c r="M356" s="56">
        <f t="shared" si="70"/>
        <v>12714219.561755959</v>
      </c>
      <c r="N356" s="11">
        <f>IF(COUNTIF(InputOutputData!K$20,"Chlorine") = 1,'More accurate Energy (Solar)'!M356,L356+K356+I356)</f>
        <v>12714219.561755959</v>
      </c>
    </row>
    <row r="357" spans="1:14" ht="14.45">
      <c r="A357" s="24">
        <f>IF(InputOutputData!$E$36=1,'Rainfall Data'!C345,IF(InputOutputData!$E$36=2,'Rainfall Data'!D344,IF(InputOutputData!$E$36=3,'Rainfall Data'!E344,'Rainfall Data'!F344)))</f>
        <v>27</v>
      </c>
      <c r="B357" s="24">
        <f t="shared" si="62"/>
        <v>1.0416666666666667</v>
      </c>
      <c r="C357" s="24">
        <f t="shared" si="63"/>
        <v>1.5</v>
      </c>
      <c r="D357" s="24">
        <f t="shared" si="71"/>
        <v>342</v>
      </c>
      <c r="E357" s="24">
        <f t="shared" si="64"/>
        <v>19.643999999999991</v>
      </c>
      <c r="F357" s="24">
        <f t="shared" si="60"/>
        <v>316372.5</v>
      </c>
      <c r="G357" s="24">
        <f t="shared" si="65"/>
        <v>5.9272522795741148E-2</v>
      </c>
      <c r="H357" s="24">
        <f t="shared" si="66"/>
        <v>8517561.9968154822</v>
      </c>
      <c r="I357" s="24">
        <f t="shared" si="67"/>
        <v>9258219.5617559589</v>
      </c>
      <c r="J357" s="24">
        <f t="shared" si="61"/>
        <v>7.5</v>
      </c>
      <c r="K357" s="327">
        <f t="shared" si="68"/>
        <v>15000000</v>
      </c>
      <c r="L357" s="56">
        <f t="shared" si="69"/>
        <v>3456000</v>
      </c>
      <c r="M357" s="56">
        <f t="shared" si="70"/>
        <v>12714219.561755959</v>
      </c>
      <c r="N357" s="11">
        <f>IF(COUNTIF(InputOutputData!K$20,"Chlorine") = 1,'More accurate Energy (Solar)'!M357,L357+K357+I357)</f>
        <v>12714219.561755959</v>
      </c>
    </row>
    <row r="358" spans="1:14" ht="14.45">
      <c r="A358" s="24">
        <f>IF(InputOutputData!$E$36=1,'Rainfall Data'!C346,IF(InputOutputData!$E$36=2,'Rainfall Data'!D345,IF(InputOutputData!$E$36=3,'Rainfall Data'!E345,'Rainfall Data'!F345)))</f>
        <v>4.8</v>
      </c>
      <c r="B358" s="24">
        <f t="shared" si="62"/>
        <v>0.33333333333333331</v>
      </c>
      <c r="C358" s="24">
        <f t="shared" si="63"/>
        <v>0.48</v>
      </c>
      <c r="D358" s="24">
        <f t="shared" si="71"/>
        <v>343</v>
      </c>
      <c r="E358" s="24">
        <f t="shared" si="64"/>
        <v>19.69199999999999</v>
      </c>
      <c r="F358" s="24">
        <f t="shared" si="60"/>
        <v>101239.2</v>
      </c>
      <c r="G358" s="24">
        <f t="shared" si="65"/>
        <v>3.162756800739009E-2</v>
      </c>
      <c r="H358" s="24">
        <f t="shared" si="66"/>
        <v>5108023.6077833809</v>
      </c>
      <c r="I358" s="24">
        <f t="shared" si="67"/>
        <v>5552199.5736775873</v>
      </c>
      <c r="J358" s="24">
        <f t="shared" si="61"/>
        <v>2.4</v>
      </c>
      <c r="K358" s="327">
        <f t="shared" si="68"/>
        <v>4800000</v>
      </c>
      <c r="L358" s="56">
        <f t="shared" si="69"/>
        <v>3456000</v>
      </c>
      <c r="M358" s="56">
        <f t="shared" si="70"/>
        <v>9008199.5736775883</v>
      </c>
      <c r="N358" s="11">
        <f>IF(COUNTIF(InputOutputData!K$20,"Chlorine") = 1,'More accurate Energy (Solar)'!M358,L358+K358+I358)</f>
        <v>9008199.5736775883</v>
      </c>
    </row>
    <row r="359" spans="1:14" ht="14.45">
      <c r="A359" s="24">
        <f>IF(InputOutputData!$E$36=1,'Rainfall Data'!C347,IF(InputOutputData!$E$36=2,'Rainfall Data'!D346,IF(InputOutputData!$E$36=3,'Rainfall Data'!E346,'Rainfall Data'!F346)))</f>
        <v>12.2</v>
      </c>
      <c r="B359" s="24">
        <f t="shared" si="62"/>
        <v>0.84722222222222221</v>
      </c>
      <c r="C359" s="24">
        <f t="shared" si="63"/>
        <v>1.22</v>
      </c>
      <c r="D359" s="24">
        <f t="shared" si="71"/>
        <v>344</v>
      </c>
      <c r="E359" s="24">
        <f t="shared" si="64"/>
        <v>20.47999999999999</v>
      </c>
      <c r="F359" s="24">
        <f t="shared" si="60"/>
        <v>257316.30000000002</v>
      </c>
      <c r="G359" s="24">
        <f t="shared" si="65"/>
        <v>5.2884802269488981E-2</v>
      </c>
      <c r="H359" s="24">
        <f t="shared" si="66"/>
        <v>7764373.2095060656</v>
      </c>
      <c r="I359" s="24">
        <f t="shared" si="67"/>
        <v>8439536.0972892009</v>
      </c>
      <c r="J359" s="24">
        <f t="shared" si="61"/>
        <v>6.1</v>
      </c>
      <c r="K359" s="327">
        <f t="shared" si="68"/>
        <v>12200000</v>
      </c>
      <c r="L359" s="56">
        <f t="shared" si="69"/>
        <v>3456000</v>
      </c>
      <c r="M359" s="56">
        <f t="shared" si="70"/>
        <v>11895536.097289201</v>
      </c>
      <c r="N359" s="11">
        <f>IF(COUNTIF(InputOutputData!K$20,"Chlorine") = 1,'More accurate Energy (Solar)'!M359,L359+K359+I359)</f>
        <v>11895536.097289201</v>
      </c>
    </row>
    <row r="360" spans="1:14" ht="14.45">
      <c r="A360" s="24">
        <f>IF(InputOutputData!$E$36=1,'Rainfall Data'!C348,IF(InputOutputData!$E$36=2,'Rainfall Data'!D347,IF(InputOutputData!$E$36=3,'Rainfall Data'!E347,'Rainfall Data'!F347)))</f>
        <v>3.4</v>
      </c>
      <c r="B360" s="24">
        <f t="shared" si="62"/>
        <v>0.2361111111111111</v>
      </c>
      <c r="C360" s="24">
        <f t="shared" si="63"/>
        <v>0.33999999999999997</v>
      </c>
      <c r="D360" s="24">
        <f t="shared" si="71"/>
        <v>345</v>
      </c>
      <c r="E360" s="24">
        <f t="shared" si="64"/>
        <v>20.387999999999991</v>
      </c>
      <c r="F360" s="24">
        <f t="shared" si="60"/>
        <v>71711.099999999991</v>
      </c>
      <c r="G360" s="24">
        <f t="shared" si="65"/>
        <v>2.6158415362698681E-2</v>
      </c>
      <c r="H360" s="24">
        <f t="shared" si="66"/>
        <v>4374666.4164196495</v>
      </c>
      <c r="I360" s="24">
        <f t="shared" si="67"/>
        <v>4755072.1917604888</v>
      </c>
      <c r="J360" s="24">
        <f t="shared" si="61"/>
        <v>1.6999999999999997</v>
      </c>
      <c r="K360" s="327">
        <f t="shared" si="68"/>
        <v>3399999.9999999995</v>
      </c>
      <c r="L360" s="56">
        <f t="shared" si="69"/>
        <v>3456000</v>
      </c>
      <c r="M360" s="56">
        <f t="shared" si="70"/>
        <v>8211072.1917604888</v>
      </c>
      <c r="N360" s="11">
        <f>IF(COUNTIF(InputOutputData!K$20,"Chlorine") = 1,'More accurate Energy (Solar)'!M360,L360+K360+I360)</f>
        <v>8211072.1917604888</v>
      </c>
    </row>
    <row r="361" spans="1:14" ht="14.45">
      <c r="A361" s="24">
        <f>IF(InputOutputData!$E$36=1,'Rainfall Data'!C349,IF(InputOutputData!$E$36=2,'Rainfall Data'!D348,IF(InputOutputData!$E$36=3,'Rainfall Data'!E348,'Rainfall Data'!F348)))</f>
        <v>23.8</v>
      </c>
      <c r="B361" s="24">
        <f t="shared" si="62"/>
        <v>1.0416666666666667</v>
      </c>
      <c r="C361" s="24">
        <f t="shared" si="63"/>
        <v>1.5</v>
      </c>
      <c r="D361" s="24">
        <f t="shared" si="71"/>
        <v>346</v>
      </c>
      <c r="E361" s="24">
        <f t="shared" si="64"/>
        <v>21.455999999999992</v>
      </c>
      <c r="F361" s="24">
        <f t="shared" si="60"/>
        <v>316372.5</v>
      </c>
      <c r="G361" s="24">
        <f t="shared" si="65"/>
        <v>5.9272522795741148E-2</v>
      </c>
      <c r="H361" s="24">
        <f t="shared" si="66"/>
        <v>8517561.9968154822</v>
      </c>
      <c r="I361" s="24">
        <f t="shared" si="67"/>
        <v>9258219.5617559589</v>
      </c>
      <c r="J361" s="24">
        <f t="shared" si="61"/>
        <v>7.5</v>
      </c>
      <c r="K361" s="327">
        <f t="shared" si="68"/>
        <v>15000000</v>
      </c>
      <c r="L361" s="56">
        <f t="shared" si="69"/>
        <v>3456000</v>
      </c>
      <c r="M361" s="56">
        <f t="shared" si="70"/>
        <v>12714219.561755959</v>
      </c>
      <c r="N361" s="11">
        <f>IF(COUNTIF(InputOutputData!K$20,"Chlorine") = 1,'More accurate Energy (Solar)'!M361,L361+K361+I361)</f>
        <v>12714219.561755959</v>
      </c>
    </row>
    <row r="362" spans="1:14" ht="14.45">
      <c r="A362" s="24">
        <f>IF(InputOutputData!$E$36=1,'Rainfall Data'!C350,IF(InputOutputData!$E$36=2,'Rainfall Data'!D349,IF(InputOutputData!$E$36=3,'Rainfall Data'!E349,'Rainfall Data'!F349)))</f>
        <v>0</v>
      </c>
      <c r="B362" s="24">
        <f t="shared" si="62"/>
        <v>0</v>
      </c>
      <c r="C362" s="24">
        <f t="shared" si="63"/>
        <v>0</v>
      </c>
      <c r="D362" s="24">
        <f t="shared" si="71"/>
        <v>347</v>
      </c>
      <c r="E362" s="24">
        <f t="shared" si="64"/>
        <v>21.023999999999994</v>
      </c>
      <c r="F362" s="24">
        <f t="shared" si="60"/>
        <v>0</v>
      </c>
      <c r="G362" s="24">
        <f t="shared" si="65"/>
        <v>0</v>
      </c>
      <c r="H362" s="24">
        <f t="shared" si="66"/>
        <v>0</v>
      </c>
      <c r="I362" s="24">
        <f t="shared" si="67"/>
        <v>0</v>
      </c>
      <c r="J362" s="24">
        <f t="shared" si="61"/>
        <v>0</v>
      </c>
      <c r="K362" s="327">
        <f t="shared" si="68"/>
        <v>0</v>
      </c>
      <c r="L362" s="56">
        <f t="shared" si="69"/>
        <v>3456000</v>
      </c>
      <c r="M362" s="56">
        <f t="shared" si="70"/>
        <v>3456000</v>
      </c>
      <c r="N362" s="11">
        <f>IF(COUNTIF(InputOutputData!K$20,"Chlorine") = 1,'More accurate Energy (Solar)'!M362,L362+K362+I362)</f>
        <v>3456000</v>
      </c>
    </row>
    <row r="363" spans="1:14" ht="14.45">
      <c r="A363" s="24">
        <f>IF(InputOutputData!$E$36=1,'Rainfall Data'!C351,IF(InputOutputData!$E$36=2,'Rainfall Data'!D350,IF(InputOutputData!$E$36=3,'Rainfall Data'!E350,'Rainfall Data'!F350)))</f>
        <v>2.4</v>
      </c>
      <c r="B363" s="24">
        <f t="shared" si="62"/>
        <v>0.16666666666666666</v>
      </c>
      <c r="C363" s="24">
        <f t="shared" si="63"/>
        <v>0.24</v>
      </c>
      <c r="D363" s="24">
        <f t="shared" si="71"/>
        <v>348</v>
      </c>
      <c r="E363" s="24">
        <f t="shared" si="64"/>
        <v>20.831999999999994</v>
      </c>
      <c r="F363" s="24">
        <f t="shared" si="60"/>
        <v>50619.6</v>
      </c>
      <c r="G363" s="24">
        <f t="shared" si="65"/>
        <v>2.1595011316909298E-2</v>
      </c>
      <c r="H363" s="24">
        <f t="shared" si="66"/>
        <v>3740548.2606073665</v>
      </c>
      <c r="I363" s="24">
        <f t="shared" si="67"/>
        <v>4065813.3267471371</v>
      </c>
      <c r="J363" s="24">
        <f t="shared" si="61"/>
        <v>1.2</v>
      </c>
      <c r="K363" s="327">
        <f t="shared" si="68"/>
        <v>2400000</v>
      </c>
      <c r="L363" s="56">
        <f t="shared" si="69"/>
        <v>3456000</v>
      </c>
      <c r="M363" s="56">
        <f t="shared" si="70"/>
        <v>7521813.3267471371</v>
      </c>
      <c r="N363" s="11">
        <f>IF(COUNTIF(InputOutputData!K$20,"Chlorine") = 1,'More accurate Energy (Solar)'!M363,L363+K363+I363)</f>
        <v>7521813.3267471371</v>
      </c>
    </row>
    <row r="364" spans="1:14" ht="14.45">
      <c r="A364" s="24">
        <f>IF(InputOutputData!$E$36=1,'Rainfall Data'!C352,IF(InputOutputData!$E$36=2,'Rainfall Data'!D351,IF(InputOutputData!$E$36=3,'Rainfall Data'!E351,'Rainfall Data'!F351)))</f>
        <v>3</v>
      </c>
      <c r="B364" s="24">
        <f t="shared" si="62"/>
        <v>0.20833333333333334</v>
      </c>
      <c r="C364" s="24">
        <f t="shared" si="63"/>
        <v>0.3</v>
      </c>
      <c r="D364" s="24">
        <f t="shared" si="71"/>
        <v>349</v>
      </c>
      <c r="E364" s="24">
        <f t="shared" si="64"/>
        <v>20.699999999999992</v>
      </c>
      <c r="F364" s="24">
        <f t="shared" si="60"/>
        <v>63274.5</v>
      </c>
      <c r="G364" s="24">
        <f t="shared" si="65"/>
        <v>2.4416893397727592E-2</v>
      </c>
      <c r="H364" s="24">
        <f t="shared" si="66"/>
        <v>4135312.2151679611</v>
      </c>
      <c r="I364" s="24">
        <f t="shared" si="67"/>
        <v>4494904.5817043055</v>
      </c>
      <c r="J364" s="24">
        <f t="shared" si="61"/>
        <v>1.5</v>
      </c>
      <c r="K364" s="327">
        <f t="shared" si="68"/>
        <v>3000000</v>
      </c>
      <c r="L364" s="56">
        <f t="shared" si="69"/>
        <v>3456000</v>
      </c>
      <c r="M364" s="56">
        <f t="shared" si="70"/>
        <v>7950904.5817043055</v>
      </c>
      <c r="N364" s="11">
        <f>IF(COUNTIF(InputOutputData!K$20,"Chlorine") = 1,'More accurate Energy (Solar)'!M364,L364+K364+I364)</f>
        <v>7950904.5817043055</v>
      </c>
    </row>
    <row r="365" spans="1:14" ht="14.45">
      <c r="A365" s="24">
        <f>IF(InputOutputData!$E$36=1,'Rainfall Data'!C353,IF(InputOutputData!$E$36=2,'Rainfall Data'!D352,IF(InputOutputData!$E$36=3,'Rainfall Data'!E352,'Rainfall Data'!F352)))</f>
        <v>2.2000000000000002</v>
      </c>
      <c r="B365" s="24">
        <f t="shared" si="62"/>
        <v>0.15277777777777779</v>
      </c>
      <c r="C365" s="24">
        <f t="shared" si="63"/>
        <v>0.22</v>
      </c>
      <c r="D365" s="24">
        <f t="shared" si="71"/>
        <v>350</v>
      </c>
      <c r="E365" s="24">
        <f t="shared" si="64"/>
        <v>20.487999999999992</v>
      </c>
      <c r="F365" s="24">
        <f t="shared" si="60"/>
        <v>46401.3</v>
      </c>
      <c r="G365" s="24">
        <f t="shared" si="65"/>
        <v>2.0585317661094952E-2</v>
      </c>
      <c r="H365" s="24">
        <f t="shared" si="66"/>
        <v>3597017.6124250526</v>
      </c>
      <c r="I365" s="24">
        <f t="shared" si="67"/>
        <v>3909801.7526359265</v>
      </c>
      <c r="J365" s="24">
        <f t="shared" si="61"/>
        <v>1.1000000000000001</v>
      </c>
      <c r="K365" s="327">
        <f t="shared" si="68"/>
        <v>2200000</v>
      </c>
      <c r="L365" s="56">
        <f t="shared" si="69"/>
        <v>3456000</v>
      </c>
      <c r="M365" s="56">
        <f t="shared" si="70"/>
        <v>7365801.752635926</v>
      </c>
      <c r="N365" s="11">
        <f>IF(COUNTIF(InputOutputData!K$20,"Chlorine") = 1,'More accurate Energy (Solar)'!M365,L365+K365+I365)</f>
        <v>7365801.752635926</v>
      </c>
    </row>
    <row r="366" spans="1:14" ht="14.45">
      <c r="A366" s="24">
        <f>IF(InputOutputData!$E$36=1,'Rainfall Data'!C354,IF(InputOutputData!$E$36=2,'Rainfall Data'!D353,IF(InputOutputData!$E$36=3,'Rainfall Data'!E353,'Rainfall Data'!F353)))</f>
        <v>21.8</v>
      </c>
      <c r="B366" s="24">
        <f t="shared" si="62"/>
        <v>1.0416666666666667</v>
      </c>
      <c r="C366" s="24">
        <f t="shared" si="63"/>
        <v>1.5</v>
      </c>
      <c r="D366" s="24">
        <f t="shared" si="71"/>
        <v>351</v>
      </c>
      <c r="E366" s="24">
        <f t="shared" si="64"/>
        <v>21.555999999999994</v>
      </c>
      <c r="F366" s="24">
        <f t="shared" si="60"/>
        <v>316372.5</v>
      </c>
      <c r="G366" s="24">
        <f t="shared" si="65"/>
        <v>5.9272522795741148E-2</v>
      </c>
      <c r="H366" s="24">
        <f t="shared" si="66"/>
        <v>8517561.9968154822</v>
      </c>
      <c r="I366" s="24">
        <f t="shared" si="67"/>
        <v>9258219.5617559589</v>
      </c>
      <c r="J366" s="24">
        <f t="shared" si="61"/>
        <v>7.5</v>
      </c>
      <c r="K366" s="327">
        <f t="shared" si="68"/>
        <v>15000000</v>
      </c>
      <c r="L366" s="56">
        <f t="shared" si="69"/>
        <v>3456000</v>
      </c>
      <c r="M366" s="56">
        <f t="shared" si="70"/>
        <v>12714219.561755959</v>
      </c>
      <c r="N366" s="11">
        <f>IF(COUNTIF(InputOutputData!K$20,"Chlorine") = 1,'More accurate Energy (Solar)'!M366,L366+K366+I366)</f>
        <v>12714219.561755959</v>
      </c>
    </row>
    <row r="367" spans="1:14" ht="14.45">
      <c r="A367" s="24">
        <f>IF(InputOutputData!$E$36=1,'Rainfall Data'!C355,IF(InputOutputData!$E$36=2,'Rainfall Data'!D354,IF(InputOutputData!$E$36=3,'Rainfall Data'!E354,'Rainfall Data'!F354)))</f>
        <v>25.5</v>
      </c>
      <c r="B367" s="24">
        <f t="shared" si="62"/>
        <v>1.0416666666666667</v>
      </c>
      <c r="C367" s="24">
        <f t="shared" si="63"/>
        <v>1.5</v>
      </c>
      <c r="D367" s="24">
        <f t="shared" si="71"/>
        <v>352</v>
      </c>
      <c r="E367" s="24">
        <f t="shared" si="64"/>
        <v>22.623999999999995</v>
      </c>
      <c r="F367" s="24">
        <f t="shared" si="60"/>
        <v>316372.5</v>
      </c>
      <c r="G367" s="24">
        <f t="shared" si="65"/>
        <v>5.9272522795741148E-2</v>
      </c>
      <c r="H367" s="24">
        <f t="shared" si="66"/>
        <v>8517561.9968154822</v>
      </c>
      <c r="I367" s="24">
        <f t="shared" si="67"/>
        <v>9258219.5617559589</v>
      </c>
      <c r="J367" s="24">
        <f t="shared" si="61"/>
        <v>7.5</v>
      </c>
      <c r="K367" s="327">
        <f t="shared" si="68"/>
        <v>15000000</v>
      </c>
      <c r="L367" s="56">
        <f t="shared" si="69"/>
        <v>3456000</v>
      </c>
      <c r="M367" s="56">
        <f t="shared" si="70"/>
        <v>12714219.561755959</v>
      </c>
      <c r="N367" s="11">
        <f>IF(COUNTIF(InputOutputData!K$20,"Chlorine") = 1,'More accurate Energy (Solar)'!M367,L367+K367+I367)</f>
        <v>12714219.561755959</v>
      </c>
    </row>
    <row r="368" spans="1:14" ht="14.45">
      <c r="A368" s="24">
        <f>IF(InputOutputData!$E$36=1,'Rainfall Data'!C356,IF(InputOutputData!$E$36=2,'Rainfall Data'!D355,IF(InputOutputData!$E$36=3,'Rainfall Data'!E355,'Rainfall Data'!F355)))</f>
        <v>31.8</v>
      </c>
      <c r="B368" s="24">
        <f t="shared" si="62"/>
        <v>1.0416666666666667</v>
      </c>
      <c r="C368" s="24">
        <f t="shared" si="63"/>
        <v>1.5</v>
      </c>
      <c r="D368" s="24">
        <f t="shared" si="71"/>
        <v>353</v>
      </c>
      <c r="E368" s="24">
        <f t="shared" si="64"/>
        <v>23.691999999999997</v>
      </c>
      <c r="F368" s="24">
        <f t="shared" si="60"/>
        <v>316372.5</v>
      </c>
      <c r="G368" s="24">
        <f t="shared" si="65"/>
        <v>5.9272522795741148E-2</v>
      </c>
      <c r="H368" s="24">
        <f t="shared" si="66"/>
        <v>8517561.9968154822</v>
      </c>
      <c r="I368" s="24">
        <f t="shared" si="67"/>
        <v>9258219.5617559589</v>
      </c>
      <c r="J368" s="24">
        <f t="shared" si="61"/>
        <v>7.5</v>
      </c>
      <c r="K368" s="327">
        <f t="shared" si="68"/>
        <v>15000000</v>
      </c>
      <c r="L368" s="56">
        <f t="shared" si="69"/>
        <v>3456000</v>
      </c>
      <c r="M368" s="56">
        <f t="shared" si="70"/>
        <v>12714219.561755959</v>
      </c>
      <c r="N368" s="11">
        <f>IF(COUNTIF(InputOutputData!K$20,"Chlorine") = 1,'More accurate Energy (Solar)'!M368,L368+K368+I368)</f>
        <v>12714219.561755959</v>
      </c>
    </row>
    <row r="369" spans="1:14" ht="14.45">
      <c r="A369" s="24">
        <f>IF(InputOutputData!$E$36=1,'Rainfall Data'!C357,IF(InputOutputData!$E$36=2,'Rainfall Data'!D356,IF(InputOutputData!$E$36=3,'Rainfall Data'!E356,'Rainfall Data'!F356)))</f>
        <v>22.6</v>
      </c>
      <c r="B369" s="24">
        <f t="shared" si="62"/>
        <v>1.0416666666666667</v>
      </c>
      <c r="C369" s="24">
        <f t="shared" si="63"/>
        <v>1.5</v>
      </c>
      <c r="D369" s="24">
        <f t="shared" si="71"/>
        <v>354</v>
      </c>
      <c r="E369" s="24">
        <f t="shared" si="64"/>
        <v>24.759999999999998</v>
      </c>
      <c r="F369" s="24">
        <f t="shared" si="60"/>
        <v>316372.5</v>
      </c>
      <c r="G369" s="24">
        <f t="shared" si="65"/>
        <v>5.9272522795741148E-2</v>
      </c>
      <c r="H369" s="24">
        <f t="shared" si="66"/>
        <v>8517561.9968154822</v>
      </c>
      <c r="I369" s="24">
        <f t="shared" si="67"/>
        <v>9258219.5617559589</v>
      </c>
      <c r="J369" s="24">
        <f t="shared" si="61"/>
        <v>7.5</v>
      </c>
      <c r="K369" s="327">
        <f t="shared" si="68"/>
        <v>15000000</v>
      </c>
      <c r="L369" s="56">
        <f t="shared" si="69"/>
        <v>3456000</v>
      </c>
      <c r="M369" s="56">
        <f t="shared" si="70"/>
        <v>12714219.561755959</v>
      </c>
      <c r="N369" s="11">
        <f>IF(COUNTIF(InputOutputData!K$20,"Chlorine") = 1,'More accurate Energy (Solar)'!M369,L369+K369+I369)</f>
        <v>12714219.561755959</v>
      </c>
    </row>
    <row r="370" spans="1:14" ht="14.45">
      <c r="A370" s="24">
        <f>IF(InputOutputData!$E$36=1,'Rainfall Data'!C358,IF(InputOutputData!$E$36=2,'Rainfall Data'!D357,IF(InputOutputData!$E$36=3,'Rainfall Data'!E357,'Rainfall Data'!F357)))</f>
        <v>9</v>
      </c>
      <c r="B370" s="24">
        <f t="shared" si="62"/>
        <v>0.62499999999999989</v>
      </c>
      <c r="C370" s="24">
        <f t="shared" si="63"/>
        <v>0.89999999999999991</v>
      </c>
      <c r="D370" s="24">
        <f t="shared" si="71"/>
        <v>355</v>
      </c>
      <c r="E370" s="24">
        <f t="shared" si="64"/>
        <v>25.227999999999998</v>
      </c>
      <c r="F370" s="24">
        <f t="shared" si="60"/>
        <v>189823.5</v>
      </c>
      <c r="G370" s="24">
        <f t="shared" si="65"/>
        <v>4.471691233294018E-2</v>
      </c>
      <c r="H370" s="24">
        <f t="shared" si="66"/>
        <v>6774046.2560759634</v>
      </c>
      <c r="I370" s="24">
        <f t="shared" si="67"/>
        <v>7363093.7566043073</v>
      </c>
      <c r="J370" s="24">
        <f t="shared" si="61"/>
        <v>4.5</v>
      </c>
      <c r="K370" s="327">
        <f t="shared" si="68"/>
        <v>9000000</v>
      </c>
      <c r="L370" s="56">
        <f t="shared" si="69"/>
        <v>3456000</v>
      </c>
      <c r="M370" s="56">
        <f t="shared" si="70"/>
        <v>10819093.756604306</v>
      </c>
      <c r="N370" s="11">
        <f>IF(COUNTIF(InputOutputData!K$20,"Chlorine") = 1,'More accurate Energy (Solar)'!M370,L370+K370+I370)</f>
        <v>10819093.756604306</v>
      </c>
    </row>
    <row r="371" spans="1:14" ht="14.45">
      <c r="A371" s="24">
        <f>IF(InputOutputData!$E$36=1,'Rainfall Data'!C359,IF(InputOutputData!$E$36=2,'Rainfall Data'!D358,IF(InputOutputData!$E$36=3,'Rainfall Data'!E358,'Rainfall Data'!F358)))</f>
        <v>35.799999999999997</v>
      </c>
      <c r="B371" s="24">
        <f t="shared" si="62"/>
        <v>1.0416666666666667</v>
      </c>
      <c r="C371" s="24">
        <f t="shared" si="63"/>
        <v>1.5</v>
      </c>
      <c r="D371" s="24">
        <f t="shared" si="71"/>
        <v>356</v>
      </c>
      <c r="E371" s="24">
        <f t="shared" si="64"/>
        <v>26.295999999999999</v>
      </c>
      <c r="F371" s="24">
        <f t="shared" si="60"/>
        <v>316372.5</v>
      </c>
      <c r="G371" s="24">
        <f t="shared" si="65"/>
        <v>5.9272522795741148E-2</v>
      </c>
      <c r="H371" s="24">
        <f t="shared" si="66"/>
        <v>8517561.9968154822</v>
      </c>
      <c r="I371" s="24">
        <f t="shared" si="67"/>
        <v>9258219.5617559589</v>
      </c>
      <c r="J371" s="24">
        <f t="shared" si="61"/>
        <v>7.5</v>
      </c>
      <c r="K371" s="327">
        <f t="shared" si="68"/>
        <v>15000000</v>
      </c>
      <c r="L371" s="56">
        <f t="shared" si="69"/>
        <v>3456000</v>
      </c>
      <c r="M371" s="56">
        <f t="shared" si="70"/>
        <v>12714219.561755959</v>
      </c>
      <c r="N371" s="11">
        <f>IF(COUNTIF(InputOutputData!K$20,"Chlorine") = 1,'More accurate Energy (Solar)'!M371,L371+K371+I371)</f>
        <v>12714219.561755959</v>
      </c>
    </row>
    <row r="372" spans="1:14" ht="14.45">
      <c r="A372" s="24">
        <f>IF(InputOutputData!$E$36=1,'Rainfall Data'!C360,IF(InputOutputData!$E$36=2,'Rainfall Data'!D359,IF(InputOutputData!$E$36=3,'Rainfall Data'!E359,'Rainfall Data'!F359)))</f>
        <v>9.4</v>
      </c>
      <c r="B372" s="24">
        <f t="shared" si="62"/>
        <v>0.65277777777777779</v>
      </c>
      <c r="C372" s="24">
        <f t="shared" si="63"/>
        <v>0.94000000000000006</v>
      </c>
      <c r="D372" s="24">
        <f t="shared" si="71"/>
        <v>357</v>
      </c>
      <c r="E372" s="24">
        <f t="shared" si="64"/>
        <v>26.803999999999998</v>
      </c>
      <c r="F372" s="24">
        <f t="shared" si="60"/>
        <v>198260.10000000003</v>
      </c>
      <c r="G372" s="24">
        <f t="shared" si="65"/>
        <v>4.5801854757713215E-2</v>
      </c>
      <c r="H372" s="24">
        <f t="shared" si="66"/>
        <v>6907521.4948326582</v>
      </c>
      <c r="I372" s="24">
        <f t="shared" si="67"/>
        <v>7508175.5378615847</v>
      </c>
      <c r="J372" s="24">
        <f t="shared" si="61"/>
        <v>4.7</v>
      </c>
      <c r="K372" s="327">
        <f t="shared" si="68"/>
        <v>9400000</v>
      </c>
      <c r="L372" s="56">
        <f t="shared" si="69"/>
        <v>3456000</v>
      </c>
      <c r="M372" s="56">
        <f t="shared" si="70"/>
        <v>10964175.537861586</v>
      </c>
      <c r="N372" s="11">
        <f>IF(COUNTIF(InputOutputData!K$20,"Chlorine") = 1,'More accurate Energy (Solar)'!M372,L372+K372+I372)</f>
        <v>10964175.537861586</v>
      </c>
    </row>
    <row r="373" spans="1:14" ht="14.45">
      <c r="A373" s="24">
        <f>IF(InputOutputData!$E$36=1,'Rainfall Data'!C361,IF(InputOutputData!$E$36=2,'Rainfall Data'!D360,IF(InputOutputData!$E$36=3,'Rainfall Data'!E360,'Rainfall Data'!F360)))</f>
        <v>0</v>
      </c>
      <c r="B373" s="24">
        <f t="shared" si="62"/>
        <v>0</v>
      </c>
      <c r="C373" s="24">
        <f t="shared" si="63"/>
        <v>0</v>
      </c>
      <c r="D373" s="24">
        <f t="shared" si="71"/>
        <v>358</v>
      </c>
      <c r="E373" s="24">
        <f t="shared" si="64"/>
        <v>26.372</v>
      </c>
      <c r="F373" s="24">
        <f t="shared" si="60"/>
        <v>0</v>
      </c>
      <c r="G373" s="24">
        <f t="shared" si="65"/>
        <v>0</v>
      </c>
      <c r="H373" s="24">
        <f t="shared" si="66"/>
        <v>0</v>
      </c>
      <c r="I373" s="24">
        <f t="shared" si="67"/>
        <v>0</v>
      </c>
      <c r="J373" s="24">
        <f t="shared" si="61"/>
        <v>0</v>
      </c>
      <c r="K373" s="327">
        <f t="shared" si="68"/>
        <v>0</v>
      </c>
      <c r="L373" s="56">
        <f t="shared" si="69"/>
        <v>3456000</v>
      </c>
      <c r="M373" s="56">
        <f t="shared" si="70"/>
        <v>3456000</v>
      </c>
      <c r="N373" s="11">
        <f>IF(COUNTIF(InputOutputData!K$20,"Chlorine") = 1,'More accurate Energy (Solar)'!M373,L373+K373+I373)</f>
        <v>3456000</v>
      </c>
    </row>
    <row r="374" spans="1:14" ht="14.45">
      <c r="A374" s="24">
        <f>IF(InputOutputData!$E$36=1,'Rainfall Data'!C362,IF(InputOutputData!$E$36=2,'Rainfall Data'!D361,IF(InputOutputData!$E$36=3,'Rainfall Data'!E361,'Rainfall Data'!F361)))</f>
        <v>0</v>
      </c>
      <c r="B374" s="24">
        <f t="shared" si="62"/>
        <v>0</v>
      </c>
      <c r="C374" s="24">
        <f t="shared" si="63"/>
        <v>0</v>
      </c>
      <c r="D374" s="24">
        <f t="shared" si="71"/>
        <v>359</v>
      </c>
      <c r="E374" s="24">
        <f t="shared" si="64"/>
        <v>25.94</v>
      </c>
      <c r="F374" s="24">
        <f t="shared" si="60"/>
        <v>0</v>
      </c>
      <c r="G374" s="24">
        <f t="shared" si="65"/>
        <v>0</v>
      </c>
      <c r="H374" s="24">
        <f t="shared" si="66"/>
        <v>0</v>
      </c>
      <c r="I374" s="24">
        <f t="shared" si="67"/>
        <v>0</v>
      </c>
      <c r="J374" s="24">
        <f t="shared" si="61"/>
        <v>0</v>
      </c>
      <c r="K374" s="327">
        <f t="shared" si="68"/>
        <v>0</v>
      </c>
      <c r="L374" s="56">
        <f t="shared" si="69"/>
        <v>3456000</v>
      </c>
      <c r="M374" s="56">
        <f t="shared" si="70"/>
        <v>3456000</v>
      </c>
      <c r="N374" s="11">
        <f>IF(COUNTIF(InputOutputData!K$20,"Chlorine") = 1,'More accurate Energy (Solar)'!M374,L374+K374+I374)</f>
        <v>3456000</v>
      </c>
    </row>
    <row r="375" spans="1:14" ht="14.45">
      <c r="A375" s="24">
        <f>IF(InputOutputData!$E$36=1,'Rainfall Data'!C363,IF(InputOutputData!$E$36=2,'Rainfall Data'!D362,IF(InputOutputData!$E$36=3,'Rainfall Data'!E362,'Rainfall Data'!F362)))</f>
        <v>26.2</v>
      </c>
      <c r="B375" s="24">
        <f t="shared" si="62"/>
        <v>1.0416666666666667</v>
      </c>
      <c r="C375" s="24">
        <f t="shared" si="63"/>
        <v>1.5</v>
      </c>
      <c r="D375" s="24">
        <f t="shared" si="71"/>
        <v>360</v>
      </c>
      <c r="E375" s="24">
        <f t="shared" si="64"/>
        <v>27.008000000000003</v>
      </c>
      <c r="F375" s="24">
        <f t="shared" si="60"/>
        <v>316372.5</v>
      </c>
      <c r="G375" s="24">
        <f t="shared" si="65"/>
        <v>5.9272522795741148E-2</v>
      </c>
      <c r="H375" s="24">
        <f t="shared" si="66"/>
        <v>8517561.9968154822</v>
      </c>
      <c r="I375" s="24">
        <f t="shared" si="67"/>
        <v>9258219.5617559589</v>
      </c>
      <c r="J375" s="24">
        <f t="shared" si="61"/>
        <v>7.5</v>
      </c>
      <c r="K375" s="327">
        <f t="shared" si="68"/>
        <v>15000000</v>
      </c>
      <c r="L375" s="56">
        <f t="shared" si="69"/>
        <v>3456000</v>
      </c>
      <c r="M375" s="56">
        <f t="shared" si="70"/>
        <v>12714219.561755959</v>
      </c>
      <c r="N375" s="11">
        <f>IF(COUNTIF(InputOutputData!K$20,"Chlorine") = 1,'More accurate Energy (Solar)'!M375,L375+K375+I375)</f>
        <v>12714219.561755959</v>
      </c>
    </row>
    <row r="376" spans="1:14" ht="14.45">
      <c r="A376" s="24">
        <f>IF(InputOutputData!$E$36=1,'Rainfall Data'!C364,IF(InputOutputData!$E$36=2,'Rainfall Data'!D363,IF(InputOutputData!$E$36=3,'Rainfall Data'!E363,'Rainfall Data'!F363)))</f>
        <v>1.6</v>
      </c>
      <c r="B376" s="24">
        <f t="shared" si="62"/>
        <v>0.1111111111111111</v>
      </c>
      <c r="C376" s="24">
        <f t="shared" si="63"/>
        <v>0.16</v>
      </c>
      <c r="D376" s="24">
        <f t="shared" si="71"/>
        <v>361</v>
      </c>
      <c r="E376" s="24">
        <f t="shared" si="64"/>
        <v>26.736000000000004</v>
      </c>
      <c r="F376" s="24">
        <f t="shared" si="60"/>
        <v>33746.400000000001</v>
      </c>
      <c r="G376" s="24">
        <f t="shared" si="65"/>
        <v>1.7276454762570417E-2</v>
      </c>
      <c r="H376" s="24">
        <f t="shared" si="66"/>
        <v>3117043.1329567269</v>
      </c>
      <c r="I376" s="24">
        <f t="shared" si="67"/>
        <v>3388090.3619094859</v>
      </c>
      <c r="J376" s="24">
        <f t="shared" si="61"/>
        <v>0.8</v>
      </c>
      <c r="K376" s="327">
        <f t="shared" si="68"/>
        <v>1600000</v>
      </c>
      <c r="L376" s="56">
        <f t="shared" si="69"/>
        <v>3456000</v>
      </c>
      <c r="M376" s="56">
        <f t="shared" si="70"/>
        <v>6844090.3619094864</v>
      </c>
      <c r="N376" s="11">
        <f>IF(COUNTIF(InputOutputData!K$20,"Chlorine") = 1,'More accurate Energy (Solar)'!M376,L376+K376+I376)</f>
        <v>6844090.3619094864</v>
      </c>
    </row>
    <row r="377" spans="1:14" ht="14.45">
      <c r="A377" s="24">
        <f>IF(InputOutputData!$E$36=1,'Rainfall Data'!C365,IF(InputOutputData!$E$36=2,'Rainfall Data'!D364,IF(InputOutputData!$E$36=3,'Rainfall Data'!E364,'Rainfall Data'!F364)))</f>
        <v>0.2</v>
      </c>
      <c r="B377" s="24">
        <f t="shared" si="62"/>
        <v>1.3888888888888888E-2</v>
      </c>
      <c r="C377" s="24">
        <f t="shared" si="63"/>
        <v>0.02</v>
      </c>
      <c r="D377" s="24">
        <f t="shared" si="71"/>
        <v>362</v>
      </c>
      <c r="E377" s="24">
        <f t="shared" si="64"/>
        <v>26.324000000000005</v>
      </c>
      <c r="F377" s="24">
        <f t="shared" si="60"/>
        <v>4218.3</v>
      </c>
      <c r="G377" s="24">
        <f t="shared" si="65"/>
        <v>5.5038940280191058E-3</v>
      </c>
      <c r="H377" s="24">
        <f t="shared" si="66"/>
        <v>1223030.785235004</v>
      </c>
      <c r="I377" s="24">
        <f t="shared" si="67"/>
        <v>1329381.2882989175</v>
      </c>
      <c r="J377" s="24">
        <f t="shared" si="61"/>
        <v>0.1</v>
      </c>
      <c r="K377" s="327">
        <f t="shared" si="68"/>
        <v>200000</v>
      </c>
      <c r="L377" s="56">
        <f t="shared" si="69"/>
        <v>3456000</v>
      </c>
      <c r="M377" s="56">
        <f t="shared" si="70"/>
        <v>4785381.2882989179</v>
      </c>
      <c r="N377" s="11">
        <f>IF(COUNTIF(InputOutputData!K$20,"Chlorine") = 1,'More accurate Energy (Solar)'!M377,L377+K377+I377)</f>
        <v>4785381.2882989179</v>
      </c>
    </row>
    <row r="378" spans="1:14" ht="14.45">
      <c r="A378" s="24">
        <f>IF(InputOutputData!$E$36=1,'Rainfall Data'!C366,IF(InputOutputData!$E$36=2,'Rainfall Data'!D365,IF(InputOutputData!$E$36=3,'Rainfall Data'!E365,'Rainfall Data'!F365)))</f>
        <v>0</v>
      </c>
      <c r="B378" s="24">
        <f t="shared" si="62"/>
        <v>0</v>
      </c>
      <c r="C378" s="24">
        <f t="shared" si="63"/>
        <v>0</v>
      </c>
      <c r="D378" s="24">
        <f t="shared" si="71"/>
        <v>363</v>
      </c>
      <c r="E378" s="24">
        <f t="shared" si="64"/>
        <v>25.892000000000007</v>
      </c>
      <c r="F378" s="24">
        <f t="shared" si="60"/>
        <v>0</v>
      </c>
      <c r="G378" s="24">
        <f t="shared" si="65"/>
        <v>0</v>
      </c>
      <c r="H378" s="24">
        <f t="shared" si="66"/>
        <v>0</v>
      </c>
      <c r="I378" s="24">
        <f t="shared" si="67"/>
        <v>0</v>
      </c>
      <c r="J378" s="24">
        <f t="shared" si="61"/>
        <v>0</v>
      </c>
      <c r="K378" s="327">
        <f t="shared" si="68"/>
        <v>0</v>
      </c>
      <c r="L378" s="56">
        <f t="shared" si="69"/>
        <v>3456000</v>
      </c>
      <c r="M378" s="56">
        <f t="shared" si="70"/>
        <v>3456000</v>
      </c>
      <c r="N378" s="11">
        <f>IF(COUNTIF(InputOutputData!K$20,"Chlorine") = 1,'More accurate Energy (Solar)'!M378,L378+K378+I378)</f>
        <v>3456000</v>
      </c>
    </row>
    <row r="379" spans="1:14" ht="14.45">
      <c r="A379" s="24">
        <f>IF(InputOutputData!$E$36=1,'Rainfall Data'!C367,IF(InputOutputData!$E$36=2,'Rainfall Data'!D366,IF(InputOutputData!$E$36=3,'Rainfall Data'!E366,'Rainfall Data'!F366)))</f>
        <v>0</v>
      </c>
      <c r="B379" s="24">
        <f t="shared" si="62"/>
        <v>0</v>
      </c>
      <c r="C379" s="24">
        <f t="shared" si="63"/>
        <v>0</v>
      </c>
      <c r="D379" s="24">
        <f t="shared" si="71"/>
        <v>364</v>
      </c>
      <c r="E379" s="24">
        <f t="shared" si="64"/>
        <v>25.460000000000008</v>
      </c>
      <c r="F379" s="24">
        <f t="shared" si="60"/>
        <v>0</v>
      </c>
      <c r="G379" s="24">
        <f t="shared" si="65"/>
        <v>0</v>
      </c>
      <c r="H379" s="24">
        <f t="shared" si="66"/>
        <v>0</v>
      </c>
      <c r="I379" s="24">
        <f t="shared" si="67"/>
        <v>0</v>
      </c>
      <c r="J379" s="24">
        <f t="shared" si="61"/>
        <v>0</v>
      </c>
      <c r="K379" s="327">
        <f t="shared" si="68"/>
        <v>0</v>
      </c>
      <c r="L379" s="56">
        <f t="shared" si="69"/>
        <v>3456000</v>
      </c>
      <c r="M379" s="56">
        <f t="shared" si="70"/>
        <v>3456000</v>
      </c>
      <c r="N379" s="11">
        <f>IF(COUNTIF(InputOutputData!K$20,"Chlorine") = 1,'More accurate Energy (Solar)'!M379,L379+K379+I379)</f>
        <v>3456000</v>
      </c>
    </row>
    <row r="380" spans="1:14" ht="14.45">
      <c r="A380" s="24">
        <f>IF(InputOutputData!$E$36=1,'Rainfall Data'!C368,IF(InputOutputData!$E$36=2,'Rainfall Data'!D367,IF(InputOutputData!$E$36=3,'Rainfall Data'!E367,'Rainfall Data'!F367)))</f>
        <v>0</v>
      </c>
      <c r="B380" s="24">
        <f t="shared" si="62"/>
        <v>0</v>
      </c>
      <c r="C380" s="24">
        <f t="shared" si="63"/>
        <v>0</v>
      </c>
      <c r="D380" s="24">
        <f t="shared" si="71"/>
        <v>365</v>
      </c>
      <c r="E380" s="24">
        <f t="shared" si="64"/>
        <v>25.028000000000009</v>
      </c>
      <c r="F380" s="24">
        <f t="shared" si="60"/>
        <v>0</v>
      </c>
      <c r="G380" s="24">
        <f t="shared" si="65"/>
        <v>0</v>
      </c>
      <c r="H380" s="24">
        <f t="shared" si="66"/>
        <v>0</v>
      </c>
      <c r="I380" s="24">
        <f t="shared" si="67"/>
        <v>0</v>
      </c>
      <c r="J380" s="24">
        <f t="shared" si="61"/>
        <v>0</v>
      </c>
      <c r="K380" s="327">
        <f t="shared" si="68"/>
        <v>0</v>
      </c>
      <c r="L380" s="56">
        <f t="shared" si="69"/>
        <v>3456000</v>
      </c>
      <c r="M380" s="56">
        <f t="shared" si="70"/>
        <v>3456000</v>
      </c>
      <c r="N380" s="11">
        <f>IF(COUNTIF(InputOutputData!K$20,"Chlorine") = 1,'More accurate Energy (Solar)'!M380,L380+K380+I380)</f>
        <v>3456000</v>
      </c>
    </row>
  </sheetData>
  <mergeCells count="13">
    <mergeCell ref="C8:D8"/>
    <mergeCell ref="C1:F1"/>
    <mergeCell ref="L1:N1"/>
    <mergeCell ref="P1:S1"/>
    <mergeCell ref="C2:D2"/>
    <mergeCell ref="P2:Q2"/>
    <mergeCell ref="C3:D3"/>
    <mergeCell ref="P3:Q3"/>
    <mergeCell ref="C4:D4"/>
    <mergeCell ref="P4:Q4"/>
    <mergeCell ref="C5:D5"/>
    <mergeCell ref="C6:D6"/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4" ma:contentTypeDescription="Create a new document." ma:contentTypeScope="" ma:versionID="b97d96b181c01638d44b3bded790a82a">
  <xsd:schema xmlns:xsd="http://www.w3.org/2001/XMLSchema" xmlns:xs="http://www.w3.org/2001/XMLSchema" xmlns:p="http://schemas.microsoft.com/office/2006/metadata/properties" xmlns:ns3="a169fe49-86d9-4b9f-a163-9271c3e82536" xmlns:ns4="9ec2d0b7-503f-4434-bd5e-691963e6366e" targetNamespace="http://schemas.microsoft.com/office/2006/metadata/properties" ma:root="true" ma:fieldsID="efb69f7fc2aa67c1a26431f98c27dd5e" ns3:_="" ns4:_="">
    <xsd:import namespace="a169fe49-86d9-4b9f-a163-9271c3e82536"/>
    <xsd:import namespace="9ec2d0b7-503f-4434-bd5e-691963e636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AE1E1-1335-424D-BDC9-945ADC4F92E3}"/>
</file>

<file path=customXml/itemProps2.xml><?xml version="1.0" encoding="utf-8"?>
<ds:datastoreItem xmlns:ds="http://schemas.openxmlformats.org/officeDocument/2006/customXml" ds:itemID="{A7EF94B8-4EA8-4DB1-B0D1-7A9A8D1718E5}"/>
</file>

<file path=customXml/itemProps3.xml><?xml version="1.0" encoding="utf-8"?>
<ds:datastoreItem xmlns:ds="http://schemas.openxmlformats.org/officeDocument/2006/customXml" ds:itemID="{AC2114D0-426E-43F0-881F-DE81B78CD2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Sommer</dc:creator>
  <cp:keywords/>
  <dc:description/>
  <cp:lastModifiedBy>sramdhan@student.ubc.ca</cp:lastModifiedBy>
  <cp:revision/>
  <dcterms:created xsi:type="dcterms:W3CDTF">2017-03-21T05:46:35Z</dcterms:created>
  <dcterms:modified xsi:type="dcterms:W3CDTF">2025-04-09T00:51:03Z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