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tation 2\raw file\"/>
    </mc:Choice>
  </mc:AlternateContent>
  <xr:revisionPtr revIDLastSave="0" documentId="13_ncr:1_{94FA246D-F924-4D70-8F10-A4F75344CF13}" xr6:coauthVersionLast="47" xr6:coauthVersionMax="47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Assets +Liability-23  Explain" sheetId="18" r:id="rId1"/>
    <sheet name="Profit Ratio (2)" sheetId="17" r:id="rId2"/>
    <sheet name="Trading +Production (2)" sheetId="15" r:id="rId3"/>
    <sheet name="Retained Earning" sheetId="12" r:id="rId4"/>
    <sheet name="Working Capital" sheetId="11" r:id="rId5"/>
    <sheet name="unreal note" sheetId="10" r:id="rId6"/>
    <sheet name="Trading +Production" sheetId="8" r:id="rId7"/>
    <sheet name="Income Statement (Production)" sheetId="3" r:id="rId8"/>
    <sheet name="Income Statement (Trading)" sheetId="1" r:id="rId9"/>
    <sheet name="Sheet1" sheetId="4" r:id="rId10"/>
    <sheet name="Depriciation" sheetId="6" r:id="rId11"/>
    <sheet name="Notes" sheetId="7" r:id="rId12"/>
    <sheet name="Assets +Liability-23" sheetId="13" r:id="rId13"/>
    <sheet name="DATA &amp; SOURCE" sheetId="19" r:id="rId14"/>
  </sheets>
  <definedNames>
    <definedName name="_xlnm.Print_Area" localSheetId="12">'Assets +Liability-23'!$D$1:$G$15</definedName>
    <definedName name="_xlnm.Print_Area" localSheetId="0">'Assets +Liability-23  Explain'!$B$1:$G$38</definedName>
    <definedName name="_xlnm.Print_Area" localSheetId="10">Depriciation!$B$3:$I$27</definedName>
    <definedName name="_xlnm.Print_Area" localSheetId="7">'Income Statement (Production)'!$A$1:$H$31</definedName>
    <definedName name="_xlnm.Print_Area" localSheetId="8">'Income Statement (Trading)'!$A$1:$H$27</definedName>
    <definedName name="_xlnm.Print_Area" localSheetId="11">Notes!$A$1:$G$150</definedName>
    <definedName name="_xlnm.Print_Area" localSheetId="1">'Profit Ratio (2)'!$C$3:$N$24</definedName>
    <definedName name="_xlnm.Print_Area" localSheetId="3">'Retained Earning'!$B$1:$D$30</definedName>
    <definedName name="_xlnm.Print_Area" localSheetId="6">'Trading +Production'!$A$1:$H$27</definedName>
    <definedName name="_xlnm.Print_Area" localSheetId="2">'Trading +Production (2)'!$B$5:$H$28</definedName>
    <definedName name="_xlnm.Print_Area" localSheetId="5">'unreal note'!$A$1:$G$186</definedName>
    <definedName name="_xlnm.Print_Area" localSheetId="4">'Working Capital'!$C$1:$E$35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1" l="1"/>
  <c r="E6" i="11"/>
  <c r="F7" i="10"/>
  <c r="E9" i="11"/>
  <c r="D49" i="11"/>
  <c r="E48" i="11" s="1"/>
  <c r="E14" i="11"/>
  <c r="F129" i="10"/>
  <c r="F98" i="10"/>
  <c r="E11" i="11" s="1"/>
  <c r="F21" i="10"/>
  <c r="F17" i="10"/>
  <c r="E42" i="10"/>
  <c r="E128" i="10"/>
  <c r="E158" i="10"/>
  <c r="F158" i="10" s="1"/>
  <c r="E15" i="11" s="1"/>
  <c r="F173" i="10"/>
  <c r="E183" i="10"/>
  <c r="F184" i="10" s="1"/>
  <c r="E16" i="11" s="1"/>
  <c r="F181" i="10"/>
  <c r="L8" i="10"/>
  <c r="L9" i="10"/>
  <c r="L10" i="10"/>
  <c r="L11" i="10"/>
  <c r="L12" i="10"/>
  <c r="L7" i="10"/>
  <c r="L6" i="10"/>
  <c r="E12" i="13"/>
  <c r="J22" i="10"/>
  <c r="F34" i="18"/>
  <c r="F21" i="18"/>
  <c r="F12" i="18"/>
  <c r="G12" i="13"/>
  <c r="F178" i="10"/>
  <c r="E17" i="11" s="1"/>
  <c r="E45" i="11" l="1"/>
  <c r="E43" i="11"/>
  <c r="E41" i="11"/>
  <c r="E42" i="11"/>
  <c r="E44" i="11"/>
  <c r="E46" i="11"/>
  <c r="E39" i="11"/>
  <c r="E47" i="11"/>
  <c r="E40" i="11"/>
  <c r="L13" i="10"/>
  <c r="E6" i="10" s="1"/>
  <c r="F149" i="10"/>
  <c r="E49" i="11" l="1"/>
  <c r="E10" i="11"/>
  <c r="E84" i="10"/>
  <c r="E31" i="11"/>
  <c r="E30" i="11"/>
  <c r="E19" i="11"/>
  <c r="E15" i="10"/>
  <c r="F103" i="10"/>
  <c r="E26" i="11"/>
  <c r="F174" i="10"/>
  <c r="F165" i="10"/>
  <c r="E13" i="11" s="1"/>
  <c r="E18" i="11" l="1"/>
  <c r="F162" i="10" l="1"/>
  <c r="E24" i="11"/>
  <c r="E44" i="10"/>
  <c r="F44" i="10" s="1"/>
  <c r="E25" i="11" s="1"/>
  <c r="F30" i="10"/>
  <c r="E8" i="11" s="1"/>
  <c r="F84" i="10"/>
  <c r="D27" i="12"/>
  <c r="C10" i="12" s="1"/>
  <c r="G15" i="13"/>
  <c r="E21" i="13"/>
  <c r="D10" i="17"/>
  <c r="E14" i="13" l="1"/>
  <c r="E15" i="13" s="1"/>
  <c r="E23" i="13"/>
  <c r="G24" i="15" l="1"/>
  <c r="F24" i="15"/>
  <c r="E24" i="15"/>
  <c r="D24" i="15"/>
  <c r="C24" i="15"/>
  <c r="H25" i="15"/>
  <c r="G25" i="15"/>
  <c r="J22" i="15"/>
  <c r="K22" i="15" s="1"/>
  <c r="G22" i="15"/>
  <c r="F22" i="15"/>
  <c r="E22" i="15"/>
  <c r="D22" i="15"/>
  <c r="C22" i="15"/>
  <c r="G21" i="15"/>
  <c r="F21" i="15"/>
  <c r="E21" i="15"/>
  <c r="D21" i="15"/>
  <c r="C21" i="15"/>
  <c r="G20" i="15"/>
  <c r="F20" i="15"/>
  <c r="E20" i="15"/>
  <c r="D20" i="15"/>
  <c r="C20" i="15"/>
  <c r="G11" i="15"/>
  <c r="G14" i="15" s="1"/>
  <c r="F11" i="15"/>
  <c r="F14" i="15" s="1"/>
  <c r="E11" i="15"/>
  <c r="E14" i="15" s="1"/>
  <c r="D11" i="15"/>
  <c r="C11" i="15"/>
  <c r="C14" i="15" s="1"/>
  <c r="C21" i="8"/>
  <c r="D21" i="8"/>
  <c r="C14" i="12"/>
  <c r="C18" i="12" s="1"/>
  <c r="D14" i="12"/>
  <c r="C17" i="12" s="1"/>
  <c r="C14" i="6"/>
  <c r="C13" i="6"/>
  <c r="C18" i="6" s="1"/>
  <c r="F107" i="10"/>
  <c r="E27" i="11" s="1"/>
  <c r="F89" i="10"/>
  <c r="E26" i="10"/>
  <c r="E12" i="10"/>
  <c r="F12" i="10" s="1"/>
  <c r="F22" i="10" s="1"/>
  <c r="F147" i="7"/>
  <c r="E26" i="7"/>
  <c r="E12" i="11" l="1"/>
  <c r="C19" i="12"/>
  <c r="D20" i="12" s="1"/>
  <c r="E28" i="11"/>
  <c r="E32" i="11" s="1"/>
  <c r="F23" i="15"/>
  <c r="F26" i="15" s="1"/>
  <c r="F27" i="15" s="1"/>
  <c r="H22" i="15"/>
  <c r="H24" i="15"/>
  <c r="H11" i="15"/>
  <c r="H14" i="15" s="1"/>
  <c r="E23" i="15"/>
  <c r="D23" i="15"/>
  <c r="D26" i="15" s="1"/>
  <c r="H21" i="15"/>
  <c r="C23" i="15"/>
  <c r="G23" i="15"/>
  <c r="D16" i="15"/>
  <c r="D14" i="15"/>
  <c r="H20" i="15"/>
  <c r="F36" i="7"/>
  <c r="F46" i="7"/>
  <c r="F143" i="7"/>
  <c r="F134" i="7"/>
  <c r="G21" i="8"/>
  <c r="G19" i="8"/>
  <c r="G18" i="8"/>
  <c r="G17" i="8"/>
  <c r="G8" i="8"/>
  <c r="F21" i="8"/>
  <c r="F19" i="8"/>
  <c r="F18" i="8"/>
  <c r="F17" i="8"/>
  <c r="F8" i="8"/>
  <c r="F11" i="8" s="1"/>
  <c r="E19" i="8"/>
  <c r="E18" i="8"/>
  <c r="E20" i="8" s="1"/>
  <c r="E13" i="8" s="1"/>
  <c r="E17" i="8"/>
  <c r="E8" i="8"/>
  <c r="E11" i="8" s="1"/>
  <c r="D19" i="8"/>
  <c r="D20" i="8" s="1"/>
  <c r="D13" i="8" s="1"/>
  <c r="D18" i="8"/>
  <c r="D17" i="8"/>
  <c r="D8" i="8"/>
  <c r="C19" i="8"/>
  <c r="C18" i="8"/>
  <c r="C17" i="8"/>
  <c r="C8" i="8"/>
  <c r="H23" i="8"/>
  <c r="H22" i="8"/>
  <c r="G22" i="8"/>
  <c r="J19" i="8"/>
  <c r="K19" i="8" s="1"/>
  <c r="G11" i="8"/>
  <c r="H22" i="1"/>
  <c r="F113" i="7"/>
  <c r="E20" i="11" l="1"/>
  <c r="E34" i="11" s="1"/>
  <c r="G16" i="15"/>
  <c r="G17" i="15" s="1"/>
  <c r="G26" i="15"/>
  <c r="G27" i="15" s="1"/>
  <c r="G20" i="8"/>
  <c r="G24" i="8" s="1"/>
  <c r="G25" i="8" s="1"/>
  <c r="F16" i="15"/>
  <c r="F17" i="15" s="1"/>
  <c r="E16" i="15"/>
  <c r="E17" i="15" s="1"/>
  <c r="E26" i="15"/>
  <c r="C20" i="8"/>
  <c r="C24" i="8" s="1"/>
  <c r="C25" i="8" s="1"/>
  <c r="H18" i="8"/>
  <c r="C16" i="15"/>
  <c r="C17" i="15" s="1"/>
  <c r="C26" i="15"/>
  <c r="D17" i="15"/>
  <c r="D27" i="15"/>
  <c r="H23" i="15"/>
  <c r="H26" i="15" s="1"/>
  <c r="E27" i="15"/>
  <c r="C27" i="15"/>
  <c r="H16" i="15"/>
  <c r="H17" i="15" s="1"/>
  <c r="H19" i="8"/>
  <c r="H17" i="8"/>
  <c r="F20" i="8"/>
  <c r="F24" i="8" s="1"/>
  <c r="F25" i="8" s="1"/>
  <c r="E14" i="8"/>
  <c r="E24" i="8"/>
  <c r="E25" i="8" s="1"/>
  <c r="H21" i="8"/>
  <c r="D24" i="8"/>
  <c r="D25" i="8" s="1"/>
  <c r="H8" i="8"/>
  <c r="H11" i="8" s="1"/>
  <c r="C11" i="8"/>
  <c r="G13" i="8"/>
  <c r="G14" i="8" s="1"/>
  <c r="D11" i="8"/>
  <c r="D14" i="8" s="1"/>
  <c r="F121" i="7"/>
  <c r="E93" i="7"/>
  <c r="F92" i="7" s="1"/>
  <c r="F104" i="7"/>
  <c r="F101" i="7"/>
  <c r="F97" i="7"/>
  <c r="F84" i="7"/>
  <c r="H20" i="8" l="1"/>
  <c r="C13" i="8"/>
  <c r="C14" i="8" s="1"/>
  <c r="H27" i="15"/>
  <c r="F13" i="8"/>
  <c r="F14" i="8" s="1"/>
  <c r="H24" i="8"/>
  <c r="H25" i="8"/>
  <c r="H13" i="8" l="1"/>
  <c r="H14" i="8" s="1"/>
  <c r="F77" i="7" l="1"/>
  <c r="F72" i="7"/>
  <c r="E18" i="7"/>
  <c r="E14" i="7"/>
  <c r="E9" i="7"/>
  <c r="F18" i="6"/>
  <c r="E18" i="6"/>
  <c r="D18" i="6"/>
  <c r="I16" i="6"/>
  <c r="I15" i="6"/>
  <c r="H14" i="6"/>
  <c r="H13" i="6"/>
  <c r="I13" i="6" s="1"/>
  <c r="I12" i="6"/>
  <c r="H12" i="6"/>
  <c r="I11" i="6"/>
  <c r="H11" i="6"/>
  <c r="F26" i="7" l="1"/>
  <c r="H18" i="6"/>
  <c r="F24" i="6" s="1"/>
  <c r="I14" i="6"/>
  <c r="I18" i="6" s="1"/>
  <c r="G10" i="4"/>
  <c r="G21" i="1" l="1"/>
  <c r="J18" i="1" l="1"/>
  <c r="K18" i="1" s="1"/>
  <c r="E19" i="1" l="1"/>
  <c r="E23" i="1" s="1"/>
  <c r="D19" i="1"/>
  <c r="D23" i="1" s="1"/>
  <c r="D7" i="1"/>
  <c r="C19" i="1" l="1"/>
  <c r="C23" i="1" s="1"/>
  <c r="H9" i="3" l="1"/>
  <c r="H12" i="3" s="1"/>
  <c r="C12" i="3"/>
  <c r="D12" i="3"/>
  <c r="E12" i="3"/>
  <c r="F12" i="3"/>
  <c r="G12" i="3"/>
  <c r="H18" i="3"/>
  <c r="H19" i="3"/>
  <c r="H20" i="3"/>
  <c r="C21" i="3"/>
  <c r="C14" i="3" s="1"/>
  <c r="D21" i="3"/>
  <c r="D14" i="3" s="1"/>
  <c r="E21" i="3"/>
  <c r="E14" i="3" s="1"/>
  <c r="F21" i="3"/>
  <c r="F14" i="3" s="1"/>
  <c r="G21" i="3"/>
  <c r="G14" i="3" s="1"/>
  <c r="H22" i="3"/>
  <c r="H23" i="3"/>
  <c r="H25" i="3"/>
  <c r="H21" i="1"/>
  <c r="H20" i="1"/>
  <c r="H17" i="1"/>
  <c r="H18" i="1"/>
  <c r="H16" i="1"/>
  <c r="H7" i="1"/>
  <c r="G19" i="1"/>
  <c r="G23" i="1" s="1"/>
  <c r="G24" i="1" s="1"/>
  <c r="F19" i="1"/>
  <c r="E24" i="1"/>
  <c r="E10" i="1"/>
  <c r="F12" i="1" l="1"/>
  <c r="F23" i="1"/>
  <c r="C26" i="3"/>
  <c r="C27" i="3" s="1"/>
  <c r="G12" i="1"/>
  <c r="F15" i="3"/>
  <c r="F24" i="1"/>
  <c r="E26" i="3"/>
  <c r="E27" i="3" s="1"/>
  <c r="E15" i="3"/>
  <c r="D15" i="3"/>
  <c r="H19" i="1"/>
  <c r="H23" i="1" s="1"/>
  <c r="H21" i="3"/>
  <c r="H26" i="3" s="1"/>
  <c r="C15" i="3"/>
  <c r="H14" i="3"/>
  <c r="G15" i="3"/>
  <c r="F26" i="3"/>
  <c r="F27" i="3" s="1"/>
  <c r="G26" i="3"/>
  <c r="G27" i="3" s="1"/>
  <c r="D26" i="3"/>
  <c r="D27" i="3" s="1"/>
  <c r="E12" i="1"/>
  <c r="E13" i="1" s="1"/>
  <c r="D12" i="1"/>
  <c r="D10" i="1"/>
  <c r="C12" i="1"/>
  <c r="D24" i="1" l="1"/>
  <c r="H12" i="1"/>
  <c r="H15" i="3"/>
  <c r="H27" i="3"/>
  <c r="D13" i="1"/>
  <c r="H10" i="1"/>
  <c r="H13" i="1" l="1"/>
  <c r="F10" i="1" l="1"/>
  <c r="F13" i="1" s="1"/>
  <c r="C10" i="1" l="1"/>
  <c r="G10" i="1"/>
  <c r="G13" i="1" s="1"/>
  <c r="C24" i="1" l="1"/>
  <c r="H24" i="1" s="1"/>
  <c r="C13" i="1"/>
</calcChain>
</file>

<file path=xl/sharedStrings.xml><?xml version="1.0" encoding="utf-8"?>
<sst xmlns="http://schemas.openxmlformats.org/spreadsheetml/2006/main" count="658" uniqueCount="464">
  <si>
    <t>Cost of Goods Sold</t>
  </si>
  <si>
    <t>Gross Profit</t>
  </si>
  <si>
    <t>Total Expenses</t>
  </si>
  <si>
    <t>Full Year</t>
  </si>
  <si>
    <t>Total Net Revenue</t>
  </si>
  <si>
    <t>Net Earnings</t>
  </si>
  <si>
    <t>[SHANIMA POLY &amp; PACKAGING IND. LTD]</t>
  </si>
  <si>
    <t xml:space="preserve">Sales </t>
  </si>
  <si>
    <t>Opening Inventory</t>
  </si>
  <si>
    <t xml:space="preserve">Purchase /Import </t>
  </si>
  <si>
    <t>Closing Inventory</t>
  </si>
  <si>
    <t>CGS</t>
  </si>
  <si>
    <t>Direct Cost</t>
  </si>
  <si>
    <t>(ADD) Direct , Selling &amp; Selling</t>
  </si>
  <si>
    <t xml:space="preserve">Demo Consolated </t>
  </si>
  <si>
    <t>Demo Consolate</t>
  </si>
  <si>
    <t>(ADD) Factory Overhead</t>
  </si>
  <si>
    <t>Depreciation</t>
  </si>
  <si>
    <t>Abedin &amp; Sons (Pran)</t>
  </si>
  <si>
    <t>Machinery Sales</t>
  </si>
  <si>
    <t>Net Profit</t>
  </si>
  <si>
    <t>Income Statement( Production)</t>
  </si>
  <si>
    <t>Income Statement( Trading)</t>
  </si>
  <si>
    <t>2022( Six Month)</t>
  </si>
  <si>
    <t>Banking Cost</t>
  </si>
  <si>
    <t xml:space="preserve">Lc Party Gapping </t>
  </si>
  <si>
    <t xml:space="preserve">Liabilities </t>
  </si>
  <si>
    <t>Assets &amp; Properties</t>
  </si>
  <si>
    <t>Share Capital</t>
  </si>
  <si>
    <t>Mazeda Akter</t>
  </si>
  <si>
    <t xml:space="preserve"> Shahab Uddin</t>
  </si>
  <si>
    <t>Nezam Uddin</t>
  </si>
  <si>
    <t>Cash At Bank</t>
  </si>
  <si>
    <t>Current Assets</t>
  </si>
  <si>
    <t xml:space="preserve">Woori CD </t>
  </si>
  <si>
    <t> 98,049.40</t>
  </si>
  <si>
    <t>JBL CD</t>
  </si>
  <si>
    <t>JBL CC</t>
  </si>
  <si>
    <t xml:space="preserve">Non Current Assets </t>
  </si>
  <si>
    <t>Raw Material ( As per June)</t>
  </si>
  <si>
    <t>Closing Stock</t>
  </si>
  <si>
    <t>Fixed Assets ( At depreciation)</t>
  </si>
  <si>
    <t>CURRENT ASSTES:</t>
  </si>
  <si>
    <t>Stock and Stores</t>
  </si>
  <si>
    <t>Cash at Bank Balances</t>
  </si>
  <si>
    <t>Total current Assets</t>
  </si>
  <si>
    <t>Liabilities against Trust Receipt-Secured</t>
  </si>
  <si>
    <t>Total Current Liabilities</t>
  </si>
  <si>
    <t>WORKING CAPITAL</t>
  </si>
  <si>
    <t>Nishi Poribahan</t>
  </si>
  <si>
    <t>Schedule-01</t>
  </si>
  <si>
    <t>P A R T I C U L A R S</t>
  </si>
  <si>
    <t>C                  O                  S                  T</t>
  </si>
  <si>
    <t>Rate of Dep.</t>
  </si>
  <si>
    <t>Addition/(Deletion) during the Year</t>
  </si>
  <si>
    <t>Depreciation during the Year</t>
  </si>
  <si>
    <t>Land &amp; Premises(Domar)</t>
  </si>
  <si>
    <t>Factory Land</t>
  </si>
  <si>
    <t>Plant &amp; Machinery</t>
  </si>
  <si>
    <t xml:space="preserve">Furniture/Computer </t>
  </si>
  <si>
    <t>Note: 1.</t>
  </si>
  <si>
    <t>Depreciation has been charged on diminishing balance method.</t>
  </si>
  <si>
    <t>2.</t>
  </si>
  <si>
    <t>(a). Factory Expenses</t>
  </si>
  <si>
    <t>(b). Administrative Expenses</t>
  </si>
  <si>
    <t>TAKA = (2022) As per June</t>
  </si>
  <si>
    <t>FDR</t>
  </si>
  <si>
    <t>Jamuna Bank</t>
  </si>
  <si>
    <t>Acc.No</t>
  </si>
  <si>
    <t>2301000321252</t>
  </si>
  <si>
    <t>Tk.</t>
  </si>
  <si>
    <t>2301000321581</t>
  </si>
  <si>
    <t>Bank Asia</t>
  </si>
  <si>
    <t>04555005786</t>
  </si>
  <si>
    <t>04555005787</t>
  </si>
  <si>
    <t>04555005788</t>
  </si>
  <si>
    <t>TCL</t>
  </si>
  <si>
    <t>Badopul Housing (Titu Loan)</t>
  </si>
  <si>
    <t>TK.</t>
  </si>
  <si>
    <t>GFAIL ( Bank Asia) STD-345</t>
  </si>
  <si>
    <t>Jibon Babu ( Asteck )</t>
  </si>
  <si>
    <t>Mezba Hasan Khan -Loan</t>
  </si>
  <si>
    <t xml:space="preserve">Mr. Sala uddin </t>
  </si>
  <si>
    <t>Noakhali Loan</t>
  </si>
  <si>
    <t>Premier Azim Loan</t>
  </si>
  <si>
    <t xml:space="preserve">Shanin </t>
  </si>
  <si>
    <t>Director sir</t>
  </si>
  <si>
    <t>Md. Sir</t>
  </si>
  <si>
    <t>Director sir( SOD ) One Bank</t>
  </si>
  <si>
    <t>Md. Sir ( SOD ) ONE Bank</t>
  </si>
  <si>
    <t xml:space="preserve">Woori Bank </t>
  </si>
  <si>
    <t>Shanima</t>
  </si>
  <si>
    <t>200960000645</t>
  </si>
  <si>
    <t>5082075000080</t>
  </si>
  <si>
    <t>5082075000087</t>
  </si>
  <si>
    <t>Tasifia Housing Short Loan</t>
  </si>
  <si>
    <t>Accounts Payable</t>
  </si>
  <si>
    <t>Accounts Receivable( Tading )</t>
  </si>
  <si>
    <t>Accessories Recivable</t>
  </si>
  <si>
    <t>Asteck/ Ultra</t>
  </si>
  <si>
    <t>Base Textile Ltd.</t>
  </si>
  <si>
    <t>Casesar Apparels</t>
  </si>
  <si>
    <t xml:space="preserve">Classic Solution </t>
  </si>
  <si>
    <t>Jerkin wear ltd</t>
  </si>
  <si>
    <t>MIDAS Safety Ltd</t>
  </si>
  <si>
    <t>Rijtex Ltd</t>
  </si>
  <si>
    <t>Orange Design ltd</t>
  </si>
  <si>
    <t>Adila Appreals</t>
  </si>
  <si>
    <t>ANS Fashion</t>
  </si>
  <si>
    <t>Frank Group</t>
  </si>
  <si>
    <t>Kron International</t>
  </si>
  <si>
    <t>Saz Fashion</t>
  </si>
  <si>
    <t>Wazico Appls Ltd</t>
  </si>
  <si>
    <t>Children Place Ltd</t>
  </si>
  <si>
    <t>Fabian Ind. Ltd</t>
  </si>
  <si>
    <t>JR Accessories Ltd</t>
  </si>
  <si>
    <t>Mark Enterprise</t>
  </si>
  <si>
    <t>Poly Sign Accessories</t>
  </si>
  <si>
    <t>Sufi Appls Ltd</t>
  </si>
  <si>
    <t>UNS Appls Ltd</t>
  </si>
  <si>
    <t>JS ( RK Accessories)</t>
  </si>
  <si>
    <t>Continental Ltd</t>
  </si>
  <si>
    <t>Accounts Receivable( Trading)</t>
  </si>
  <si>
    <t>Accounts Receivable( Accessories)</t>
  </si>
  <si>
    <t xml:space="preserve">Security Fund </t>
  </si>
  <si>
    <t>JBL</t>
  </si>
  <si>
    <t>Woori</t>
  </si>
  <si>
    <t>Margin Import Lc</t>
  </si>
  <si>
    <t>Woori( Case to Case)</t>
  </si>
  <si>
    <t>DP Margin</t>
  </si>
  <si>
    <t>At sight ( Jbl)</t>
  </si>
  <si>
    <t>LTR</t>
  </si>
  <si>
    <t>One Bank PAD Margin</t>
  </si>
  <si>
    <t>Not yet Purchase ( Woori+JBL)</t>
  </si>
  <si>
    <t xml:space="preserve">Bank Balance </t>
  </si>
  <si>
    <t>Bank asia-30</t>
  </si>
  <si>
    <t>Not Yet Purchase</t>
  </si>
  <si>
    <t>( $35420.49X92.75)</t>
  </si>
  <si>
    <t xml:space="preserve">Jbl </t>
  </si>
  <si>
    <t>(27147.48X93.80)</t>
  </si>
  <si>
    <t xml:space="preserve">United Finace </t>
  </si>
  <si>
    <t>SOD ( One Bank)</t>
  </si>
  <si>
    <t>M.D Sir</t>
  </si>
  <si>
    <t>Director Sir</t>
  </si>
  <si>
    <t>One Bank-3888</t>
  </si>
  <si>
    <t xml:space="preserve">Advance </t>
  </si>
  <si>
    <t>Lc Party</t>
  </si>
  <si>
    <t>Employee</t>
  </si>
  <si>
    <t>M.D sir</t>
  </si>
  <si>
    <t xml:space="preserve"> Director Sir</t>
  </si>
  <si>
    <t>Chairman Madam</t>
  </si>
  <si>
    <t xml:space="preserve"> Borophole</t>
  </si>
  <si>
    <t>Capital</t>
  </si>
  <si>
    <t>Income Statement( Trading+Production)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</si>
  <si>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</si>
  <si>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</si>
  <si>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</si>
  <si>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</si>
  <si>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</si>
  <si>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</si>
  <si>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</si>
  <si>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</si>
  <si>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</si>
  <si>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</si>
  <si>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</si>
  <si>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05-(1)</t>
  </si>
  <si>
    <t>Short Loan</t>
  </si>
  <si>
    <t>12</t>
  </si>
  <si>
    <t>Howlader Enterprise</t>
  </si>
  <si>
    <t xml:space="preserve">J.S Factory </t>
  </si>
  <si>
    <t>J.S International</t>
  </si>
  <si>
    <t>Jitu &amp; Brother(C &amp; F)</t>
  </si>
  <si>
    <t>R.K Accessories</t>
  </si>
  <si>
    <t>solaman eng</t>
  </si>
  <si>
    <t>Suma Eng</t>
  </si>
  <si>
    <t>Poras Engineer</t>
  </si>
  <si>
    <t>R &amp; R Technology</t>
  </si>
  <si>
    <t>Three Star Eng</t>
  </si>
  <si>
    <t>Software Shakir</t>
  </si>
  <si>
    <t>Short Term Investment</t>
  </si>
  <si>
    <t>13</t>
  </si>
  <si>
    <t>Alhaj Joynal abedin</t>
  </si>
  <si>
    <t>Tk</t>
  </si>
  <si>
    <t>AAA Accessoies ( Gumtape)</t>
  </si>
  <si>
    <t>Al-Haj Joynal Abedin ( Loan)</t>
  </si>
  <si>
    <t>Notes==================</t>
  </si>
  <si>
    <t>One Bank</t>
  </si>
  <si>
    <t>Bank Asia -31</t>
  </si>
  <si>
    <t>14</t>
  </si>
  <si>
    <t>Private Car</t>
  </si>
  <si>
    <t xml:space="preserve">                                            Retained Earning</t>
  </si>
  <si>
    <t>Particular</t>
  </si>
  <si>
    <t>Paid Up Capital</t>
  </si>
  <si>
    <t>Retained earnings</t>
  </si>
  <si>
    <t>Properties &amp; Assets</t>
  </si>
  <si>
    <t>Motor Vehichle( 2 Unit)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</si>
  <si>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</si>
  <si>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</t>
  </si>
  <si>
    <t>Initial  Fixed assets Value</t>
  </si>
  <si>
    <t>Amount</t>
  </si>
  <si>
    <t>Current Liabilities</t>
  </si>
  <si>
    <t>Short Term Loan( Trading Buyer)</t>
  </si>
  <si>
    <t>United Finance Loan</t>
  </si>
  <si>
    <t>Net Earnings/Profit</t>
  </si>
  <si>
    <r>
      <t xml:space="preserve">    </t>
    </r>
    <r>
      <rPr>
        <b/>
        <sz val="20"/>
        <color theme="1"/>
        <rFont val="Times New Roman"/>
        <family val="1"/>
      </rPr>
      <t xml:space="preserve">                 SHANIMA POLY  &amp; PACKAGING IND LTD</t>
    </r>
  </si>
  <si>
    <r>
      <t xml:space="preserve">    </t>
    </r>
    <r>
      <rPr>
        <b/>
        <sz val="22"/>
        <color theme="1"/>
        <rFont val="Times New Roman"/>
        <family val="1"/>
      </rPr>
      <t xml:space="preserve">                 SHANIMA POLY  &amp; PACKAGING IND LTD</t>
    </r>
  </si>
  <si>
    <t>Allocation of Depreciation:</t>
  </si>
  <si>
    <t>Year of Profit</t>
  </si>
  <si>
    <t>Total</t>
  </si>
  <si>
    <t xml:space="preserve"> Upto June -30,2022</t>
  </si>
  <si>
    <t>Asstes</t>
  </si>
  <si>
    <t>Total Asstes</t>
  </si>
  <si>
    <t>Liability</t>
  </si>
  <si>
    <t>Total Liabilites</t>
  </si>
  <si>
    <t>Deficiency of Assets</t>
  </si>
  <si>
    <t>Retained Earnings</t>
  </si>
  <si>
    <t>Assets And Liability Statement</t>
  </si>
  <si>
    <t>Total Assest</t>
  </si>
  <si>
    <t>Total Liability</t>
  </si>
  <si>
    <t>Liability Surplus</t>
  </si>
  <si>
    <t>15</t>
  </si>
  <si>
    <t>Capital and Retained Earnings both of as part of owners equity  as define of increasing Machinery , Property , and Working Capital rolling on business so on.</t>
  </si>
  <si>
    <t xml:space="preserve">Chairman </t>
  </si>
  <si>
    <t>Director</t>
  </si>
  <si>
    <t>Grand Total Director Remuneration</t>
  </si>
  <si>
    <t>3 Directors  Loss &amp; Profit Ratio</t>
  </si>
  <si>
    <t>Profit</t>
  </si>
  <si>
    <t>Grand Total</t>
  </si>
  <si>
    <t>Equal Portion ( 1:1:1)( 3 Directors )</t>
  </si>
  <si>
    <t>FDR (JBL+Bank Asia+Woori)</t>
  </si>
  <si>
    <t xml:space="preserve">Bank  Asia </t>
  </si>
  <si>
    <t>Solaman Eng</t>
  </si>
  <si>
    <t>ANS Fashion Ltd</t>
  </si>
  <si>
    <t>Import</t>
  </si>
  <si>
    <t>Lc Margin All Jbl</t>
  </si>
  <si>
    <t>TR Woori</t>
  </si>
  <si>
    <t xml:space="preserve">Case to Case Woori </t>
  </si>
  <si>
    <t>Export Bill Margin</t>
  </si>
  <si>
    <t>TR JBL</t>
  </si>
  <si>
    <t>At  Sight Jbl</t>
  </si>
  <si>
    <t>EDF JBL</t>
  </si>
  <si>
    <t>DP JBL</t>
  </si>
  <si>
    <t>ABP</t>
  </si>
  <si>
    <t xml:space="preserve">Jbl  Not Acceptance </t>
  </si>
  <si>
    <t>Sight Lc JBL</t>
  </si>
  <si>
    <t>Party Lc</t>
  </si>
  <si>
    <t>,01</t>
  </si>
  <si>
    <t>16</t>
  </si>
  <si>
    <t>Advance, deposit and Prepayment Lc party</t>
  </si>
  <si>
    <t xml:space="preserve">LTR+ Case to case +EDF+DP </t>
  </si>
  <si>
    <t>One Bank SOD</t>
  </si>
  <si>
    <t>17</t>
  </si>
  <si>
    <t>Export Loan Jbl</t>
  </si>
  <si>
    <t>Export Bill  Loan Outstanding JBL</t>
  </si>
  <si>
    <t>18</t>
  </si>
  <si>
    <t>USD Export loan</t>
  </si>
  <si>
    <t>Export Loan W oori</t>
  </si>
  <si>
    <t>19</t>
  </si>
  <si>
    <t>Export Bill Margin retain</t>
  </si>
  <si>
    <t>Export Bill USD Loan JBL</t>
  </si>
  <si>
    <t>Export Bill Loan Woori</t>
  </si>
  <si>
    <t>Export Bill Margin Build Up</t>
  </si>
  <si>
    <t>Export Bill Margin retain JBL</t>
  </si>
  <si>
    <t>Export Bill Margin retain Woori</t>
  </si>
  <si>
    <t>Sayeed Enterprise</t>
  </si>
  <si>
    <t>Imtiaz Fashion</t>
  </si>
  <si>
    <t>Rajib Enterprise</t>
  </si>
  <si>
    <t>Dilder Hossain</t>
  </si>
  <si>
    <t>Jahedul Islam</t>
  </si>
  <si>
    <t>Jakir Hossain</t>
  </si>
  <si>
    <t>GFAIL (Bank Asia) ,STD -345</t>
  </si>
  <si>
    <t xml:space="preserve">50Lac  </t>
  </si>
  <si>
    <t xml:space="preserve">24Lac  </t>
  </si>
  <si>
    <t>Opening Balance ( Capital)as on 30th june-2023</t>
  </si>
  <si>
    <t>Profit /( loss) for the period 2022</t>
  </si>
  <si>
    <t>Less Withdrawal Profit Each Director</t>
  </si>
  <si>
    <t xml:space="preserve">                                   AS AT 30TH JUNE ,2023</t>
  </si>
  <si>
    <t>Add Present year Profit-2023 As june</t>
  </si>
  <si>
    <t xml:space="preserve">         As on June -2023</t>
  </si>
  <si>
    <t>As per schedule Capital</t>
  </si>
  <si>
    <t>20</t>
  </si>
  <si>
    <t>21</t>
  </si>
  <si>
    <t>Written Down Value as at  30th June, 2023</t>
  </si>
  <si>
    <t>Balance as at 30th June, 2023</t>
  </si>
  <si>
    <t>Balance as at 1st July, 22</t>
  </si>
  <si>
    <t xml:space="preserve">IDBP Loan </t>
  </si>
  <si>
    <t>Import Lc  80% Loan Woori</t>
  </si>
  <si>
    <t xml:space="preserve">IDBP margin 10% </t>
  </si>
  <si>
    <t xml:space="preserve">  A)</t>
  </si>
  <si>
    <t>Shanima Poly &amp; Packaging Ind. Ltd.</t>
  </si>
  <si>
    <t>Immovable Asset</t>
  </si>
  <si>
    <t>Land (6.69+3.00+8.00)=17.69 Decimal</t>
  </si>
  <si>
    <t>Market Value (17.69*2500000</t>
  </si>
  <si>
    <t>Development &amp; Building Shed with Structure</t>
  </si>
  <si>
    <t>B)</t>
  </si>
  <si>
    <t>Movable Asset</t>
  </si>
  <si>
    <t>Motor Vehicle</t>
  </si>
  <si>
    <t>Cargo Lift</t>
  </si>
  <si>
    <t>Machinery (less Depreciation)</t>
  </si>
  <si>
    <t>Furniture &amp; Fixture ( Less Dep)</t>
  </si>
  <si>
    <t>Ac , Computer ,Printer, CCTV &amp; others ( Less Dep)</t>
  </si>
  <si>
    <t>C)</t>
  </si>
  <si>
    <t>Current Asset/Liquidity</t>
  </si>
  <si>
    <t xml:space="preserve">Stock &amp; Store </t>
  </si>
  <si>
    <t xml:space="preserve">FDR </t>
  </si>
  <si>
    <t>A/R Trading</t>
  </si>
  <si>
    <t>A/R Accessories</t>
  </si>
  <si>
    <t>Advace</t>
  </si>
  <si>
    <t>Cash at Bank</t>
  </si>
  <si>
    <t>Short Term Invest</t>
  </si>
  <si>
    <t>Export Bill Margin Jbl</t>
  </si>
  <si>
    <t>Fixed Asstes (Approx)</t>
  </si>
  <si>
    <t xml:space="preserve">As per </t>
  </si>
  <si>
    <t xml:space="preserve">Stock </t>
  </si>
  <si>
    <t>Adhesive (Hyplus)</t>
  </si>
  <si>
    <t>Duplex Ningbo</t>
  </si>
  <si>
    <t>Duplex Emami</t>
  </si>
  <si>
    <t>BOPP</t>
  </si>
  <si>
    <t>Duplex Ampear Lite</t>
  </si>
  <si>
    <t>LDPE</t>
  </si>
  <si>
    <t>PP</t>
  </si>
  <si>
    <t>FC Account</t>
  </si>
  <si>
    <t xml:space="preserve">JBL </t>
  </si>
  <si>
    <t>Bismillah Garments</t>
  </si>
  <si>
    <t>Aussie Global (Main Uddin)</t>
  </si>
  <si>
    <t xml:space="preserve">YPL Apparels </t>
  </si>
  <si>
    <t>Sofi Apparels</t>
  </si>
  <si>
    <t>Moazzam Apparels</t>
  </si>
  <si>
    <t>AAA Accessories Corporation(G1)</t>
  </si>
  <si>
    <t>AAA Accessories Ltd</t>
  </si>
  <si>
    <t>KH International</t>
  </si>
  <si>
    <t>Khokon Apparels</t>
  </si>
  <si>
    <t>Namirah Trim</t>
  </si>
  <si>
    <t>J.S Factory</t>
  </si>
  <si>
    <t>RK Accessories</t>
  </si>
  <si>
    <t>Suma Enterprise</t>
  </si>
  <si>
    <t>Jitu &amp; Brother</t>
  </si>
  <si>
    <t>Poras Eng.</t>
  </si>
  <si>
    <t>Three Star</t>
  </si>
  <si>
    <t xml:space="preserve">Software Mehedi </t>
  </si>
  <si>
    <t>Astech/Ultra Pack Ltd</t>
  </si>
  <si>
    <t>Base Textile Ltd</t>
  </si>
  <si>
    <t>Classic Solution(Javed)</t>
  </si>
  <si>
    <t>Jerkin wear Limited</t>
  </si>
  <si>
    <t>JS(RK Accessories)</t>
  </si>
  <si>
    <t>Orange Design Ltd</t>
  </si>
  <si>
    <t>Rijtex Ltd(Akter)</t>
  </si>
  <si>
    <t>Reliance(Pvt) Ltd</t>
  </si>
  <si>
    <t>Fabian Industries Ltd</t>
  </si>
  <si>
    <t>Fabian Multiplex Ltd</t>
  </si>
  <si>
    <t>Poly Sing Accesso.</t>
  </si>
  <si>
    <t>ABC Trade Ltd</t>
  </si>
  <si>
    <t>UNS Appls(Liton)</t>
  </si>
  <si>
    <t>Star Accessories(Roky)</t>
  </si>
  <si>
    <t>Nadim Appls Ltd</t>
  </si>
  <si>
    <t>AAA Corporation Loan</t>
  </si>
  <si>
    <t>AL- Haj Joynal Abedin(Profit)</t>
  </si>
  <si>
    <t>Al-Haj Joynal Abedin (Loan)</t>
  </si>
  <si>
    <t>Baro -Pool Loan</t>
  </si>
  <si>
    <t xml:space="preserve">Director Sir Laon </t>
  </si>
  <si>
    <t>GFAIL-2 (Potenga)Loan</t>
  </si>
  <si>
    <t>MD Sir Loan</t>
  </si>
  <si>
    <t>Badopul Housing (Titu)</t>
  </si>
  <si>
    <t>Bank Asia Loan</t>
  </si>
  <si>
    <t>(-) A/R or Investment</t>
  </si>
  <si>
    <t>(+) A/P or Loan</t>
  </si>
  <si>
    <t>BD. Commerce Bank (GFAIL)</t>
  </si>
  <si>
    <t>Brac Bank (A&amp;S) Loan</t>
  </si>
  <si>
    <t>Director Sir ( Loan)</t>
  </si>
  <si>
    <t>IBBL (GFAIL)-A/C-2208</t>
  </si>
  <si>
    <t>Js International Ltd Loan</t>
  </si>
  <si>
    <t>Jibon Babu (Astech) Loan</t>
  </si>
  <si>
    <t>MD.Sir Loan</t>
  </si>
  <si>
    <t>Sala Uddin</t>
  </si>
  <si>
    <t>Namirah Trim Ltd&gt;Loan</t>
  </si>
  <si>
    <t>NCC Bank (A&amp;S) Loan</t>
  </si>
  <si>
    <t>Noakhali House Loan</t>
  </si>
  <si>
    <t>P mart Ltd</t>
  </si>
  <si>
    <t>Shahin H/O &gt;Loan</t>
  </si>
  <si>
    <t>Tasfia Housing Loan</t>
  </si>
  <si>
    <t xml:space="preserve">Lc Party </t>
  </si>
  <si>
    <t>Ala Uddin</t>
  </si>
  <si>
    <t>Dilder Hossain(A/C)</t>
  </si>
  <si>
    <t>Irfan Hossen Niloy</t>
  </si>
  <si>
    <t>Jahur Ullah(Robin)</t>
  </si>
  <si>
    <t>Kabir/Nazmul(A/C)</t>
  </si>
  <si>
    <t>Moinul Islam</t>
  </si>
  <si>
    <t>Mosaref Hossain(Didar)</t>
  </si>
  <si>
    <t xml:space="preserve">Mosle uddin(Rashel) </t>
  </si>
  <si>
    <t>Mostafizur Rahaman(Kabir)</t>
  </si>
  <si>
    <t>Nizam uddin</t>
  </si>
  <si>
    <t>Nur Mohammed(Shohag)</t>
  </si>
  <si>
    <t>Nur Nabi</t>
  </si>
  <si>
    <t>Saiful Islam</t>
  </si>
  <si>
    <t>Sojib uddin</t>
  </si>
  <si>
    <t>Zafar Uddin Milon</t>
  </si>
  <si>
    <t>Fc Account (JBL+Woori)</t>
  </si>
  <si>
    <t>Notes</t>
  </si>
  <si>
    <t>Note No.</t>
  </si>
  <si>
    <t>Heading of Account</t>
  </si>
  <si>
    <t>Ref.</t>
  </si>
  <si>
    <t>Total Tk.</t>
  </si>
  <si>
    <t>TOTAL STOCK</t>
  </si>
  <si>
    <t xml:space="preserve">Stock: </t>
  </si>
  <si>
    <t>Jamuna Bank:</t>
  </si>
  <si>
    <t>Personal FDR:</t>
  </si>
  <si>
    <t>TOTAL FDR</t>
  </si>
  <si>
    <t>FDR:</t>
  </si>
  <si>
    <t>One Bank:</t>
  </si>
  <si>
    <t xml:space="preserve">TOTAL </t>
  </si>
  <si>
    <t>TOTAL ACCOUNTS PAYABLE</t>
  </si>
  <si>
    <t>Accounts Payable:</t>
  </si>
  <si>
    <t>Accessories Recivable :</t>
  </si>
  <si>
    <t>TOTAL Accessories Recivable :</t>
  </si>
  <si>
    <t>TOTAL SECURITY FUND</t>
  </si>
  <si>
    <t xml:space="preserve">Security Fund : </t>
  </si>
  <si>
    <t>Bank Balance :</t>
  </si>
  <si>
    <t>TOTAL BANK BALANCE</t>
  </si>
  <si>
    <t>TOTAL PURCHASEABLE</t>
  </si>
  <si>
    <t>PURCHASEABLE :</t>
  </si>
  <si>
    <t>REMARKS</t>
  </si>
  <si>
    <t>United Finace :</t>
  </si>
  <si>
    <t>Advance :</t>
  </si>
  <si>
    <t>TOTAL United Finance</t>
  </si>
  <si>
    <t>TOTAL ADVANCE</t>
  </si>
  <si>
    <t>TOTAL SHORT TERM LOAN</t>
  </si>
  <si>
    <t>WORKING CAPITAL POSITION IN GRAPHICAL PRESENTATION</t>
  </si>
  <si>
    <t>TOTAL LIQUID CASH :</t>
  </si>
  <si>
    <t>LIQUID Asset :</t>
  </si>
  <si>
    <t>OBSERVATIONS :</t>
  </si>
  <si>
    <t>AMOUNT</t>
  </si>
  <si>
    <t>PERCENT ON TOTAL LIQUID ASSET</t>
  </si>
  <si>
    <t xml:space="preserve">                                   As On 25.12.2023</t>
  </si>
  <si>
    <t>CURRENT LIABILITIES :</t>
  </si>
  <si>
    <t>1. Cash Balance at bank as on date found 2643509.66 Which is 1.27 % of Total Current asset and Cash balance denoted as immediate liquit cash for daily business operation.</t>
  </si>
  <si>
    <t>2. FDR Account Holds 22.85 % of Shanima's Liquid Asset as unused.</t>
  </si>
  <si>
    <t>3. Accounts receievable 17.72% on total current asset ,which cannot be used as immediate cash balance.</t>
  </si>
  <si>
    <t>Recomendations of Finance &amp; Audit Department</t>
  </si>
  <si>
    <t xml:space="preserve">                                 Statement of Working Capital</t>
  </si>
  <si>
    <t>2.Should increase the rate of Collection from Party that need to observe daily progress report of overdue collection.</t>
  </si>
  <si>
    <t>4. Differenet invesment as loan or other potential investment 38% .</t>
  </si>
  <si>
    <t>3. Loan as short term investment should repayment and monitor the progress.</t>
  </si>
  <si>
    <t>4. FDR account holds 22.85% of Total Asset should increase for portfolio investment.</t>
  </si>
  <si>
    <t>STANDARD (Inpercent)</t>
  </si>
  <si>
    <t>Under 10%</t>
  </si>
  <si>
    <t>45% (Portfolio)</t>
  </si>
  <si>
    <t>5. Shanima holds FDR account  BDT47439148.35 But taking loan From Trading buyer BDT41313504.00 ( Shanima take 6125644.35 taka a</t>
  </si>
  <si>
    <t>6. Advance prepayment and deposit holds BDT 4,058,124.00.</t>
  </si>
  <si>
    <t>REPORT ON WORKING CAPITAL RATIO</t>
  </si>
  <si>
    <t>1. Cash Balance on Total current asset should be increased more than 20% for immideate business operation by decreasing accounts recieveable and hold reserve  amount.</t>
  </si>
  <si>
    <t>5. In Advance prepayment should take strategical step, otherwise it will hold and reduce cash of shanima &amp; should follow up everyworking day.</t>
  </si>
  <si>
    <t>Creditors Summary</t>
  </si>
  <si>
    <t>FILE NAME</t>
  </si>
  <si>
    <t xml:space="preserve">PROVIDER </t>
  </si>
  <si>
    <t>Customer Audit List</t>
  </si>
  <si>
    <t>Accessories Sales Summary</t>
  </si>
  <si>
    <t>Bond Stock Summary</t>
  </si>
  <si>
    <t>Export Buyer Summary</t>
  </si>
  <si>
    <t>General Ledger Loan</t>
  </si>
  <si>
    <t>BTB LC Summary</t>
  </si>
  <si>
    <t>Customer Position-Bank</t>
  </si>
  <si>
    <t>Advance Salary Statement</t>
  </si>
  <si>
    <t>Bank Statement</t>
  </si>
  <si>
    <t>Working Capital ratio as per statement is 1.65 which is moderate level and alarming that , actual cash flow of shanima poly &amp; packaging is not healthy position.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</si>
</sst>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6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0"/>
      <name val="Abadi"/>
      <family val="2"/>
    </font>
    <font>
      <sz val="11"/>
      <color theme="1"/>
      <name val="Abadi"/>
      <family val="2"/>
    </font>
    <font>
      <sz val="11"/>
      <color rgb="FF3333FF"/>
      <name val="Abadi"/>
      <family val="2"/>
    </font>
    <font>
      <b/>
      <sz val="11"/>
      <color theme="1"/>
      <name val="Abadi"/>
      <family val="2"/>
    </font>
    <font>
      <sz val="11"/>
      <name val="Abadi"/>
      <family val="2"/>
    </font>
    <font>
      <b/>
      <sz val="14"/>
      <name val="Abadi"/>
      <family val="2"/>
    </font>
    <font>
      <b/>
      <sz val="11"/>
      <name val="Abadi"/>
      <family val="2"/>
    </font>
    <font>
      <sz val="11"/>
      <color rgb="FFFF0000"/>
      <name val="Abadi"/>
      <family val="2"/>
    </font>
    <font>
      <b/>
      <sz val="11"/>
      <color theme="1"/>
      <name val="Arial Narrow"/>
      <family val="2"/>
    </font>
    <font>
      <sz val="10"/>
      <color rgb="FF303030"/>
      <name val="Arial"/>
      <family val="2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Arial Narrow"/>
      <family val="2"/>
    </font>
    <font>
      <sz val="12"/>
      <name val="Arial Narrow"/>
      <family val="2"/>
    </font>
    <font>
      <b/>
      <u val="double"/>
      <sz val="11"/>
      <color theme="1"/>
      <name val="Arial Narrow"/>
      <family val="2"/>
    </font>
    <font>
      <sz val="11"/>
      <color rgb="FFFF0000"/>
      <name val="Arial Narrow"/>
      <family val="2"/>
    </font>
    <font>
      <sz val="28"/>
      <name val="Arial Narrow"/>
      <family val="2"/>
    </font>
    <font>
      <b/>
      <sz val="22"/>
      <color theme="1"/>
      <name val="Times New Roman"/>
      <family val="1"/>
    </font>
    <font>
      <sz val="22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u val="doubleAccounting"/>
      <sz val="20"/>
      <color theme="1"/>
      <name val="Times New Roman"/>
      <family val="1"/>
    </font>
    <font>
      <b/>
      <sz val="14"/>
      <name val="Arial Narrow"/>
      <family val="2"/>
    </font>
    <font>
      <sz val="14"/>
      <color theme="1"/>
      <name val="Calibri"/>
      <family val="2"/>
      <scheme val="minor"/>
    </font>
    <font>
      <sz val="14"/>
      <name val="Arial Narrow"/>
      <family val="2"/>
    </font>
    <font>
      <sz val="14"/>
      <name val="Arial"/>
      <family val="2"/>
    </font>
    <font>
      <b/>
      <u/>
      <sz val="14"/>
      <name val="Arial Narrow"/>
      <family val="2"/>
    </font>
    <font>
      <sz val="14"/>
      <color indexed="10"/>
      <name val="Arial Narrow"/>
      <family val="2"/>
    </font>
    <font>
      <b/>
      <u val="doubleAccounting"/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b/>
      <u val="doubleAccounting"/>
      <sz val="14"/>
      <color theme="1"/>
      <name val="Arial Narrow"/>
      <family val="2"/>
    </font>
    <font>
      <sz val="26"/>
      <color theme="1"/>
      <name val="Arial Narrow"/>
      <family val="2"/>
    </font>
    <font>
      <b/>
      <sz val="26"/>
      <color theme="1"/>
      <name val="Arial Narrow"/>
      <family val="2"/>
    </font>
    <font>
      <b/>
      <u val="double"/>
      <sz val="20"/>
      <color theme="1"/>
      <name val="Times New Roman"/>
      <family val="1"/>
    </font>
    <font>
      <b/>
      <sz val="11"/>
      <color rgb="FFFF0000"/>
      <name val="Arial Narrow"/>
      <family val="2"/>
    </font>
    <font>
      <b/>
      <u val="double"/>
      <sz val="11"/>
      <color rgb="FFFF0000"/>
      <name val="Arial Narrow"/>
      <family val="2"/>
    </font>
    <font>
      <b/>
      <u val="double"/>
      <sz val="14"/>
      <color theme="1"/>
      <name val="Arial Narrow"/>
      <family val="2"/>
    </font>
    <font>
      <sz val="10"/>
      <color rgb="FFFF0000"/>
      <name val="Arial"/>
      <family val="2"/>
    </font>
    <font>
      <sz val="14"/>
      <color rgb="FFFF0000"/>
      <name val="Arial Narrow"/>
      <family val="2"/>
    </font>
    <font>
      <u/>
      <sz val="11"/>
      <color theme="1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u/>
      <sz val="11"/>
      <color theme="1"/>
      <name val="Arial Narrow"/>
      <family val="2"/>
    </font>
    <font>
      <u val="double"/>
      <sz val="11"/>
      <color theme="1"/>
      <name val="Arial Narrow"/>
      <family val="2"/>
    </font>
    <font>
      <sz val="8"/>
      <name val="Arial"/>
      <family val="2"/>
    </font>
    <font>
      <b/>
      <sz val="16"/>
      <color theme="1"/>
      <name val="Arial Narrow"/>
      <family val="2"/>
    </font>
    <font>
      <b/>
      <sz val="12"/>
      <color theme="1"/>
      <name val="Arial Narrow"/>
      <family val="2"/>
    </font>
    <font>
      <b/>
      <sz val="22"/>
      <color theme="1"/>
      <name val="Arial Narrow"/>
      <family val="2"/>
    </font>
    <font>
      <b/>
      <sz val="14"/>
      <color theme="1"/>
      <name val="Times New Roman"/>
      <family val="1"/>
    </font>
    <font>
      <sz val="12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2060"/>
      </bottom>
      <diagonal/>
    </border>
    <border>
      <left style="thin">
        <color indexed="64"/>
      </left>
      <right style="thin">
        <color rgb="FF002060"/>
      </right>
      <top/>
      <bottom/>
      <diagonal/>
    </border>
    <border>
      <left style="thin">
        <color rgb="FF002060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0">
    <xf numFmtId="0" fontId="0" fillId="0" borderId="0" xfId="0"/>
    <xf numFmtId="0" fontId="4" fillId="0" borderId="0" xfId="0" applyFont="1"/>
    <xf numFmtId="0" fontId="6" fillId="2" borderId="1" xfId="0" applyFont="1" applyFill="1" applyBorder="1"/>
    <xf numFmtId="164" fontId="6" fillId="2" borderId="1" xfId="1" applyNumberFormat="1" applyFont="1" applyFill="1" applyBorder="1"/>
    <xf numFmtId="0" fontId="3" fillId="3" borderId="1" xfId="0" applyFont="1" applyFill="1" applyBorder="1"/>
    <xf numFmtId="164" fontId="3" fillId="3" borderId="1" xfId="1" applyNumberFormat="1" applyFont="1" applyFill="1" applyBorder="1"/>
    <xf numFmtId="0" fontId="3" fillId="4" borderId="0" xfId="0" applyFont="1" applyFill="1"/>
    <xf numFmtId="0" fontId="4" fillId="5" borderId="0" xfId="0" applyFont="1" applyFill="1"/>
    <xf numFmtId="164" fontId="5" fillId="5" borderId="0" xfId="1" applyNumberFormat="1" applyFont="1" applyFill="1"/>
    <xf numFmtId="164" fontId="4" fillId="5" borderId="0" xfId="1" applyNumberFormat="1" applyFont="1" applyFill="1"/>
    <xf numFmtId="0" fontId="6" fillId="5" borderId="1" xfId="0" applyFont="1" applyFill="1" applyBorder="1"/>
    <xf numFmtId="164" fontId="6" fillId="5" borderId="1" xfId="1" applyNumberFormat="1" applyFont="1" applyFill="1" applyBorder="1"/>
    <xf numFmtId="0" fontId="6" fillId="5" borderId="0" xfId="0" applyFont="1" applyFill="1"/>
    <xf numFmtId="164" fontId="6" fillId="5" borderId="0" xfId="1" applyNumberFormat="1" applyFont="1" applyFill="1" applyBorder="1"/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9" fillId="2" borderId="0" xfId="0" applyFont="1" applyFill="1" applyAlignment="1">
      <alignment horizontal="centerContinuous"/>
    </xf>
    <xf numFmtId="0" fontId="9" fillId="2" borderId="2" xfId="0" applyFont="1" applyFill="1" applyBorder="1" applyAlignment="1">
      <alignment horizontal="right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164" fontId="10" fillId="5" borderId="0" xfId="1" applyNumberFormat="1" applyFont="1" applyFill="1"/>
    <xf numFmtId="0" fontId="11" fillId="0" borderId="0" xfId="0" applyFont="1"/>
    <xf numFmtId="4" fontId="0" fillId="0" borderId="0" xfId="0" applyNumberFormat="1"/>
    <xf numFmtId="0" fontId="12" fillId="0" borderId="0" xfId="0" applyFont="1" applyAlignment="1">
      <alignment horizontal="center"/>
    </xf>
    <xf numFmtId="0" fontId="13" fillId="0" borderId="0" xfId="0" applyFont="1"/>
    <xf numFmtId="0" fontId="15" fillId="0" borderId="0" xfId="0" applyFont="1"/>
    <xf numFmtId="43" fontId="1" fillId="0" borderId="0" xfId="1" applyFont="1" applyFill="1"/>
    <xf numFmtId="165" fontId="1" fillId="0" borderId="0" xfId="1" applyNumberFormat="1" applyFont="1" applyFill="1"/>
    <xf numFmtId="0" fontId="1" fillId="0" borderId="0" xfId="1" applyNumberFormat="1" applyFont="1" applyFill="1"/>
    <xf numFmtId="43" fontId="16" fillId="0" borderId="0" xfId="1" applyFont="1" applyFill="1"/>
    <xf numFmtId="165" fontId="17" fillId="0" borderId="0" xfId="1" applyNumberFormat="1" applyFont="1" applyFill="1"/>
    <xf numFmtId="0" fontId="17" fillId="0" borderId="0" xfId="1" applyNumberFormat="1" applyFont="1" applyFill="1" applyAlignment="1">
      <alignment horizontal="center"/>
    </xf>
    <xf numFmtId="0" fontId="0" fillId="0" borderId="0" xfId="0" quotePrefix="1"/>
    <xf numFmtId="0" fontId="11" fillId="0" borderId="14" xfId="0" applyFont="1" applyBorder="1"/>
    <xf numFmtId="0" fontId="18" fillId="0" borderId="0" xfId="0" applyFont="1"/>
    <xf numFmtId="0" fontId="0" fillId="0" borderId="0" xfId="0" applyAlignment="1">
      <alignment horizontal="center"/>
    </xf>
    <xf numFmtId="4" fontId="13" fillId="0" borderId="0" xfId="0" applyNumberFormat="1" applyFont="1" applyAlignment="1">
      <alignment horizontal="right" vertical="top" wrapText="1"/>
    </xf>
    <xf numFmtId="43" fontId="0" fillId="0" borderId="0" xfId="0" applyNumberFormat="1"/>
    <xf numFmtId="0" fontId="11" fillId="0" borderId="0" xfId="0" quotePrefix="1" applyFont="1"/>
    <xf numFmtId="0" fontId="19" fillId="0" borderId="0" xfId="0" applyFont="1"/>
    <xf numFmtId="165" fontId="20" fillId="0" borderId="0" xfId="1" applyNumberFormat="1" applyFont="1" applyFill="1"/>
    <xf numFmtId="0" fontId="24" fillId="0" borderId="0" xfId="0" applyFont="1"/>
    <xf numFmtId="43" fontId="24" fillId="0" borderId="0" xfId="1" applyFont="1"/>
    <xf numFmtId="0" fontId="23" fillId="0" borderId="0" xfId="0" applyFont="1"/>
    <xf numFmtId="0" fontId="23" fillId="0" borderId="14" xfId="0" applyFont="1" applyBorder="1"/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43" fontId="25" fillId="0" borderId="3" xfId="1" applyFont="1" applyBorder="1"/>
    <xf numFmtId="0" fontId="23" fillId="0" borderId="4" xfId="0" applyFont="1" applyBorder="1"/>
    <xf numFmtId="43" fontId="23" fillId="0" borderId="4" xfId="1" applyFont="1" applyBorder="1"/>
    <xf numFmtId="0" fontId="24" fillId="0" borderId="4" xfId="0" applyFont="1" applyBorder="1"/>
    <xf numFmtId="43" fontId="24" fillId="0" borderId="4" xfId="1" applyFont="1" applyBorder="1"/>
    <xf numFmtId="0" fontId="24" fillId="0" borderId="4" xfId="0" quotePrefix="1" applyFont="1" applyBorder="1"/>
    <xf numFmtId="43" fontId="24" fillId="6" borderId="4" xfId="1" applyFont="1" applyFill="1" applyBorder="1" applyAlignment="1">
      <alignment horizontal="right"/>
    </xf>
    <xf numFmtId="43" fontId="25" fillId="6" borderId="4" xfId="1" applyFont="1" applyFill="1" applyBorder="1" applyAlignment="1">
      <alignment horizontal="right"/>
    </xf>
    <xf numFmtId="43" fontId="26" fillId="0" borderId="11" xfId="1" applyFont="1" applyFill="1" applyBorder="1" applyAlignment="1">
      <alignment horizontal="center" vertical="center"/>
    </xf>
    <xf numFmtId="43" fontId="27" fillId="0" borderId="1" xfId="1" applyFont="1" applyFill="1" applyBorder="1"/>
    <xf numFmtId="43" fontId="26" fillId="0" borderId="12" xfId="1" applyFont="1" applyFill="1" applyBorder="1" applyAlignment="1">
      <alignment horizontal="center" vertical="center"/>
    </xf>
    <xf numFmtId="43" fontId="26" fillId="0" borderId="13" xfId="1" applyFont="1" applyFill="1" applyBorder="1" applyAlignment="1">
      <alignment horizontal="center" vertical="center"/>
    </xf>
    <xf numFmtId="165" fontId="28" fillId="0" borderId="0" xfId="1" applyNumberFormat="1" applyFont="1" applyFill="1"/>
    <xf numFmtId="4" fontId="28" fillId="0" borderId="0" xfId="0" applyNumberFormat="1" applyFont="1"/>
    <xf numFmtId="43" fontId="28" fillId="0" borderId="0" xfId="1" applyFont="1" applyFill="1" applyBorder="1" applyAlignment="1">
      <alignment horizontal="center"/>
    </xf>
    <xf numFmtId="43" fontId="28" fillId="0" borderId="0" xfId="1" applyFont="1" applyFill="1"/>
    <xf numFmtId="9" fontId="29" fillId="0" borderId="0" xfId="0" applyNumberFormat="1" applyFont="1" applyAlignment="1">
      <alignment horizontal="center"/>
    </xf>
    <xf numFmtId="9" fontId="29" fillId="0" borderId="0" xfId="2" applyFont="1" applyFill="1" applyBorder="1" applyAlignment="1">
      <alignment horizontal="center"/>
    </xf>
    <xf numFmtId="43" fontId="28" fillId="0" borderId="0" xfId="1" applyFont="1" applyFill="1" applyAlignment="1">
      <alignment horizontal="left"/>
    </xf>
    <xf numFmtId="43" fontId="28" fillId="0" borderId="0" xfId="1" applyFont="1" applyFill="1" applyAlignment="1">
      <alignment horizontal="right"/>
    </xf>
    <xf numFmtId="43" fontId="26" fillId="0" borderId="9" xfId="1" applyFont="1" applyFill="1" applyBorder="1"/>
    <xf numFmtId="0" fontId="26" fillId="0" borderId="0" xfId="1" applyNumberFormat="1" applyFont="1" applyFill="1"/>
    <xf numFmtId="165" fontId="28" fillId="0" borderId="0" xfId="1" applyNumberFormat="1" applyFont="1" applyFill="1" applyBorder="1"/>
    <xf numFmtId="0" fontId="28" fillId="0" borderId="0" xfId="1" applyNumberFormat="1" applyFont="1" applyFill="1"/>
    <xf numFmtId="43" fontId="28" fillId="0" borderId="0" xfId="1" applyFont="1" applyFill="1" applyBorder="1"/>
    <xf numFmtId="43" fontId="26" fillId="0" borderId="0" xfId="1" applyFont="1" applyFill="1" applyAlignment="1">
      <alignment horizontal="right"/>
    </xf>
    <xf numFmtId="0" fontId="28" fillId="0" borderId="0" xfId="1" applyNumberFormat="1" applyFont="1" applyFill="1" applyAlignment="1">
      <alignment horizontal="center"/>
    </xf>
    <xf numFmtId="43" fontId="28" fillId="0" borderId="0" xfId="1" applyFont="1" applyFill="1" applyAlignment="1">
      <alignment horizontal="center"/>
    </xf>
    <xf numFmtId="43" fontId="26" fillId="0" borderId="0" xfId="1" quotePrefix="1" applyFont="1" applyFill="1" applyAlignment="1">
      <alignment horizontal="right"/>
    </xf>
    <xf numFmtId="165" fontId="26" fillId="0" borderId="0" xfId="1" applyNumberFormat="1" applyFont="1" applyFill="1" applyBorder="1" applyAlignment="1">
      <alignment horizontal="center"/>
    </xf>
    <xf numFmtId="0" fontId="30" fillId="0" borderId="0" xfId="1" applyNumberFormat="1" applyFont="1" applyFill="1" applyAlignment="1">
      <alignment horizontal="center"/>
    </xf>
    <xf numFmtId="43" fontId="30" fillId="0" borderId="0" xfId="1" applyFont="1" applyFill="1" applyAlignment="1">
      <alignment horizontal="center"/>
    </xf>
    <xf numFmtId="0" fontId="28" fillId="0" borderId="0" xfId="1" applyNumberFormat="1" applyFont="1" applyFill="1" applyBorder="1"/>
    <xf numFmtId="43" fontId="31" fillId="0" borderId="0" xfId="1" applyFont="1" applyFill="1"/>
    <xf numFmtId="165" fontId="26" fillId="0" borderId="9" xfId="1" applyNumberFormat="1" applyFont="1" applyFill="1" applyBorder="1"/>
    <xf numFmtId="43" fontId="27" fillId="0" borderId="0" xfId="1" applyFont="1" applyFill="1"/>
    <xf numFmtId="165" fontId="27" fillId="0" borderId="0" xfId="1" applyNumberFormat="1" applyFont="1" applyFill="1"/>
    <xf numFmtId="0" fontId="27" fillId="0" borderId="0" xfId="1" applyNumberFormat="1" applyFont="1" applyFill="1"/>
    <xf numFmtId="0" fontId="11" fillId="0" borderId="4" xfId="0" applyFont="1" applyBorder="1"/>
    <xf numFmtId="0" fontId="0" fillId="0" borderId="4" xfId="0" applyBorder="1"/>
    <xf numFmtId="43" fontId="0" fillId="0" borderId="4" xfId="1" applyFont="1" applyBorder="1"/>
    <xf numFmtId="0" fontId="11" fillId="0" borderId="15" xfId="0" applyFont="1" applyBorder="1"/>
    <xf numFmtId="43" fontId="32" fillId="0" borderId="16" xfId="0" applyNumberFormat="1" applyFont="1" applyBorder="1"/>
    <xf numFmtId="0" fontId="33" fillId="0" borderId="0" xfId="0" applyFont="1"/>
    <xf numFmtId="0" fontId="34" fillId="0" borderId="4" xfId="0" applyFont="1" applyBorder="1"/>
    <xf numFmtId="43" fontId="34" fillId="0" borderId="4" xfId="1" applyFont="1" applyBorder="1"/>
    <xf numFmtId="0" fontId="34" fillId="0" borderId="17" xfId="0" applyFont="1" applyBorder="1"/>
    <xf numFmtId="0" fontId="33" fillId="0" borderId="8" xfId="0" applyFont="1" applyBorder="1"/>
    <xf numFmtId="0" fontId="33" fillId="0" borderId="18" xfId="0" applyFont="1" applyBorder="1"/>
    <xf numFmtId="0" fontId="33" fillId="0" borderId="5" xfId="0" applyFont="1" applyBorder="1"/>
    <xf numFmtId="0" fontId="33" fillId="0" borderId="6" xfId="0" applyFont="1" applyBorder="1"/>
    <xf numFmtId="0" fontId="33" fillId="0" borderId="4" xfId="0" applyFont="1" applyBorder="1"/>
    <xf numFmtId="0" fontId="33" fillId="0" borderId="7" xfId="0" applyFont="1" applyBorder="1"/>
    <xf numFmtId="43" fontId="33" fillId="0" borderId="4" xfId="0" applyNumberFormat="1" applyFont="1" applyBorder="1"/>
    <xf numFmtId="43" fontId="33" fillId="0" borderId="7" xfId="0" applyNumberFormat="1" applyFont="1" applyBorder="1"/>
    <xf numFmtId="0" fontId="33" fillId="0" borderId="10" xfId="0" applyFont="1" applyBorder="1"/>
    <xf numFmtId="43" fontId="35" fillId="0" borderId="10" xfId="0" applyNumberFormat="1" applyFont="1" applyBorder="1"/>
    <xf numFmtId="43" fontId="35" fillId="0" borderId="17" xfId="0" applyNumberFormat="1" applyFont="1" applyBorder="1"/>
    <xf numFmtId="0" fontId="36" fillId="0" borderId="0" xfId="0" applyFont="1"/>
    <xf numFmtId="0" fontId="37" fillId="0" borderId="0" xfId="0" applyFont="1"/>
    <xf numFmtId="0" fontId="14" fillId="0" borderId="4" xfId="0" applyFont="1" applyBorder="1"/>
    <xf numFmtId="0" fontId="14" fillId="0" borderId="4" xfId="0" quotePrefix="1" applyFont="1" applyBorder="1"/>
    <xf numFmtId="0" fontId="34" fillId="0" borderId="0" xfId="0" applyFont="1"/>
    <xf numFmtId="43" fontId="25" fillId="6" borderId="0" xfId="1" applyFont="1" applyFill="1" applyBorder="1" applyAlignment="1">
      <alignment horizontal="right"/>
    </xf>
    <xf numFmtId="43" fontId="38" fillId="0" borderId="4" xfId="1" applyFont="1" applyBorder="1"/>
    <xf numFmtId="43" fontId="23" fillId="6" borderId="0" xfId="1" applyFont="1" applyFill="1" applyBorder="1" applyAlignment="1">
      <alignment horizontal="right"/>
    </xf>
    <xf numFmtId="43" fontId="23" fillId="6" borderId="5" xfId="1" applyFont="1" applyFill="1" applyBorder="1" applyAlignment="1">
      <alignment horizontal="right"/>
    </xf>
    <xf numFmtId="43" fontId="24" fillId="0" borderId="4" xfId="0" applyNumberFormat="1" applyFont="1" applyBorder="1"/>
    <xf numFmtId="43" fontId="43" fillId="0" borderId="4" xfId="1" applyFont="1" applyBorder="1"/>
    <xf numFmtId="43" fontId="43" fillId="0" borderId="7" xfId="1" applyFont="1" applyBorder="1"/>
    <xf numFmtId="43" fontId="33" fillId="0" borderId="4" xfId="1" applyFont="1" applyBorder="1"/>
    <xf numFmtId="43" fontId="0" fillId="0" borderId="0" xfId="1" applyFont="1"/>
    <xf numFmtId="0" fontId="44" fillId="0" borderId="0" xfId="0" applyFont="1"/>
    <xf numFmtId="0" fontId="45" fillId="7" borderId="4" xfId="0" applyFont="1" applyFill="1" applyBorder="1" applyAlignment="1">
      <alignment vertical="center"/>
    </xf>
    <xf numFmtId="0" fontId="46" fillId="8" borderId="4" xfId="0" applyFont="1" applyFill="1" applyBorder="1" applyAlignment="1">
      <alignment vertical="center"/>
    </xf>
    <xf numFmtId="0" fontId="47" fillId="7" borderId="4" xfId="0" applyFont="1" applyFill="1" applyBorder="1" applyAlignment="1">
      <alignment vertical="center"/>
    </xf>
    <xf numFmtId="0" fontId="49" fillId="0" borderId="0" xfId="0" applyFont="1"/>
    <xf numFmtId="0" fontId="45" fillId="0" borderId="4" xfId="0" applyFont="1" applyBorder="1" applyAlignment="1">
      <alignment horizontal="left"/>
    </xf>
    <xf numFmtId="0" fontId="47" fillId="0" borderId="4" xfId="0" applyFont="1" applyBorder="1" applyAlignment="1">
      <alignment horizontal="left"/>
    </xf>
    <xf numFmtId="0" fontId="45" fillId="0" borderId="4" xfId="0" applyFont="1" applyBorder="1" applyAlignment="1">
      <alignment horizontal="left" vertical="center"/>
    </xf>
    <xf numFmtId="0" fontId="50" fillId="0" borderId="4" xfId="0" applyFont="1" applyBorder="1" applyAlignment="1">
      <alignment horizontal="left"/>
    </xf>
    <xf numFmtId="0" fontId="51" fillId="9" borderId="4" xfId="0" applyFont="1" applyFill="1" applyBorder="1" applyAlignment="1">
      <alignment horizontal="center" vertical="center"/>
    </xf>
    <xf numFmtId="0" fontId="0" fillId="0" borderId="4" xfId="0" quotePrefix="1" applyBorder="1"/>
    <xf numFmtId="0" fontId="11" fillId="0" borderId="4" xfId="0" quotePrefix="1" applyFont="1" applyBorder="1"/>
    <xf numFmtId="0" fontId="18" fillId="0" borderId="4" xfId="0" applyFont="1" applyBorder="1"/>
    <xf numFmtId="0" fontId="19" fillId="0" borderId="4" xfId="0" applyFont="1" applyBorder="1"/>
    <xf numFmtId="0" fontId="39" fillId="0" borderId="4" xfId="0" applyFont="1" applyBorder="1"/>
    <xf numFmtId="4" fontId="19" fillId="0" borderId="4" xfId="0" applyNumberFormat="1" applyFont="1" applyBorder="1"/>
    <xf numFmtId="0" fontId="19" fillId="0" borderId="4" xfId="0" applyFont="1" applyBorder="1" applyAlignment="1">
      <alignment horizontal="right"/>
    </xf>
    <xf numFmtId="0" fontId="42" fillId="0" borderId="4" xfId="0" applyFont="1" applyBorder="1" applyAlignment="1">
      <alignment horizontal="center"/>
    </xf>
    <xf numFmtId="4" fontId="18" fillId="0" borderId="4" xfId="0" applyNumberFormat="1" applyFont="1" applyBorder="1"/>
    <xf numFmtId="0" fontId="45" fillId="0" borderId="4" xfId="0" applyFont="1" applyBorder="1" applyAlignment="1">
      <alignment vertical="center"/>
    </xf>
    <xf numFmtId="0" fontId="48" fillId="0" borderId="4" xfId="0" applyFont="1" applyBorder="1"/>
    <xf numFmtId="0" fontId="41" fillId="0" borderId="4" xfId="0" applyFont="1" applyBorder="1"/>
    <xf numFmtId="4" fontId="0" fillId="0" borderId="4" xfId="0" applyNumberFormat="1" applyBorder="1"/>
    <xf numFmtId="6" fontId="0" fillId="0" borderId="4" xfId="0" applyNumberFormat="1" applyBorder="1"/>
    <xf numFmtId="0" fontId="11" fillId="9" borderId="4" xfId="0" quotePrefix="1" applyFont="1" applyFill="1" applyBorder="1"/>
    <xf numFmtId="0" fontId="18" fillId="9" borderId="4" xfId="0" applyFont="1" applyFill="1" applyBorder="1"/>
    <xf numFmtId="0" fontId="39" fillId="9" borderId="4" xfId="0" applyFont="1" applyFill="1" applyBorder="1"/>
    <xf numFmtId="0" fontId="0" fillId="9" borderId="4" xfId="0" applyFill="1" applyBorder="1"/>
    <xf numFmtId="0" fontId="19" fillId="9" borderId="4" xfId="0" applyFont="1" applyFill="1" applyBorder="1"/>
    <xf numFmtId="0" fontId="11" fillId="0" borderId="19" xfId="0" applyFont="1" applyBorder="1"/>
    <xf numFmtId="0" fontId="0" fillId="10" borderId="4" xfId="0" applyFill="1" applyBorder="1"/>
    <xf numFmtId="0" fontId="18" fillId="10" borderId="4" xfId="0" applyFont="1" applyFill="1" applyBorder="1"/>
    <xf numFmtId="0" fontId="11" fillId="0" borderId="4" xfId="0" applyFont="1" applyBorder="1" applyAlignment="1">
      <alignment horizontal="left"/>
    </xf>
    <xf numFmtId="0" fontId="0" fillId="0" borderId="4" xfId="0" quotePrefix="1" applyBorder="1" applyAlignment="1">
      <alignment horizontal="center"/>
    </xf>
    <xf numFmtId="0" fontId="40" fillId="10" borderId="4" xfId="0" applyFont="1" applyFill="1" applyBorder="1"/>
    <xf numFmtId="4" fontId="13" fillId="10" borderId="4" xfId="0" applyNumberFormat="1" applyFont="1" applyFill="1" applyBorder="1" applyAlignment="1">
      <alignment horizontal="right" vertical="top" wrapText="1"/>
    </xf>
    <xf numFmtId="0" fontId="51" fillId="9" borderId="6" xfId="0" applyFont="1" applyFill="1" applyBorder="1" applyAlignment="1">
      <alignment horizontal="center" vertical="center"/>
    </xf>
    <xf numFmtId="0" fontId="11" fillId="11" borderId="4" xfId="0" quotePrefix="1" applyFont="1" applyFill="1" applyBorder="1"/>
    <xf numFmtId="0" fontId="0" fillId="11" borderId="4" xfId="0" quotePrefix="1" applyFill="1" applyBorder="1"/>
    <xf numFmtId="0" fontId="11" fillId="11" borderId="4" xfId="0" applyFont="1" applyFill="1" applyBorder="1"/>
    <xf numFmtId="0" fontId="0" fillId="0" borderId="20" xfId="0" applyBorder="1"/>
    <xf numFmtId="0" fontId="0" fillId="0" borderId="21" xfId="0" applyBorder="1"/>
    <xf numFmtId="0" fontId="0" fillId="0" borderId="25" xfId="0" applyBorder="1"/>
    <xf numFmtId="0" fontId="11" fillId="0" borderId="25" xfId="0" applyFont="1" applyBorder="1"/>
    <xf numFmtId="0" fontId="14" fillId="0" borderId="7" xfId="0" applyFont="1" applyBorder="1"/>
    <xf numFmtId="0" fontId="14" fillId="0" borderId="7" xfId="0" quotePrefix="1" applyFont="1" applyBorder="1"/>
    <xf numFmtId="0" fontId="23" fillId="12" borderId="25" xfId="0" applyFont="1" applyFill="1" applyBorder="1" applyAlignment="1">
      <alignment horizontal="center" vertical="center"/>
    </xf>
    <xf numFmtId="0" fontId="24" fillId="12" borderId="25" xfId="0" applyFont="1" applyFill="1" applyBorder="1" applyAlignment="1">
      <alignment horizontal="center" vertical="center"/>
    </xf>
    <xf numFmtId="43" fontId="24" fillId="12" borderId="25" xfId="1" applyFont="1" applyFill="1" applyBorder="1" applyAlignment="1">
      <alignment horizontal="center" vertical="center"/>
    </xf>
    <xf numFmtId="43" fontId="14" fillId="0" borderId="7" xfId="1" applyFont="1" applyFill="1" applyBorder="1" applyAlignment="1">
      <alignment horizontal="right"/>
    </xf>
    <xf numFmtId="43" fontId="14" fillId="0" borderId="4" xfId="1" applyFont="1" applyFill="1" applyBorder="1" applyAlignment="1">
      <alignment horizontal="right"/>
    </xf>
    <xf numFmtId="0" fontId="14" fillId="0" borderId="5" xfId="0" applyFont="1" applyBorder="1"/>
    <xf numFmtId="0" fontId="14" fillId="0" borderId="5" xfId="0" quotePrefix="1" applyFont="1" applyBorder="1"/>
    <xf numFmtId="43" fontId="14" fillId="0" borderId="5" xfId="1" applyFont="1" applyFill="1" applyBorder="1" applyAlignment="1">
      <alignment horizontal="right"/>
    </xf>
    <xf numFmtId="0" fontId="23" fillId="12" borderId="25" xfId="0" applyFont="1" applyFill="1" applyBorder="1"/>
    <xf numFmtId="0" fontId="24" fillId="12" borderId="25" xfId="0" applyFont="1" applyFill="1" applyBorder="1"/>
    <xf numFmtId="43" fontId="23" fillId="12" borderId="25" xfId="1" applyFont="1" applyFill="1" applyBorder="1"/>
    <xf numFmtId="0" fontId="23" fillId="12" borderId="26" xfId="0" applyFont="1" applyFill="1" applyBorder="1"/>
    <xf numFmtId="0" fontId="24" fillId="12" borderId="26" xfId="0" applyFont="1" applyFill="1" applyBorder="1"/>
    <xf numFmtId="43" fontId="23" fillId="12" borderId="26" xfId="1" applyFont="1" applyFill="1" applyBorder="1"/>
    <xf numFmtId="43" fontId="14" fillId="0" borderId="7" xfId="1" applyFont="1" applyFill="1" applyBorder="1"/>
    <xf numFmtId="43" fontId="14" fillId="0" borderId="4" xfId="1" applyFont="1" applyFill="1" applyBorder="1"/>
    <xf numFmtId="0" fontId="23" fillId="0" borderId="26" xfId="0" applyFont="1" applyBorder="1"/>
    <xf numFmtId="0" fontId="24" fillId="0" borderId="26" xfId="0" applyFont="1" applyBorder="1"/>
    <xf numFmtId="43" fontId="23" fillId="0" borderId="26" xfId="1" applyFont="1" applyFill="1" applyBorder="1"/>
    <xf numFmtId="43" fontId="14" fillId="0" borderId="6" xfId="1" applyFont="1" applyFill="1" applyBorder="1" applyAlignment="1">
      <alignment horizontal="right"/>
    </xf>
    <xf numFmtId="0" fontId="14" fillId="0" borderId="25" xfId="0" applyFont="1" applyBorder="1"/>
    <xf numFmtId="0" fontId="33" fillId="0" borderId="25" xfId="0" applyFont="1" applyBorder="1"/>
    <xf numFmtId="0" fontId="11" fillId="0" borderId="25" xfId="0" applyFont="1" applyBorder="1" applyAlignment="1">
      <alignment horizontal="center" vertical="center"/>
    </xf>
    <xf numFmtId="0" fontId="54" fillId="12" borderId="25" xfId="0" applyFont="1" applyFill="1" applyBorder="1"/>
    <xf numFmtId="43" fontId="34" fillId="12" borderId="25" xfId="0" applyNumberFormat="1" applyFont="1" applyFill="1" applyBorder="1"/>
    <xf numFmtId="0" fontId="11" fillId="0" borderId="28" xfId="0" applyFont="1" applyBorder="1" applyAlignment="1">
      <alignment horizontal="center" vertical="center"/>
    </xf>
    <xf numFmtId="10" fontId="33" fillId="0" borderId="28" xfId="0" applyNumberFormat="1" applyFont="1" applyBorder="1"/>
    <xf numFmtId="10" fontId="34" fillId="12" borderId="28" xfId="0" applyNumberFormat="1" applyFont="1" applyFill="1" applyBorder="1"/>
    <xf numFmtId="0" fontId="11" fillId="0" borderId="4" xfId="0" applyFont="1" applyBorder="1" applyAlignment="1">
      <alignment horizontal="center" vertical="center"/>
    </xf>
    <xf numFmtId="43" fontId="24" fillId="12" borderId="22" xfId="1" applyFont="1" applyFill="1" applyBorder="1" applyAlignment="1">
      <alignment vertical="center"/>
    </xf>
    <xf numFmtId="43" fontId="24" fillId="0" borderId="0" xfId="1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9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1" fillId="0" borderId="19" xfId="0" applyFont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11" fillId="0" borderId="17" xfId="0" applyFont="1" applyBorder="1" applyAlignment="1">
      <alignment horizontal="center" wrapText="1"/>
    </xf>
    <xf numFmtId="0" fontId="52" fillId="0" borderId="19" xfId="0" applyFont="1" applyBorder="1" applyAlignment="1">
      <alignment horizontal="center" vertical="center" wrapText="1"/>
    </xf>
    <xf numFmtId="0" fontId="52" fillId="0" borderId="10" xfId="0" applyFont="1" applyBorder="1" applyAlignment="1">
      <alignment horizontal="center" vertical="center" wrapText="1"/>
    </xf>
    <xf numFmtId="0" fontId="52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55" fillId="0" borderId="34" xfId="0" applyFont="1" applyBorder="1" applyAlignment="1">
      <alignment horizontal="left" wrapText="1"/>
    </xf>
    <xf numFmtId="0" fontId="55" fillId="0" borderId="0" xfId="0" applyFont="1" applyAlignment="1">
      <alignment horizontal="left" wrapText="1"/>
    </xf>
    <xf numFmtId="0" fontId="55" fillId="0" borderId="35" xfId="0" applyFont="1" applyBorder="1" applyAlignment="1">
      <alignment horizontal="left" wrapText="1"/>
    </xf>
    <xf numFmtId="0" fontId="11" fillId="12" borderId="27" xfId="0" applyFont="1" applyFill="1" applyBorder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22" fillId="0" borderId="0" xfId="0" applyFont="1" applyAlignment="1">
      <alignment horizontal="left"/>
    </xf>
    <xf numFmtId="0" fontId="55" fillId="0" borderId="29" xfId="0" applyFont="1" applyBorder="1" applyAlignment="1">
      <alignment horizontal="left" wrapText="1"/>
    </xf>
    <xf numFmtId="0" fontId="55" fillId="0" borderId="23" xfId="0" applyFont="1" applyBorder="1" applyAlignment="1">
      <alignment horizontal="left" wrapText="1"/>
    </xf>
    <xf numFmtId="0" fontId="55" fillId="0" borderId="24" xfId="0" applyFont="1" applyBorder="1" applyAlignment="1">
      <alignment horizontal="left" wrapText="1"/>
    </xf>
    <xf numFmtId="0" fontId="55" fillId="0" borderId="30" xfId="0" applyFont="1" applyBorder="1" applyAlignment="1">
      <alignment horizontal="left" wrapText="1"/>
    </xf>
    <xf numFmtId="0" fontId="55" fillId="0" borderId="31" xfId="0" applyFont="1" applyBorder="1" applyAlignment="1">
      <alignment horizontal="left" wrapText="1"/>
    </xf>
    <xf numFmtId="0" fontId="55" fillId="0" borderId="32" xfId="0" applyFont="1" applyBorder="1" applyAlignment="1">
      <alignment horizontal="left" wrapText="1"/>
    </xf>
    <xf numFmtId="0" fontId="52" fillId="0" borderId="15" xfId="0" applyFont="1" applyBorder="1" applyAlignment="1">
      <alignment horizontal="center" vertical="center" wrapText="1"/>
    </xf>
    <xf numFmtId="0" fontId="52" fillId="0" borderId="33" xfId="0" applyFont="1" applyBorder="1" applyAlignment="1">
      <alignment horizontal="center" vertical="center" wrapText="1"/>
    </xf>
    <xf numFmtId="0" fontId="52" fillId="0" borderId="16" xfId="0" applyFont="1" applyBorder="1" applyAlignment="1">
      <alignment horizontal="center" vertical="center" wrapText="1"/>
    </xf>
    <xf numFmtId="0" fontId="55" fillId="0" borderId="29" xfId="0" applyFont="1" applyBorder="1" applyAlignment="1">
      <alignment horizontal="center" vertical="top" wrapText="1"/>
    </xf>
    <xf numFmtId="0" fontId="55" fillId="0" borderId="23" xfId="0" applyFont="1" applyBorder="1" applyAlignment="1">
      <alignment horizontal="center" vertical="top" wrapText="1"/>
    </xf>
    <xf numFmtId="0" fontId="55" fillId="0" borderId="24" xfId="0" applyFont="1" applyBorder="1" applyAlignment="1">
      <alignment horizontal="center" vertical="top" wrapText="1"/>
    </xf>
    <xf numFmtId="0" fontId="55" fillId="0" borderId="34" xfId="0" applyFont="1" applyBorder="1" applyAlignment="1">
      <alignment horizontal="left" vertical="top" wrapText="1"/>
    </xf>
    <xf numFmtId="0" fontId="55" fillId="0" borderId="0" xfId="0" applyFont="1" applyAlignment="1">
      <alignment horizontal="left" vertical="top" wrapText="1"/>
    </xf>
    <xf numFmtId="0" fontId="55" fillId="0" borderId="35" xfId="0" applyFont="1" applyBorder="1" applyAlignment="1">
      <alignment horizontal="left" vertical="top" wrapText="1"/>
    </xf>
    <xf numFmtId="0" fontId="16" fillId="10" borderId="19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6" fillId="10" borderId="17" xfId="0" applyFont="1" applyFill="1" applyBorder="1" applyAlignment="1">
      <alignment horizontal="center"/>
    </xf>
    <xf numFmtId="0" fontId="18" fillId="11" borderId="19" xfId="0" applyFont="1" applyFill="1" applyBorder="1" applyAlignment="1">
      <alignment horizontal="left"/>
    </xf>
    <xf numFmtId="0" fontId="18" fillId="11" borderId="10" xfId="0" applyFont="1" applyFill="1" applyBorder="1" applyAlignment="1">
      <alignment horizontal="left"/>
    </xf>
    <xf numFmtId="0" fontId="18" fillId="11" borderId="17" xfId="0" applyFont="1" applyFill="1" applyBorder="1" applyAlignment="1">
      <alignment horizontal="left"/>
    </xf>
    <xf numFmtId="0" fontId="11" fillId="10" borderId="19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1" fillId="10" borderId="17" xfId="0" applyFont="1" applyFill="1" applyBorder="1" applyAlignment="1">
      <alignment horizontal="center"/>
    </xf>
    <xf numFmtId="0" fontId="53" fillId="0" borderId="22" xfId="0" applyFont="1" applyBorder="1" applyAlignment="1">
      <alignment horizontal="left"/>
    </xf>
    <xf numFmtId="0" fontId="53" fillId="0" borderId="23" xfId="0" applyFont="1" applyBorder="1" applyAlignment="1">
      <alignment horizontal="left"/>
    </xf>
    <xf numFmtId="0" fontId="53" fillId="0" borderId="24" xfId="0" applyFont="1" applyBorder="1" applyAlignment="1">
      <alignment horizontal="left"/>
    </xf>
    <xf numFmtId="0" fontId="34" fillId="11" borderId="19" xfId="0" applyFont="1" applyFill="1" applyBorder="1" applyAlignment="1">
      <alignment horizontal="left"/>
    </xf>
    <xf numFmtId="0" fontId="34" fillId="11" borderId="10" xfId="0" applyFont="1" applyFill="1" applyBorder="1" applyAlignment="1">
      <alignment horizontal="left"/>
    </xf>
    <xf numFmtId="0" fontId="34" fillId="11" borderId="17" xfId="0" applyFont="1" applyFill="1" applyBorder="1" applyAlignment="1">
      <alignment horizontal="left"/>
    </xf>
    <xf numFmtId="0" fontId="11" fillId="11" borderId="19" xfId="0" applyFont="1" applyFill="1" applyBorder="1" applyAlignment="1">
      <alignment horizontal="left"/>
    </xf>
    <xf numFmtId="0" fontId="11" fillId="11" borderId="10" xfId="0" applyFont="1" applyFill="1" applyBorder="1" applyAlignment="1">
      <alignment horizontal="left"/>
    </xf>
    <xf numFmtId="0" fontId="11" fillId="11" borderId="17" xfId="0" applyFont="1" applyFill="1" applyBorder="1" applyAlignment="1">
      <alignment horizontal="left"/>
    </xf>
    <xf numFmtId="0" fontId="52" fillId="10" borderId="19" xfId="0" applyFont="1" applyFill="1" applyBorder="1" applyAlignment="1">
      <alignment horizontal="center"/>
    </xf>
    <xf numFmtId="0" fontId="52" fillId="10" borderId="10" xfId="0" applyFont="1" applyFill="1" applyBorder="1" applyAlignment="1">
      <alignment horizontal="center"/>
    </xf>
    <xf numFmtId="0" fontId="52" fillId="10" borderId="17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43" fontId="16" fillId="0" borderId="3" xfId="1" applyFont="1" applyFill="1" applyBorder="1" applyAlignment="1">
      <alignment horizontal="center"/>
    </xf>
    <xf numFmtId="43" fontId="26" fillId="0" borderId="5" xfId="1" applyFont="1" applyFill="1" applyBorder="1" applyAlignment="1">
      <alignment horizontal="center" vertical="center"/>
    </xf>
    <xf numFmtId="43" fontId="26" fillId="0" borderId="12" xfId="1" applyFont="1" applyFill="1" applyBorder="1" applyAlignment="1">
      <alignment horizontal="center" vertical="center"/>
    </xf>
    <xf numFmtId="43" fontId="26" fillId="0" borderId="13" xfId="1" applyFont="1" applyFill="1" applyBorder="1" applyAlignment="1">
      <alignment horizontal="center" vertical="center"/>
    </xf>
    <xf numFmtId="43" fontId="26" fillId="0" borderId="11" xfId="1" applyFont="1" applyFill="1" applyBorder="1" applyAlignment="1">
      <alignment horizontal="center"/>
    </xf>
    <xf numFmtId="43" fontId="26" fillId="0" borderId="1" xfId="1" applyFont="1" applyFill="1" applyBorder="1" applyAlignment="1">
      <alignment horizontal="center"/>
    </xf>
    <xf numFmtId="0" fontId="26" fillId="0" borderId="5" xfId="1" applyNumberFormat="1" applyFont="1" applyFill="1" applyBorder="1" applyAlignment="1">
      <alignment horizontal="center" vertical="center" wrapText="1"/>
    </xf>
    <xf numFmtId="0" fontId="26" fillId="0" borderId="6" xfId="1" applyNumberFormat="1" applyFont="1" applyFill="1" applyBorder="1" applyAlignment="1">
      <alignment horizontal="center" vertical="center" wrapText="1"/>
    </xf>
    <xf numFmtId="0" fontId="26" fillId="0" borderId="7" xfId="1" applyNumberFormat="1" applyFont="1" applyFill="1" applyBorder="1" applyAlignment="1">
      <alignment horizontal="center" vertical="center" wrapText="1"/>
    </xf>
    <xf numFmtId="165" fontId="26" fillId="0" borderId="5" xfId="1" applyNumberFormat="1" applyFont="1" applyFill="1" applyBorder="1" applyAlignment="1">
      <alignment horizontal="center" vertical="center" wrapText="1"/>
    </xf>
    <xf numFmtId="165" fontId="26" fillId="0" borderId="6" xfId="1" applyNumberFormat="1" applyFont="1" applyFill="1" applyBorder="1" applyAlignment="1">
      <alignment horizontal="center" vertical="center" wrapText="1"/>
    </xf>
    <xf numFmtId="165" fontId="26" fillId="0" borderId="7" xfId="1" applyNumberFormat="1" applyFont="1" applyFill="1" applyBorder="1" applyAlignment="1">
      <alignment horizontal="center" vertical="center" wrapText="1"/>
    </xf>
    <xf numFmtId="165" fontId="26" fillId="0" borderId="5" xfId="1" applyNumberFormat="1" applyFont="1" applyFill="1" applyBorder="1" applyAlignment="1">
      <alignment horizontal="center" wrapText="1"/>
    </xf>
    <xf numFmtId="165" fontId="26" fillId="0" borderId="6" xfId="1" applyNumberFormat="1" applyFont="1" applyFill="1" applyBorder="1" applyAlignment="1">
      <alignment horizontal="center" wrapText="1"/>
    </xf>
    <xf numFmtId="165" fontId="26" fillId="0" borderId="7" xfId="1" applyNumberFormat="1" applyFont="1" applyFill="1" applyBorder="1" applyAlignment="1">
      <alignment horizontal="center" wrapText="1"/>
    </xf>
    <xf numFmtId="43" fontId="26" fillId="0" borderId="5" xfId="1" applyFont="1" applyFill="1" applyBorder="1" applyAlignment="1">
      <alignment horizontal="center" vertical="center" wrapText="1"/>
    </xf>
    <xf numFmtId="43" fontId="26" fillId="0" borderId="6" xfId="1" applyFont="1" applyFill="1" applyBorder="1" applyAlignment="1">
      <alignment horizontal="center" vertical="center" wrapText="1"/>
    </xf>
    <xf numFmtId="43" fontId="26" fillId="0" borderId="7" xfId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32E5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Profit Graph</a:t>
            </a:r>
          </a:p>
        </c:rich>
      </c:tx>
      <c:layout>
        <c:manualLayout>
          <c:xMode val="edge"/>
          <c:yMode val="edge"/>
          <c:x val="0.42707161604799398"/>
          <c:y val="2.035622865868480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'Profit Ratio (2)'!$D$4</c:f>
              <c:strCache>
                <c:ptCount val="1"/>
                <c:pt idx="0">
                  <c:v>Amount</c:v>
                </c:pt>
              </c:strCache>
            </c:strRef>
          </c:tx>
          <c:cat>
            <c:strRef>
              <c:f>'Profit Ratio (2)'!$C$5:$C$10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 Upto June -30,2022</c:v>
                </c:pt>
                <c:pt idx="5">
                  <c:v>Total</c:v>
                </c:pt>
              </c:strCache>
            </c:strRef>
          </c:cat>
          <c:val>
            <c:numRef>
              <c:f>'Profit Ratio (2)'!$D$5:$D$10</c:f>
              <c:numCache>
                <c:formatCode>_(* #,##0.00_);_(* \(#,##0.00\);_(* "-"??_);_(@_)</c:formatCode>
                <c:ptCount val="6"/>
                <c:pt idx="0">
                  <c:v>8435260.3000000007</c:v>
                </c:pt>
                <c:pt idx="1">
                  <c:v>10986182</c:v>
                </c:pt>
                <c:pt idx="2">
                  <c:v>5195756</c:v>
                </c:pt>
                <c:pt idx="3">
                  <c:v>2928291.3</c:v>
                </c:pt>
                <c:pt idx="4">
                  <c:v>12827936</c:v>
                </c:pt>
                <c:pt idx="5">
                  <c:v>40373425.600000001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1-4815-9D64-0E0986C50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97376"/>
        <c:axId val="50625536"/>
      </c:lineChart>
      <c:catAx>
        <c:axId val="49797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0625536"/>
        <c:crosses val="autoZero"/>
        <c:auto val="1"/>
        <c:lblAlgn val="ctr"/>
        <c:lblOffset val="100"/>
        <c:noMultiLvlLbl val="0"/>
      </c:catAx>
      <c:valAx>
        <c:axId val="5062553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spPr>
          <a:ln w="6350">
            <a:noFill/>
          </a:ln>
        </c:spPr>
        <c:crossAx val="497973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 Asset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8C-4639-A575-8598AFC59F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8C-4639-A575-8598AFC59F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8C-4639-A575-8598AFC59F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8C-4639-A575-8598AFC59F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A8C-4639-A575-8598AFC59F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A8C-4639-A575-8598AFC59F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A8C-4639-A575-8598AFC59F0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A8C-4639-A575-8598AFC59F0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A8C-4639-A575-8598AFC59F0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A8C-4639-A575-8598AFC59F02}"/>
              </c:ext>
            </c:extLst>
          </c:dPt>
          <c:dLbls>
            <c:dLbl>
              <c:idx val="0"/>
              <c:layout>
                <c:manualLayout>
                  <c:x val="1.344005939871281E-2"/>
                  <c:y val="-8.951415662862902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8C-4639-A575-8598AFC59F02}"/>
                </c:ext>
              </c:extLst>
            </c:dLbl>
            <c:dLbl>
              <c:idx val="1"/>
              <c:layout>
                <c:manualLayout>
                  <c:x val="5.6448249474594113E-2"/>
                  <c:y val="-3.077049134109125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8C-4639-A575-8598AFC59F02}"/>
                </c:ext>
              </c:extLst>
            </c:dLbl>
            <c:dLbl>
              <c:idx val="2"/>
              <c:layout>
                <c:manualLayout>
                  <c:x val="5.7792255414465504E-2"/>
                  <c:y val="1.958122176251259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8C-4639-A575-8598AFC59F02}"/>
                </c:ext>
              </c:extLst>
            </c:dLbl>
            <c:dLbl>
              <c:idx val="3"/>
              <c:layout>
                <c:manualLayout>
                  <c:x val="2.2848100977811942E-2"/>
                  <c:y val="6.993293486611643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8C-4639-A575-8598AFC59F02}"/>
                </c:ext>
              </c:extLst>
            </c:dLbl>
            <c:dLbl>
              <c:idx val="4"/>
              <c:layout>
                <c:manualLayout>
                  <c:x val="-2.6880118797425814E-3"/>
                  <c:y val="7.832488705005029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8C-4639-A575-8598AFC59F02}"/>
                </c:ext>
              </c:extLst>
            </c:dLbl>
            <c:dLbl>
              <c:idx val="5"/>
              <c:layout>
                <c:manualLayout>
                  <c:x val="-1.2096053458841715E-2"/>
                  <c:y val="-0.1007034262072076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8C-4639-A575-8598AFC59F02}"/>
                </c:ext>
              </c:extLst>
            </c:dLbl>
            <c:dLbl>
              <c:idx val="6"/>
              <c:layout>
                <c:manualLayout>
                  <c:x val="-1.0752047518970326E-2"/>
                  <c:y val="9.510879141791843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A8C-4639-A575-8598AFC59F02}"/>
                </c:ext>
              </c:extLst>
            </c:dLbl>
            <c:dLbl>
              <c:idx val="7"/>
              <c:layout>
                <c:manualLayout>
                  <c:x val="-1.6128071278455537E-2"/>
                  <c:y val="5.594634789289314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A8C-4639-A575-8598AFC59F02}"/>
                </c:ext>
              </c:extLst>
            </c:dLbl>
            <c:dLbl>
              <c:idx val="8"/>
              <c:layout>
                <c:manualLayout>
                  <c:x val="-4.8384213835366521E-2"/>
                  <c:y val="-5.03517131036038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A8C-4639-A575-8598AFC59F02}"/>
                </c:ext>
              </c:extLst>
            </c:dLbl>
            <c:dLbl>
              <c:idx val="9"/>
              <c:layout>
                <c:manualLayout>
                  <c:x val="-1.0752047518970326E-2"/>
                  <c:y val="-6.993293486611643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A8C-4639-A575-8598AFC59F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'Working Capital'!$C$39:$C$48</c:f>
              <c:strCache>
                <c:ptCount val="10"/>
                <c:pt idx="0">
                  <c:v>Stock and Stores</c:v>
                </c:pt>
                <c:pt idx="1">
                  <c:v>FDR (JBL+Bank Asia+Woori)</c:v>
                </c:pt>
                <c:pt idx="2">
                  <c:v>Accounts Receivable( Accessories)</c:v>
                </c:pt>
                <c:pt idx="3">
                  <c:v>Advance, deposit and Prepayment Lc party</c:v>
                </c:pt>
                <c:pt idx="4">
                  <c:v>Cash at Bank Balances</c:v>
                </c:pt>
                <c:pt idx="5">
                  <c:v>Security Fund </c:v>
                </c:pt>
                <c:pt idx="6">
                  <c:v>Margin Import Lc</c:v>
                </c:pt>
                <c:pt idx="7">
                  <c:v>Not yet Purchase ( Woori+JBL)</c:v>
                </c:pt>
                <c:pt idx="8">
                  <c:v>Short Term Investment</c:v>
                </c:pt>
                <c:pt idx="9">
                  <c:v>Fc Account (JBL+Woori)</c:v>
                </c:pt>
              </c:strCache>
            </c:strRef>
          </c:cat>
          <c:val>
            <c:numRef>
              <c:f>'Working Capital'!$E$39:$E$48</c:f>
              <c:numCache>
                <c:formatCode>0.00%</c:formatCode>
                <c:ptCount val="10"/>
                <c:pt idx="0">
                  <c:v>1.9978670901266354E-2</c:v>
                </c:pt>
                <c:pt idx="1">
                  <c:v>0.22851620250947338</c:v>
                </c:pt>
                <c:pt idx="2">
                  <c:v>0.17724738379636809</c:v>
                </c:pt>
                <c:pt idx="3">
                  <c:v>1.9548139417485011E-2</c:v>
                </c:pt>
                <c:pt idx="4">
                  <c:v>1.2733887723772956E-2</c:v>
                </c:pt>
                <c:pt idx="5">
                  <c:v>4.6096204143512981E-2</c:v>
                </c:pt>
                <c:pt idx="6">
                  <c:v>6.5979587665383865E-2</c:v>
                </c:pt>
                <c:pt idx="7">
                  <c:v>4.6096204143512981E-2</c:v>
                </c:pt>
                <c:pt idx="8">
                  <c:v>0.38128706084163866</c:v>
                </c:pt>
                <c:pt idx="9">
                  <c:v>2.5166588575857699E-3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E-4333-9A01-CFA1A17EE00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4</xdr:row>
      <xdr:rowOff>180974</xdr:rowOff>
    </xdr:from>
    <xdr:to>
      <xdr:col>13</xdr:col>
      <xdr:colOff>581024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599512</xdr:colOff>
      <xdr:row>49</xdr:row>
      <xdr:rowOff>79563</xdr:rowOff>
    </xdr:from>
    <xdr:to>
      <xdr:col>6</xdr:col>
      <xdr:colOff>11206</xdr:colOff>
      <xdr:row>68</xdr:row>
      <xdr:rowOff>11207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559365-4F02-4C78-0104-D2EB75433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0.80243</cdr:x>
      <cdr:y>0.1692</cdr:y>
    </cdr:from>
    <cdr:to>
      <cdr:x>0.8992</cdr:x>
      <cdr:y>0.3706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75BDA43-0320-CFAA-1035-0C1DF33650BA}"/>
            </a:ext>
          </a:extLst>
        </cdr:cNvPr>
        <cdr:cNvSpPr txBox="1"/>
      </cdr:nvSpPr>
      <cdr:spPr>
        <a:xfrm xmlns:a="http://schemas.openxmlformats.org/drawingml/2006/main">
          <a:off x="7582464" y="76816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0.52321</cdr:x>
      <cdr:y>0.07689</cdr:y>
    </cdr:from>
    <cdr:to>
      <cdr:x>0.63611</cdr:x>
      <cdr:y>0.12514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3D30917-E0FF-4224-D953-2427E19C6033}"/>
            </a:ext>
          </a:extLst>
        </cdr:cNvPr>
        <cdr:cNvSpPr txBox="1"/>
      </cdr:nvSpPr>
      <cdr:spPr>
        <a:xfrm xmlns:a="http://schemas.openxmlformats.org/drawingml/2006/main">
          <a:off x="4944038" y="349064"/>
          <a:ext cx="106680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Stock &amp;</a:t>
          </a:r>
          <a:r>
            <a:rPr lang="en-US" sz="900" baseline="0"/>
            <a:t> Inventories</a:t>
          </a:r>
          <a:endParaRPr lang="en-US" sz="900"/>
        </a:p>
      </cdr:txBody>
    </cdr:sp>
  </cdr:relSizeAnchor>
  <cdr:relSizeAnchor xmlns:cdr="http://schemas.openxmlformats.org/drawingml/2006/chartDrawing">
    <cdr:from>
      <cdr:x>0.66937</cdr:x>
      <cdr:y>0.22165</cdr:y>
    </cdr:from>
    <cdr:to>
      <cdr:x>0.71171</cdr:x>
      <cdr:y>0.2678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34BBC0A-5F34-41D4-D556-F8482F92224D}"/>
            </a:ext>
          </a:extLst>
        </cdr:cNvPr>
        <cdr:cNvSpPr txBox="1"/>
      </cdr:nvSpPr>
      <cdr:spPr>
        <a:xfrm xmlns:a="http://schemas.openxmlformats.org/drawingml/2006/main">
          <a:off x="6325163" y="1006290"/>
          <a:ext cx="400051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FDR</a:t>
          </a:r>
        </a:p>
      </cdr:txBody>
    </cdr:sp>
  </cdr:relSizeAnchor>
  <cdr:relSizeAnchor xmlns:cdr="http://schemas.openxmlformats.org/drawingml/2006/chartDrawing">
    <cdr:from>
      <cdr:x>0.68046</cdr:x>
      <cdr:y>0.59299</cdr:y>
    </cdr:from>
    <cdr:to>
      <cdr:x>0.79336</cdr:x>
      <cdr:y>0.64124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28B0956-D9B8-4C30-1E2E-7D79E899A681}"/>
            </a:ext>
          </a:extLst>
        </cdr:cNvPr>
        <cdr:cNvSpPr txBox="1"/>
      </cdr:nvSpPr>
      <cdr:spPr>
        <a:xfrm xmlns:a="http://schemas.openxmlformats.org/drawingml/2006/main">
          <a:off x="6429938" y="2692214"/>
          <a:ext cx="106680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A/R</a:t>
          </a:r>
        </a:p>
      </cdr:txBody>
    </cdr:sp>
  </cdr:relSizeAnchor>
  <cdr:relSizeAnchor xmlns:cdr="http://schemas.openxmlformats.org/drawingml/2006/chartDrawing">
    <cdr:from>
      <cdr:x>0.40024</cdr:x>
      <cdr:y>0.81748</cdr:y>
    </cdr:from>
    <cdr:to>
      <cdr:x>0.51313</cdr:x>
      <cdr:y>0.86573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C85E032F-3264-25AE-AAD4-0C14D3C4AC24}"/>
            </a:ext>
          </a:extLst>
        </cdr:cNvPr>
        <cdr:cNvSpPr txBox="1"/>
      </cdr:nvSpPr>
      <cdr:spPr>
        <a:xfrm xmlns:a="http://schemas.openxmlformats.org/drawingml/2006/main">
          <a:off x="3781988" y="3711389"/>
          <a:ext cx="106680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Margin Import LC</a:t>
          </a:r>
        </a:p>
      </cdr:txBody>
    </cdr:sp>
  </cdr:relSizeAnchor>
  <cdr:relSizeAnchor xmlns:cdr="http://schemas.openxmlformats.org/drawingml/2006/chartDrawing">
    <cdr:from>
      <cdr:x>0.30448</cdr:x>
      <cdr:y>0.72097</cdr:y>
    </cdr:from>
    <cdr:to>
      <cdr:x>0.41737</cdr:x>
      <cdr:y>0.76922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9249C90-2871-6FB4-209D-C8206F59796B}"/>
            </a:ext>
          </a:extLst>
        </cdr:cNvPr>
        <cdr:cNvSpPr txBox="1"/>
      </cdr:nvSpPr>
      <cdr:spPr>
        <a:xfrm xmlns:a="http://schemas.openxmlformats.org/drawingml/2006/main">
          <a:off x="2877113" y="3273239"/>
          <a:ext cx="106680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Not Yet Purchase</a:t>
          </a:r>
        </a:p>
      </cdr:txBody>
    </cdr:sp>
  </cdr:relSizeAnchor>
  <cdr:relSizeAnchor xmlns:cdr="http://schemas.openxmlformats.org/drawingml/2006/chartDrawing">
    <cdr:from>
      <cdr:x>0.46475</cdr:x>
      <cdr:y>0.56152</cdr:y>
    </cdr:from>
    <cdr:to>
      <cdr:x>0.57765</cdr:x>
      <cdr:y>0.60977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0C31A616-E363-E61E-F6FD-C5833622830D}"/>
            </a:ext>
          </a:extLst>
        </cdr:cNvPr>
        <cdr:cNvSpPr txBox="1"/>
      </cdr:nvSpPr>
      <cdr:spPr>
        <a:xfrm xmlns:a="http://schemas.openxmlformats.org/drawingml/2006/main">
          <a:off x="4391588" y="2549339"/>
          <a:ext cx="106680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Security Fund</a:t>
          </a:r>
        </a:p>
      </cdr:txBody>
    </cdr:sp>
  </cdr:relSizeAnchor>
  <cdr:relSizeAnchor xmlns:cdr="http://schemas.openxmlformats.org/drawingml/2006/chartDrawing">
    <cdr:from>
      <cdr:x>0.50406</cdr:x>
      <cdr:y>0.79859</cdr:y>
    </cdr:from>
    <cdr:to>
      <cdr:x>0.61696</cdr:x>
      <cdr:y>0.84685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0A9CCFA7-DD25-2231-5744-56D899DDA715}"/>
            </a:ext>
          </a:extLst>
        </cdr:cNvPr>
        <cdr:cNvSpPr txBox="1"/>
      </cdr:nvSpPr>
      <cdr:spPr>
        <a:xfrm xmlns:a="http://schemas.openxmlformats.org/drawingml/2006/main">
          <a:off x="4763063" y="3625664"/>
          <a:ext cx="106680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Cash at Bank</a:t>
          </a:r>
        </a:p>
      </cdr:txBody>
    </cdr:sp>
  </cdr:relSizeAnchor>
  <cdr:relSizeAnchor xmlns:cdr="http://schemas.openxmlformats.org/drawingml/2006/chartDrawing">
    <cdr:from>
      <cdr:x>0.58269</cdr:x>
      <cdr:y>0.74614</cdr:y>
    </cdr:from>
    <cdr:to>
      <cdr:x>0.75909</cdr:x>
      <cdr:y>0.7902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E283224C-1EE0-4E70-E5C5-0455AD50DAEB}"/>
            </a:ext>
          </a:extLst>
        </cdr:cNvPr>
        <cdr:cNvSpPr txBox="1"/>
      </cdr:nvSpPr>
      <cdr:spPr>
        <a:xfrm xmlns:a="http://schemas.openxmlformats.org/drawingml/2006/main">
          <a:off x="5506013" y="3387539"/>
          <a:ext cx="1666876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Advance Deposit &amp; Prepayment</a:t>
          </a:r>
        </a:p>
      </cdr:txBody>
    </cdr:sp>
  </cdr:relSizeAnchor>
  <cdr:relSizeAnchor xmlns:cdr="http://schemas.openxmlformats.org/drawingml/2006/chartDrawing">
    <cdr:from>
      <cdr:x>0.18452</cdr:x>
      <cdr:y>0.29088</cdr:y>
    </cdr:from>
    <cdr:to>
      <cdr:x>0.29742</cdr:x>
      <cdr:y>0.33913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BD2C296D-3D59-B7B3-43FF-18ED13231E92}"/>
            </a:ext>
          </a:extLst>
        </cdr:cNvPr>
        <cdr:cNvSpPr txBox="1"/>
      </cdr:nvSpPr>
      <cdr:spPr>
        <a:xfrm xmlns:a="http://schemas.openxmlformats.org/drawingml/2006/main">
          <a:off x="1743638" y="1320614"/>
          <a:ext cx="106680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Short Term Investment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C5:F34"/>
  <sheetViews>
    <sheetView topLeftCell="A19" workbookViewId="0">
      <selection activeCell="M41" sqref="M41"/>
    </sheetView>
  </sheetViews>
  <sheetFormatPr defaultRowHeight="16.5" x14ac:dyDescent="0.3"/>
  <cols>
    <col min="4" max="4" width="42.5703125" customWidth="1"/>
    <col min="5" max="5" width="15.28515625" customWidth="1"/>
    <col min="6" max="6" width="19.140625" customWidth="1"/>
  </cols>
  <sheetData>
    <row r="5" spans="3:6" x14ac:dyDescent="0.3">
      <c r="D5" t="s">
        <v>289</v>
      </c>
    </row>
    <row r="7" spans="3:6" x14ac:dyDescent="0.3">
      <c r="C7" t="s">
        <v>288</v>
      </c>
      <c r="D7" s="21" t="s">
        <v>290</v>
      </c>
    </row>
    <row r="8" spans="3:6" x14ac:dyDescent="0.3">
      <c r="D8" s="21"/>
      <c r="E8" t="s">
        <v>70</v>
      </c>
      <c r="F8" t="s">
        <v>70</v>
      </c>
    </row>
    <row r="9" spans="3:6" x14ac:dyDescent="0.3">
      <c r="D9" t="s">
        <v>293</v>
      </c>
      <c r="F9">
        <v>27500000</v>
      </c>
    </row>
    <row r="10" spans="3:6" x14ac:dyDescent="0.3">
      <c r="D10" t="s">
        <v>291</v>
      </c>
      <c r="F10">
        <v>44225000</v>
      </c>
    </row>
    <row r="11" spans="3:6" x14ac:dyDescent="0.3">
      <c r="D11" t="s">
        <v>292</v>
      </c>
    </row>
    <row r="12" spans="3:6" x14ac:dyDescent="0.3">
      <c r="F12" s="21">
        <f>SUM(F9:F11)</f>
        <v>71725000</v>
      </c>
    </row>
    <row r="14" spans="3:6" x14ac:dyDescent="0.3">
      <c r="C14" t="s">
        <v>294</v>
      </c>
      <c r="D14" s="21" t="s">
        <v>295</v>
      </c>
    </row>
    <row r="15" spans="3:6" x14ac:dyDescent="0.3">
      <c r="D15" t="s">
        <v>298</v>
      </c>
      <c r="F15">
        <v>25500000</v>
      </c>
    </row>
    <row r="16" spans="3:6" x14ac:dyDescent="0.3">
      <c r="D16" t="s">
        <v>296</v>
      </c>
      <c r="F16">
        <v>1500000</v>
      </c>
    </row>
    <row r="17" spans="3:6" x14ac:dyDescent="0.3">
      <c r="D17" t="s">
        <v>297</v>
      </c>
    </row>
    <row r="18" spans="3:6" x14ac:dyDescent="0.3">
      <c r="D18" t="s">
        <v>299</v>
      </c>
      <c r="F18">
        <v>700000</v>
      </c>
    </row>
    <row r="19" spans="3:6" x14ac:dyDescent="0.3">
      <c r="D19" t="s">
        <v>300</v>
      </c>
      <c r="F19">
        <v>800000</v>
      </c>
    </row>
    <row r="21" spans="3:6" x14ac:dyDescent="0.3">
      <c r="F21" s="21">
        <f>SUM(F15:F20)</f>
        <v>28500000</v>
      </c>
    </row>
    <row r="23" spans="3:6" x14ac:dyDescent="0.3">
      <c r="C23" t="s">
        <v>301</v>
      </c>
      <c r="D23" s="21" t="s">
        <v>302</v>
      </c>
    </row>
    <row r="24" spans="3:6" x14ac:dyDescent="0.3">
      <c r="D24" t="s">
        <v>303</v>
      </c>
      <c r="F24" s="118">
        <v>37530579</v>
      </c>
    </row>
    <row r="25" spans="3:6" x14ac:dyDescent="0.3">
      <c r="D25" t="s">
        <v>304</v>
      </c>
      <c r="F25" s="118">
        <v>36712889</v>
      </c>
    </row>
    <row r="26" spans="3:6" x14ac:dyDescent="0.3">
      <c r="D26" t="s">
        <v>305</v>
      </c>
      <c r="F26" s="118">
        <v>3770767</v>
      </c>
    </row>
    <row r="27" spans="3:6" x14ac:dyDescent="0.3">
      <c r="D27" t="s">
        <v>306</v>
      </c>
      <c r="F27" s="118">
        <v>22861238</v>
      </c>
    </row>
    <row r="28" spans="3:6" x14ac:dyDescent="0.3">
      <c r="D28" t="s">
        <v>307</v>
      </c>
      <c r="F28" s="118">
        <v>5680611</v>
      </c>
    </row>
    <row r="29" spans="3:6" x14ac:dyDescent="0.3">
      <c r="D29" t="s">
        <v>308</v>
      </c>
      <c r="F29" s="118">
        <v>8000567</v>
      </c>
    </row>
    <row r="30" spans="3:6" x14ac:dyDescent="0.3">
      <c r="D30" t="s">
        <v>127</v>
      </c>
      <c r="F30" s="118">
        <v>14180279.18</v>
      </c>
    </row>
    <row r="31" spans="3:6" x14ac:dyDescent="0.3">
      <c r="D31" t="s">
        <v>309</v>
      </c>
      <c r="F31" s="118">
        <v>76383625.780000001</v>
      </c>
    </row>
    <row r="32" spans="3:6" x14ac:dyDescent="0.3">
      <c r="D32" t="s">
        <v>310</v>
      </c>
      <c r="F32" s="118">
        <v>4542063</v>
      </c>
    </row>
    <row r="33" spans="6:6" x14ac:dyDescent="0.3">
      <c r="F33" s="118"/>
    </row>
    <row r="34" spans="6:6" x14ac:dyDescent="0.3">
      <c r="F34" s="21">
        <f>SUM(F24:F33)</f>
        <v>209662618.96000001</v>
      </c>
    </row>
  </sheetData>
  <pageMargins left="0.7" right="0.7" top="0.75" bottom="0.75" header="0.3" footer="0.3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G17"/>
  <sheetViews>
    <sheetView workbookViewId="0">
      <selection activeCell="K10" sqref="K10"/>
    </sheetView>
  </sheetViews>
  <sheetFormatPr defaultRowHeight="16.5" x14ac:dyDescent="0.3"/>
  <cols>
    <col min="3" max="3" width="30.85546875" customWidth="1"/>
    <col min="6" max="6" width="28.28515625" customWidth="1"/>
    <col min="7" max="7" width="13.42578125" customWidth="1"/>
  </cols>
  <sheetData>
    <row r="2" spans="3:7" x14ac:dyDescent="0.3">
      <c r="C2" s="21" t="s">
        <v>26</v>
      </c>
      <c r="F2" s="21" t="s">
        <v>27</v>
      </c>
    </row>
    <row r="3" spans="3:7" x14ac:dyDescent="0.3">
      <c r="F3" s="21" t="s">
        <v>33</v>
      </c>
    </row>
    <row r="4" spans="3:7" x14ac:dyDescent="0.3">
      <c r="C4" s="21" t="s">
        <v>28</v>
      </c>
      <c r="F4" t="s">
        <v>32</v>
      </c>
    </row>
    <row r="5" spans="3:7" x14ac:dyDescent="0.3">
      <c r="C5" t="s">
        <v>29</v>
      </c>
      <c r="D5">
        <v>2409335</v>
      </c>
      <c r="F5" t="s">
        <v>34</v>
      </c>
      <c r="G5" s="23" t="s">
        <v>35</v>
      </c>
    </row>
    <row r="6" spans="3:7" x14ac:dyDescent="0.3">
      <c r="C6" t="s">
        <v>30</v>
      </c>
      <c r="D6">
        <v>1356030.79</v>
      </c>
      <c r="F6" t="s">
        <v>36</v>
      </c>
      <c r="G6" s="23">
        <v>172881.05</v>
      </c>
    </row>
    <row r="7" spans="3:7" x14ac:dyDescent="0.3">
      <c r="C7" t="s">
        <v>31</v>
      </c>
      <c r="D7">
        <v>852859</v>
      </c>
      <c r="F7" t="s">
        <v>37</v>
      </c>
      <c r="G7" s="23">
        <v>2307151.85</v>
      </c>
    </row>
    <row r="9" spans="3:7" x14ac:dyDescent="0.3">
      <c r="F9" s="21" t="s">
        <v>39</v>
      </c>
    </row>
    <row r="10" spans="3:7" x14ac:dyDescent="0.3">
      <c r="F10" t="s">
        <v>40</v>
      </c>
      <c r="G10">
        <f>42945110+2741427</f>
        <v>45686537</v>
      </c>
    </row>
    <row r="16" spans="3:7" x14ac:dyDescent="0.3">
      <c r="F16" t="s">
        <v>38</v>
      </c>
    </row>
    <row r="17" spans="6:6" x14ac:dyDescent="0.3">
      <c r="F17" t="s">
        <v>41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B5:I25"/>
  <sheetViews>
    <sheetView topLeftCell="A6" workbookViewId="0">
      <selection activeCell="E35" sqref="E35"/>
    </sheetView>
  </sheetViews>
  <sheetFormatPr defaultRowHeight="16.5" x14ac:dyDescent="0.3"/>
  <cols>
    <col min="2" max="3" width="33.42578125" customWidth="1"/>
    <col min="4" max="4" width="21.28515625" customWidth="1"/>
    <col min="6" max="6" width="14.140625" customWidth="1"/>
    <col min="7" max="7" width="11.42578125" customWidth="1"/>
    <col min="8" max="8" width="19.28515625" customWidth="1"/>
    <col min="9" max="9" width="20.5703125" customWidth="1"/>
  </cols>
  <sheetData>
    <row r="5" spans="2:9" ht="35.25" x14ac:dyDescent="0.5">
      <c r="B5" s="26"/>
      <c r="C5" s="26"/>
      <c r="D5" s="40" t="s">
        <v>194</v>
      </c>
      <c r="E5" s="27"/>
      <c r="F5" s="27"/>
      <c r="G5" s="28"/>
      <c r="H5" s="26"/>
      <c r="I5" s="26"/>
    </row>
    <row r="6" spans="2:9" x14ac:dyDescent="0.3">
      <c r="B6" s="29"/>
      <c r="C6" s="29"/>
      <c r="D6" s="30"/>
      <c r="E6" s="30"/>
      <c r="F6" s="30"/>
      <c r="G6" s="31"/>
      <c r="H6" s="252" t="s">
        <v>50</v>
      </c>
      <c r="I6" s="252"/>
    </row>
    <row r="7" spans="2:9" ht="18.75" x14ac:dyDescent="0.3">
      <c r="B7" s="253" t="s">
        <v>51</v>
      </c>
      <c r="C7" s="55"/>
      <c r="D7" s="256" t="s">
        <v>52</v>
      </c>
      <c r="E7" s="257"/>
      <c r="F7" s="257"/>
      <c r="G7" s="258" t="s">
        <v>53</v>
      </c>
      <c r="H7" s="56"/>
      <c r="I7" s="258" t="s">
        <v>282</v>
      </c>
    </row>
    <row r="8" spans="2:9" ht="18" x14ac:dyDescent="0.3">
      <c r="B8" s="254"/>
      <c r="C8" s="57"/>
      <c r="D8" s="261" t="s">
        <v>284</v>
      </c>
      <c r="E8" s="264" t="s">
        <v>54</v>
      </c>
      <c r="F8" s="261" t="s">
        <v>283</v>
      </c>
      <c r="G8" s="259"/>
      <c r="H8" s="267" t="s">
        <v>55</v>
      </c>
      <c r="I8" s="259"/>
    </row>
    <row r="9" spans="2:9" ht="18" x14ac:dyDescent="0.3">
      <c r="B9" s="254"/>
      <c r="C9" s="57" t="s">
        <v>198</v>
      </c>
      <c r="D9" s="262"/>
      <c r="E9" s="265"/>
      <c r="F9" s="262"/>
      <c r="G9" s="259"/>
      <c r="H9" s="268"/>
      <c r="I9" s="259"/>
    </row>
    <row r="10" spans="2:9" ht="18" x14ac:dyDescent="0.3">
      <c r="B10" s="255"/>
      <c r="C10" s="58"/>
      <c r="D10" s="263"/>
      <c r="E10" s="266"/>
      <c r="F10" s="263"/>
      <c r="G10" s="260"/>
      <c r="H10" s="269"/>
      <c r="I10" s="260"/>
    </row>
    <row r="11" spans="2:9" ht="18.75" x14ac:dyDescent="0.3">
      <c r="B11" s="59" t="s">
        <v>56</v>
      </c>
      <c r="C11" s="59">
        <v>2000000</v>
      </c>
      <c r="D11" s="60">
        <v>4000000</v>
      </c>
      <c r="E11" s="61"/>
      <c r="F11" s="62"/>
      <c r="G11" s="63">
        <v>0</v>
      </c>
      <c r="H11" s="62">
        <f>F11*G11</f>
        <v>0</v>
      </c>
      <c r="I11" s="62">
        <f>D11</f>
        <v>4000000</v>
      </c>
    </row>
    <row r="12" spans="2:9" ht="18.75" x14ac:dyDescent="0.3">
      <c r="B12" s="59" t="s">
        <v>57</v>
      </c>
      <c r="C12" s="59">
        <v>8500000</v>
      </c>
      <c r="D12" s="60">
        <v>18000000</v>
      </c>
      <c r="E12" s="61"/>
      <c r="F12" s="62"/>
      <c r="G12" s="64">
        <v>0</v>
      </c>
      <c r="H12" s="62">
        <f>F12*G12</f>
        <v>0</v>
      </c>
      <c r="I12" s="62">
        <f>D12</f>
        <v>18000000</v>
      </c>
    </row>
    <row r="13" spans="2:9" ht="18.75" x14ac:dyDescent="0.3">
      <c r="B13" s="59" t="s">
        <v>58</v>
      </c>
      <c r="C13" s="59">
        <f>D13</f>
        <v>9300000</v>
      </c>
      <c r="D13" s="60">
        <v>9300000</v>
      </c>
      <c r="E13" s="62"/>
      <c r="F13" s="62"/>
      <c r="G13" s="63">
        <v>0.15</v>
      </c>
      <c r="H13" s="62">
        <f>D13*0.15</f>
        <v>1395000</v>
      </c>
      <c r="I13" s="62">
        <f>D13-H13</f>
        <v>7905000</v>
      </c>
    </row>
    <row r="14" spans="2:9" ht="18.75" x14ac:dyDescent="0.3">
      <c r="B14" s="59" t="s">
        <v>59</v>
      </c>
      <c r="C14" s="59">
        <f>D14</f>
        <v>500000</v>
      </c>
      <c r="D14" s="60">
        <v>500000</v>
      </c>
      <c r="E14" s="61"/>
      <c r="F14" s="62"/>
      <c r="G14" s="63">
        <v>0.15</v>
      </c>
      <c r="H14" s="62">
        <f>D14*0.15</f>
        <v>75000</v>
      </c>
      <c r="I14" s="62">
        <f>D14-H14</f>
        <v>425000</v>
      </c>
    </row>
    <row r="15" spans="2:9" ht="18.75" x14ac:dyDescent="0.3">
      <c r="B15" s="59" t="s">
        <v>189</v>
      </c>
      <c r="C15" s="59">
        <v>1700000</v>
      </c>
      <c r="D15" s="60">
        <v>850000</v>
      </c>
      <c r="E15" s="61"/>
      <c r="F15" s="62"/>
      <c r="G15" s="63"/>
      <c r="H15" s="62"/>
      <c r="I15" s="62">
        <f>D15-H15</f>
        <v>850000</v>
      </c>
    </row>
    <row r="16" spans="2:9" ht="18.75" x14ac:dyDescent="0.3">
      <c r="B16" s="59" t="s">
        <v>195</v>
      </c>
      <c r="C16" s="59">
        <v>3600000</v>
      </c>
      <c r="D16" s="60">
        <v>1300000</v>
      </c>
      <c r="E16" s="61"/>
      <c r="F16" s="62"/>
      <c r="G16" s="63"/>
      <c r="H16" s="62"/>
      <c r="I16" s="62">
        <f>D16-H16</f>
        <v>1300000</v>
      </c>
    </row>
    <row r="17" spans="2:9" ht="18.75" x14ac:dyDescent="0.3">
      <c r="B17" s="65"/>
      <c r="C17" s="65"/>
      <c r="D17" s="62"/>
      <c r="E17" s="61"/>
      <c r="F17" s="62"/>
      <c r="G17" s="63"/>
      <c r="H17" s="62"/>
      <c r="I17" s="62"/>
    </row>
    <row r="18" spans="2:9" ht="19.5" thickBot="1" x14ac:dyDescent="0.35">
      <c r="B18" s="66" t="s">
        <v>65</v>
      </c>
      <c r="C18" s="67">
        <f>SUM(C11:C17)</f>
        <v>25600000</v>
      </c>
      <c r="D18" s="67">
        <f>SUM(D11:D17)</f>
        <v>33950000</v>
      </c>
      <c r="E18" s="67">
        <f>SUM(E11:E17)</f>
        <v>0</v>
      </c>
      <c r="F18" s="67">
        <f>SUM(F11:F17)</f>
        <v>0</v>
      </c>
      <c r="G18" s="68"/>
      <c r="H18" s="67">
        <f>SUM(H11:H17)</f>
        <v>1470000</v>
      </c>
      <c r="I18" s="67">
        <f>SUM(I11:I17)</f>
        <v>32480000</v>
      </c>
    </row>
    <row r="19" spans="2:9" ht="19.5" thickTop="1" x14ac:dyDescent="0.3">
      <c r="B19" s="66"/>
      <c r="C19" s="66"/>
      <c r="D19" s="59"/>
      <c r="E19" s="69"/>
      <c r="F19" s="69"/>
      <c r="G19" s="70"/>
      <c r="H19" s="62"/>
      <c r="I19" s="71"/>
    </row>
    <row r="20" spans="2:9" ht="18.75" x14ac:dyDescent="0.3">
      <c r="B20" s="72" t="s">
        <v>60</v>
      </c>
      <c r="C20" s="72"/>
      <c r="D20" s="59" t="s">
        <v>61</v>
      </c>
      <c r="E20" s="59"/>
      <c r="F20" s="59"/>
      <c r="G20" s="73"/>
      <c r="H20" s="74"/>
      <c r="I20" s="71"/>
    </row>
    <row r="21" spans="2:9" ht="18.75" x14ac:dyDescent="0.3">
      <c r="B21" s="75" t="s">
        <v>62</v>
      </c>
      <c r="C21" s="75"/>
      <c r="D21" s="59" t="s">
        <v>206</v>
      </c>
      <c r="E21" s="59"/>
      <c r="F21" s="76">
        <v>1</v>
      </c>
      <c r="G21" s="77"/>
      <c r="H21" s="78"/>
      <c r="I21" s="62"/>
    </row>
    <row r="22" spans="2:9" ht="18.75" x14ac:dyDescent="0.3">
      <c r="B22" s="62"/>
      <c r="C22" s="62"/>
      <c r="D22" s="59" t="s">
        <v>63</v>
      </c>
      <c r="E22" s="59"/>
      <c r="F22" s="69"/>
      <c r="G22" s="79"/>
      <c r="H22" s="71"/>
      <c r="I22" s="71"/>
    </row>
    <row r="23" spans="2:9" ht="18.75" x14ac:dyDescent="0.3">
      <c r="B23" s="62"/>
      <c r="C23" s="62"/>
      <c r="D23" s="59" t="s">
        <v>64</v>
      </c>
      <c r="E23" s="59"/>
      <c r="F23" s="69"/>
      <c r="G23" s="79"/>
      <c r="H23" s="71"/>
      <c r="I23" s="80"/>
    </row>
    <row r="24" spans="2:9" ht="19.5" thickBot="1" x14ac:dyDescent="0.35">
      <c r="B24" s="62"/>
      <c r="C24" s="62"/>
      <c r="D24" s="59"/>
      <c r="E24" s="59"/>
      <c r="F24" s="81">
        <f>H18</f>
        <v>1470000</v>
      </c>
      <c r="G24" s="79"/>
      <c r="H24" s="71"/>
      <c r="I24" s="80"/>
    </row>
    <row r="25" spans="2:9" ht="19.5" thickTop="1" x14ac:dyDescent="0.3">
      <c r="B25" s="82"/>
      <c r="C25" s="82"/>
      <c r="D25" s="83"/>
      <c r="E25" s="83"/>
      <c r="F25" s="83"/>
      <c r="G25" s="84"/>
      <c r="H25" s="82"/>
      <c r="I25" s="82"/>
    </row>
  </sheetData>
  <mergeCells count="9">
    <mergeCell ref="H6:I6"/>
    <mergeCell ref="B7:B10"/>
    <mergeCell ref="D7:F7"/>
    <mergeCell ref="G7:G10"/>
    <mergeCell ref="I7:I10"/>
    <mergeCell ref="D8:D10"/>
    <mergeCell ref="E8:E10"/>
    <mergeCell ref="F8:F10"/>
    <mergeCell ref="H8:H10"/>
  </mergeCells>
  <pageMargins left="0.7" right="0.7" top="0.75" bottom="0.75" header="0.3" footer="0.3"/>
  <pageSetup paperSize="9" scale="8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:H222"/>
  <sheetViews>
    <sheetView topLeftCell="A142" workbookViewId="0">
      <selection activeCell="I118" sqref="I118"/>
    </sheetView>
  </sheetViews>
  <sheetFormatPr defaultRowHeight="16.5" x14ac:dyDescent="0.3"/>
  <cols>
    <col min="3" max="3" width="36" customWidth="1"/>
    <col min="4" max="4" width="17.42578125" customWidth="1"/>
    <col min="5" max="5" width="14.140625" customWidth="1"/>
    <col min="6" max="6" width="12.5703125" customWidth="1"/>
  </cols>
  <sheetData>
    <row r="3" spans="2:6" x14ac:dyDescent="0.3">
      <c r="C3" t="s">
        <v>185</v>
      </c>
    </row>
    <row r="5" spans="2:6" x14ac:dyDescent="0.3">
      <c r="B5" s="21" t="s">
        <v>154</v>
      </c>
      <c r="C5" s="21" t="s">
        <v>66</v>
      </c>
    </row>
    <row r="6" spans="2:6" x14ac:dyDescent="0.3">
      <c r="B6" s="21"/>
      <c r="C6" s="21" t="s">
        <v>67</v>
      </c>
      <c r="D6" s="21" t="s">
        <v>68</v>
      </c>
      <c r="E6" t="s">
        <v>70</v>
      </c>
      <c r="F6" t="s">
        <v>78</v>
      </c>
    </row>
    <row r="7" spans="2:6" x14ac:dyDescent="0.3">
      <c r="B7" s="21"/>
      <c r="D7" s="32" t="s">
        <v>69</v>
      </c>
      <c r="E7">
        <v>7782420.8099999996</v>
      </c>
    </row>
    <row r="8" spans="2:6" ht="17.25" thickBot="1" x14ac:dyDescent="0.35">
      <c r="B8" s="21"/>
      <c r="D8" s="32" t="s">
        <v>71</v>
      </c>
      <c r="E8">
        <v>1235610</v>
      </c>
    </row>
    <row r="9" spans="2:6" ht="17.25" thickBot="1" x14ac:dyDescent="0.35">
      <c r="B9" s="21"/>
      <c r="E9" s="33">
        <f>SUM(E7:E8)</f>
        <v>9018030.8099999987</v>
      </c>
    </row>
    <row r="10" spans="2:6" x14ac:dyDescent="0.3">
      <c r="B10" s="21"/>
      <c r="C10" s="21" t="s">
        <v>72</v>
      </c>
      <c r="D10" s="21" t="s">
        <v>68</v>
      </c>
    </row>
    <row r="11" spans="2:6" x14ac:dyDescent="0.3">
      <c r="B11" s="21"/>
      <c r="D11" s="32" t="s">
        <v>73</v>
      </c>
      <c r="E11">
        <v>7000000</v>
      </c>
    </row>
    <row r="12" spans="2:6" x14ac:dyDescent="0.3">
      <c r="B12" s="21"/>
      <c r="D12" s="32" t="s">
        <v>74</v>
      </c>
      <c r="E12">
        <v>7000000</v>
      </c>
    </row>
    <row r="13" spans="2:6" ht="17.25" thickBot="1" x14ac:dyDescent="0.35">
      <c r="B13" s="21"/>
      <c r="D13" s="32" t="s">
        <v>75</v>
      </c>
      <c r="E13">
        <v>6000000</v>
      </c>
    </row>
    <row r="14" spans="2:6" ht="17.25" thickBot="1" x14ac:dyDescent="0.35">
      <c r="B14" s="21"/>
      <c r="E14" s="33">
        <f>SUM(E11:E13)</f>
        <v>20000000</v>
      </c>
    </row>
    <row r="15" spans="2:6" x14ac:dyDescent="0.3">
      <c r="B15" s="21"/>
      <c r="C15" s="21" t="s">
        <v>72</v>
      </c>
      <c r="D15" s="21" t="s">
        <v>68</v>
      </c>
      <c r="E15" s="21"/>
    </row>
    <row r="16" spans="2:6" x14ac:dyDescent="0.3">
      <c r="B16" s="21"/>
      <c r="C16" t="s">
        <v>86</v>
      </c>
      <c r="D16" s="32" t="s">
        <v>94</v>
      </c>
      <c r="E16">
        <v>5000000</v>
      </c>
    </row>
    <row r="17" spans="2:6" ht="17.25" thickBot="1" x14ac:dyDescent="0.35">
      <c r="B17" s="21"/>
      <c r="C17" t="s">
        <v>87</v>
      </c>
      <c r="D17" s="32" t="s">
        <v>93</v>
      </c>
      <c r="E17">
        <v>5000000</v>
      </c>
    </row>
    <row r="18" spans="2:6" ht="17.25" thickBot="1" x14ac:dyDescent="0.35">
      <c r="B18" s="21"/>
      <c r="E18" s="33">
        <f>SUM(E16:E17)</f>
        <v>10000000</v>
      </c>
    </row>
    <row r="19" spans="2:6" x14ac:dyDescent="0.3">
      <c r="B19" s="21"/>
      <c r="E19" s="21"/>
    </row>
    <row r="20" spans="2:6" x14ac:dyDescent="0.3">
      <c r="B20" s="21"/>
      <c r="E20" s="21"/>
    </row>
    <row r="21" spans="2:6" ht="17.25" thickBot="1" x14ac:dyDescent="0.35">
      <c r="B21" s="21"/>
      <c r="C21" s="21" t="s">
        <v>90</v>
      </c>
      <c r="D21" s="21" t="s">
        <v>68</v>
      </c>
    </row>
    <row r="22" spans="2:6" ht="17.25" thickBot="1" x14ac:dyDescent="0.35">
      <c r="B22" s="21"/>
      <c r="C22" t="s">
        <v>91</v>
      </c>
      <c r="D22" s="32" t="s">
        <v>92</v>
      </c>
      <c r="E22" s="33"/>
    </row>
    <row r="23" spans="2:6" x14ac:dyDescent="0.3">
      <c r="B23" s="21"/>
      <c r="C23" s="21" t="s">
        <v>186</v>
      </c>
      <c r="D23" s="32"/>
      <c r="E23" s="21"/>
    </row>
    <row r="24" spans="2:6" x14ac:dyDescent="0.3">
      <c r="B24" s="21"/>
      <c r="C24" s="39" t="s">
        <v>88</v>
      </c>
      <c r="E24">
        <v>1000000</v>
      </c>
    </row>
    <row r="25" spans="2:6" ht="17.25" thickBot="1" x14ac:dyDescent="0.35">
      <c r="B25" s="21"/>
      <c r="C25" s="39" t="s">
        <v>89</v>
      </c>
      <c r="E25">
        <v>1000000</v>
      </c>
    </row>
    <row r="26" spans="2:6" ht="17.25" thickBot="1" x14ac:dyDescent="0.35">
      <c r="B26" s="21"/>
      <c r="D26" s="34" t="s">
        <v>76</v>
      </c>
      <c r="E26" s="33">
        <f>E24+E25</f>
        <v>2000000</v>
      </c>
      <c r="F26" s="34">
        <f>E26+E22+E18+E14+E9</f>
        <v>41018030.810000002</v>
      </c>
    </row>
    <row r="27" spans="2:6" x14ac:dyDescent="0.3">
      <c r="B27" s="21"/>
    </row>
    <row r="28" spans="2:6" x14ac:dyDescent="0.3">
      <c r="B28" s="21"/>
    </row>
    <row r="29" spans="2:6" x14ac:dyDescent="0.3">
      <c r="B29" s="21" t="s">
        <v>155</v>
      </c>
      <c r="C29" s="25" t="s">
        <v>97</v>
      </c>
      <c r="D29" s="21"/>
      <c r="E29" s="21" t="s">
        <v>70</v>
      </c>
      <c r="F29" s="21" t="s">
        <v>70</v>
      </c>
    </row>
    <row r="30" spans="2:6" x14ac:dyDescent="0.3">
      <c r="B30" s="21"/>
      <c r="C30" s="39" t="s">
        <v>175</v>
      </c>
      <c r="D30" s="39"/>
      <c r="E30" s="39">
        <v>35100</v>
      </c>
      <c r="F30" s="39"/>
    </row>
    <row r="31" spans="2:6" x14ac:dyDescent="0.3">
      <c r="B31" s="21"/>
      <c r="C31" t="s">
        <v>176</v>
      </c>
      <c r="E31">
        <v>49000</v>
      </c>
    </row>
    <row r="32" spans="2:6" x14ac:dyDescent="0.3">
      <c r="B32" s="21"/>
      <c r="C32" t="s">
        <v>177</v>
      </c>
      <c r="E32">
        <v>70000</v>
      </c>
    </row>
    <row r="33" spans="2:6" x14ac:dyDescent="0.3">
      <c r="B33" s="21"/>
      <c r="C33" t="s">
        <v>178</v>
      </c>
      <c r="E33">
        <v>50000</v>
      </c>
    </row>
    <row r="34" spans="2:6" ht="2.25" customHeight="1" x14ac:dyDescent="0.3">
      <c r="B34" s="21"/>
    </row>
    <row r="35" spans="2:6" x14ac:dyDescent="0.3">
      <c r="B35" s="21"/>
      <c r="C35" s="39"/>
      <c r="D35" s="39"/>
      <c r="E35" s="39"/>
    </row>
    <row r="36" spans="2:6" x14ac:dyDescent="0.3">
      <c r="B36" s="21"/>
      <c r="D36" s="34" t="s">
        <v>76</v>
      </c>
      <c r="F36" s="34">
        <f>E33++E32+E31+E30</f>
        <v>204100</v>
      </c>
    </row>
    <row r="37" spans="2:6" x14ac:dyDescent="0.3">
      <c r="B37" s="21"/>
    </row>
    <row r="38" spans="2:6" x14ac:dyDescent="0.3">
      <c r="B38" s="21" t="s">
        <v>156</v>
      </c>
      <c r="C38" s="21" t="s">
        <v>96</v>
      </c>
      <c r="D38" s="34"/>
      <c r="E38" s="21" t="s">
        <v>70</v>
      </c>
      <c r="F38" s="21" t="s">
        <v>70</v>
      </c>
    </row>
    <row r="39" spans="2:6" x14ac:dyDescent="0.3">
      <c r="B39" s="21"/>
      <c r="C39" s="39" t="s">
        <v>168</v>
      </c>
      <c r="D39" s="39"/>
      <c r="E39" s="39">
        <v>20400</v>
      </c>
      <c r="F39" s="21"/>
    </row>
    <row r="40" spans="2:6" x14ac:dyDescent="0.3">
      <c r="B40" s="21"/>
      <c r="C40" t="s">
        <v>169</v>
      </c>
      <c r="E40">
        <v>58376.5</v>
      </c>
      <c r="F40" s="21"/>
    </row>
    <row r="41" spans="2:6" x14ac:dyDescent="0.3">
      <c r="B41" s="21"/>
      <c r="C41" t="s">
        <v>170</v>
      </c>
      <c r="E41">
        <v>454941</v>
      </c>
      <c r="F41" s="21"/>
    </row>
    <row r="42" spans="2:6" x14ac:dyDescent="0.3">
      <c r="B42" s="21"/>
      <c r="C42" t="s">
        <v>171</v>
      </c>
      <c r="E42">
        <v>395978</v>
      </c>
      <c r="F42" s="21"/>
    </row>
    <row r="43" spans="2:6" x14ac:dyDescent="0.3">
      <c r="B43" s="21"/>
      <c r="C43" t="s">
        <v>172</v>
      </c>
      <c r="E43">
        <v>1397</v>
      </c>
      <c r="F43" s="21"/>
    </row>
    <row r="44" spans="2:6" x14ac:dyDescent="0.3">
      <c r="B44" s="21"/>
      <c r="C44" t="s">
        <v>173</v>
      </c>
      <c r="E44">
        <v>20500</v>
      </c>
      <c r="F44" s="21"/>
    </row>
    <row r="45" spans="2:6" x14ac:dyDescent="0.3">
      <c r="B45" s="21"/>
      <c r="C45" t="s">
        <v>174</v>
      </c>
      <c r="E45">
        <v>10200</v>
      </c>
      <c r="F45" s="21"/>
    </row>
    <row r="46" spans="2:6" x14ac:dyDescent="0.3">
      <c r="B46" s="21"/>
      <c r="D46" s="34" t="s">
        <v>76</v>
      </c>
      <c r="F46" s="34">
        <f>E45+E44+E42+E43+E39+E40+E41</f>
        <v>961792.5</v>
      </c>
    </row>
    <row r="47" spans="2:6" x14ac:dyDescent="0.3">
      <c r="B47" s="21"/>
    </row>
    <row r="48" spans="2:6" x14ac:dyDescent="0.3">
      <c r="B48" s="21" t="s">
        <v>157</v>
      </c>
      <c r="C48" s="21" t="s">
        <v>98</v>
      </c>
      <c r="D48" s="21"/>
      <c r="E48" s="21" t="s">
        <v>70</v>
      </c>
      <c r="F48" s="21" t="s">
        <v>70</v>
      </c>
    </row>
    <row r="49" spans="2:5" x14ac:dyDescent="0.3">
      <c r="B49" s="21"/>
      <c r="C49" t="s">
        <v>99</v>
      </c>
      <c r="E49">
        <v>6292159</v>
      </c>
    </row>
    <row r="50" spans="2:5" x14ac:dyDescent="0.3">
      <c r="B50" s="21"/>
      <c r="C50" t="s">
        <v>100</v>
      </c>
      <c r="E50">
        <v>3045032</v>
      </c>
    </row>
    <row r="51" spans="2:5" x14ac:dyDescent="0.3">
      <c r="B51" s="21"/>
      <c r="C51" t="s">
        <v>101</v>
      </c>
      <c r="E51">
        <v>507770</v>
      </c>
    </row>
    <row r="52" spans="2:5" x14ac:dyDescent="0.3">
      <c r="B52" s="21"/>
      <c r="C52" t="s">
        <v>102</v>
      </c>
      <c r="E52">
        <v>138519</v>
      </c>
    </row>
    <row r="53" spans="2:5" x14ac:dyDescent="0.3">
      <c r="B53" s="21"/>
      <c r="C53" t="s">
        <v>103</v>
      </c>
      <c r="E53">
        <v>3050275</v>
      </c>
    </row>
    <row r="54" spans="2:5" x14ac:dyDescent="0.3">
      <c r="B54" s="21"/>
      <c r="C54" t="s">
        <v>104</v>
      </c>
      <c r="E54">
        <v>444245</v>
      </c>
    </row>
    <row r="55" spans="2:5" x14ac:dyDescent="0.3">
      <c r="B55" s="21"/>
      <c r="C55" t="s">
        <v>105</v>
      </c>
      <c r="E55">
        <v>361</v>
      </c>
    </row>
    <row r="56" spans="2:5" x14ac:dyDescent="0.3">
      <c r="B56" s="21"/>
      <c r="C56" t="s">
        <v>106</v>
      </c>
      <c r="E56">
        <v>130805</v>
      </c>
    </row>
    <row r="57" spans="2:5" x14ac:dyDescent="0.3">
      <c r="B57" s="21"/>
      <c r="C57" t="s">
        <v>107</v>
      </c>
      <c r="E57">
        <v>57156</v>
      </c>
    </row>
    <row r="58" spans="2:5" x14ac:dyDescent="0.3">
      <c r="B58" s="21"/>
      <c r="C58" t="s">
        <v>108</v>
      </c>
      <c r="E58">
        <v>62771</v>
      </c>
    </row>
    <row r="59" spans="2:5" x14ac:dyDescent="0.3">
      <c r="B59" s="21"/>
      <c r="C59" t="s">
        <v>109</v>
      </c>
      <c r="E59">
        <v>27307</v>
      </c>
    </row>
    <row r="60" spans="2:5" x14ac:dyDescent="0.3">
      <c r="B60" s="21"/>
      <c r="C60" t="s">
        <v>110</v>
      </c>
      <c r="E60">
        <v>42236</v>
      </c>
    </row>
    <row r="61" spans="2:5" x14ac:dyDescent="0.3">
      <c r="B61" s="21"/>
      <c r="C61" t="s">
        <v>111</v>
      </c>
      <c r="E61">
        <v>13695</v>
      </c>
    </row>
    <row r="62" spans="2:5" x14ac:dyDescent="0.3">
      <c r="B62" s="21"/>
      <c r="C62" t="s">
        <v>112</v>
      </c>
      <c r="E62">
        <v>292340</v>
      </c>
    </row>
    <row r="63" spans="2:5" x14ac:dyDescent="0.3">
      <c r="B63" s="21"/>
      <c r="C63" t="s">
        <v>113</v>
      </c>
      <c r="E63">
        <v>21195</v>
      </c>
    </row>
    <row r="64" spans="2:5" x14ac:dyDescent="0.3">
      <c r="B64" s="21"/>
      <c r="C64" t="s">
        <v>114</v>
      </c>
      <c r="E64">
        <v>294500</v>
      </c>
    </row>
    <row r="65" spans="2:6" x14ac:dyDescent="0.3">
      <c r="B65" s="21"/>
      <c r="C65" t="s">
        <v>115</v>
      </c>
      <c r="E65">
        <v>246657</v>
      </c>
    </row>
    <row r="66" spans="2:6" x14ac:dyDescent="0.3">
      <c r="B66" s="21"/>
      <c r="C66" t="s">
        <v>116</v>
      </c>
      <c r="E66">
        <v>3567</v>
      </c>
    </row>
    <row r="67" spans="2:6" x14ac:dyDescent="0.3">
      <c r="B67" s="21"/>
      <c r="C67" t="s">
        <v>117</v>
      </c>
      <c r="E67">
        <v>10290</v>
      </c>
    </row>
    <row r="68" spans="2:6" x14ac:dyDescent="0.3">
      <c r="B68" s="21"/>
      <c r="C68" t="s">
        <v>118</v>
      </c>
      <c r="E68">
        <v>471111</v>
      </c>
    </row>
    <row r="69" spans="2:6" x14ac:dyDescent="0.3">
      <c r="B69" s="21"/>
      <c r="C69" t="s">
        <v>119</v>
      </c>
      <c r="E69">
        <v>18994</v>
      </c>
    </row>
    <row r="70" spans="2:6" x14ac:dyDescent="0.3">
      <c r="B70" s="21"/>
      <c r="C70" t="s">
        <v>120</v>
      </c>
      <c r="E70">
        <v>28687</v>
      </c>
    </row>
    <row r="71" spans="2:6" x14ac:dyDescent="0.3">
      <c r="B71" s="21"/>
      <c r="C71" t="s">
        <v>121</v>
      </c>
      <c r="E71">
        <v>266000</v>
      </c>
    </row>
    <row r="72" spans="2:6" x14ac:dyDescent="0.3">
      <c r="B72" s="21"/>
      <c r="F72" s="34">
        <f>E49+E50+E51+E52+E54+E55+E56+E57++E59+E60+E61+E62+E63+E64+E65+E66+E67+E68+E69+E70+E71</f>
        <v>12352626</v>
      </c>
    </row>
    <row r="73" spans="2:6" x14ac:dyDescent="0.3">
      <c r="B73" s="21"/>
    </row>
    <row r="74" spans="2:6" x14ac:dyDescent="0.3">
      <c r="B74" s="21" t="s">
        <v>158</v>
      </c>
      <c r="C74" s="21" t="s">
        <v>124</v>
      </c>
      <c r="E74" s="21" t="s">
        <v>70</v>
      </c>
      <c r="F74" s="21" t="s">
        <v>70</v>
      </c>
    </row>
    <row r="75" spans="2:6" x14ac:dyDescent="0.3">
      <c r="B75" s="21"/>
      <c r="C75" t="s">
        <v>125</v>
      </c>
      <c r="D75" s="22"/>
      <c r="E75" s="22">
        <v>104000</v>
      </c>
    </row>
    <row r="76" spans="2:6" x14ac:dyDescent="0.3">
      <c r="B76" s="21"/>
      <c r="C76" t="s">
        <v>126</v>
      </c>
      <c r="E76">
        <v>4384000</v>
      </c>
    </row>
    <row r="77" spans="2:6" x14ac:dyDescent="0.3">
      <c r="B77" s="21"/>
      <c r="F77" s="34">
        <f>E75+E76</f>
        <v>4488000</v>
      </c>
    </row>
    <row r="78" spans="2:6" x14ac:dyDescent="0.3">
      <c r="B78" s="21"/>
    </row>
    <row r="79" spans="2:6" x14ac:dyDescent="0.3">
      <c r="B79" s="38" t="s">
        <v>165</v>
      </c>
      <c r="C79" s="21" t="s">
        <v>127</v>
      </c>
      <c r="D79" s="21"/>
      <c r="E79" s="21" t="s">
        <v>70</v>
      </c>
      <c r="F79" s="21" t="s">
        <v>70</v>
      </c>
    </row>
    <row r="80" spans="2:6" x14ac:dyDescent="0.3">
      <c r="B80" s="21"/>
      <c r="C80" t="s">
        <v>128</v>
      </c>
      <c r="E80">
        <v>1317312.8700000001</v>
      </c>
    </row>
    <row r="81" spans="2:8" x14ac:dyDescent="0.3">
      <c r="B81" s="21"/>
      <c r="C81" t="s">
        <v>129</v>
      </c>
      <c r="E81" s="22">
        <v>2957102.5</v>
      </c>
    </row>
    <row r="82" spans="2:8" x14ac:dyDescent="0.3">
      <c r="B82" s="21"/>
      <c r="C82" t="s">
        <v>130</v>
      </c>
      <c r="E82">
        <v>572836</v>
      </c>
      <c r="F82" s="34"/>
    </row>
    <row r="83" spans="2:8" x14ac:dyDescent="0.3">
      <c r="B83" s="21"/>
      <c r="C83" t="s">
        <v>132</v>
      </c>
      <c r="E83">
        <v>4431596</v>
      </c>
    </row>
    <row r="84" spans="2:8" x14ac:dyDescent="0.3">
      <c r="B84" s="21"/>
      <c r="F84" s="34">
        <f>E83+E82+E81+E80</f>
        <v>9278847.370000001</v>
      </c>
    </row>
    <row r="85" spans="2:8" x14ac:dyDescent="0.3">
      <c r="B85" s="21"/>
    </row>
    <row r="86" spans="2:8" x14ac:dyDescent="0.3">
      <c r="B86" s="21" t="s">
        <v>159</v>
      </c>
      <c r="C86" s="21" t="s">
        <v>134</v>
      </c>
    </row>
    <row r="87" spans="2:8" x14ac:dyDescent="0.3">
      <c r="B87" s="21"/>
      <c r="C87" t="s">
        <v>32</v>
      </c>
      <c r="E87" s="21" t="s">
        <v>70</v>
      </c>
      <c r="F87" s="21" t="s">
        <v>70</v>
      </c>
    </row>
    <row r="88" spans="2:8" x14ac:dyDescent="0.3">
      <c r="B88" s="21"/>
      <c r="C88" t="s">
        <v>34</v>
      </c>
      <c r="D88" s="23"/>
      <c r="E88" s="35" t="s">
        <v>35</v>
      </c>
    </row>
    <row r="89" spans="2:8" x14ac:dyDescent="0.3">
      <c r="B89" s="21"/>
      <c r="C89" t="s">
        <v>36</v>
      </c>
      <c r="D89" s="23"/>
      <c r="E89" s="22">
        <v>172881.05</v>
      </c>
    </row>
    <row r="90" spans="2:8" x14ac:dyDescent="0.3">
      <c r="B90" s="21"/>
      <c r="C90" t="s">
        <v>37</v>
      </c>
      <c r="D90" s="23"/>
      <c r="E90">
        <v>2307151.85</v>
      </c>
    </row>
    <row r="91" spans="2:8" x14ac:dyDescent="0.3">
      <c r="B91" s="21"/>
      <c r="C91" t="s">
        <v>135</v>
      </c>
      <c r="E91">
        <v>18209</v>
      </c>
      <c r="H91" s="34"/>
    </row>
    <row r="92" spans="2:8" x14ac:dyDescent="0.3">
      <c r="B92" s="21"/>
      <c r="C92" t="s">
        <v>144</v>
      </c>
      <c r="E92">
        <v>3213.39</v>
      </c>
      <c r="F92" s="34">
        <f>E93</f>
        <v>2501455.29</v>
      </c>
    </row>
    <row r="93" spans="2:8" x14ac:dyDescent="0.3">
      <c r="B93" s="21"/>
      <c r="E93" s="22">
        <f>SUM(E89:E92)</f>
        <v>2501455.29</v>
      </c>
      <c r="F93" s="36"/>
    </row>
    <row r="94" spans="2:8" x14ac:dyDescent="0.3">
      <c r="B94" s="21" t="s">
        <v>160</v>
      </c>
      <c r="C94" s="21" t="s">
        <v>136</v>
      </c>
      <c r="D94" s="21"/>
      <c r="E94" s="21" t="s">
        <v>70</v>
      </c>
      <c r="F94" s="21" t="s">
        <v>70</v>
      </c>
    </row>
    <row r="95" spans="2:8" x14ac:dyDescent="0.3">
      <c r="B95" s="21"/>
      <c r="C95" t="s">
        <v>126</v>
      </c>
      <c r="D95" t="s">
        <v>137</v>
      </c>
      <c r="E95">
        <v>3285250</v>
      </c>
    </row>
    <row r="96" spans="2:8" x14ac:dyDescent="0.3">
      <c r="B96" s="21"/>
      <c r="C96" t="s">
        <v>138</v>
      </c>
      <c r="D96" t="s">
        <v>139</v>
      </c>
      <c r="E96">
        <v>2546433</v>
      </c>
    </row>
    <row r="97" spans="2:6" x14ac:dyDescent="0.3">
      <c r="B97" s="21"/>
      <c r="F97" s="34">
        <f>E96+E95</f>
        <v>5831683</v>
      </c>
    </row>
    <row r="98" spans="2:6" x14ac:dyDescent="0.3">
      <c r="B98" s="21"/>
    </row>
    <row r="99" spans="2:6" x14ac:dyDescent="0.3">
      <c r="B99" s="38" t="s">
        <v>161</v>
      </c>
      <c r="C99" s="21" t="s">
        <v>140</v>
      </c>
      <c r="E99" s="21" t="s">
        <v>70</v>
      </c>
      <c r="F99" s="21" t="s">
        <v>70</v>
      </c>
    </row>
    <row r="100" spans="2:6" x14ac:dyDescent="0.3">
      <c r="B100" s="21"/>
      <c r="E100">
        <v>1248096</v>
      </c>
    </row>
    <row r="101" spans="2:6" x14ac:dyDescent="0.3">
      <c r="B101" s="21"/>
      <c r="E101">
        <v>2348624</v>
      </c>
      <c r="F101" s="34">
        <f>E101+E100</f>
        <v>3596720</v>
      </c>
    </row>
    <row r="102" spans="2:6" x14ac:dyDescent="0.3">
      <c r="B102" s="38" t="s">
        <v>162</v>
      </c>
      <c r="C102" s="21" t="s">
        <v>141</v>
      </c>
      <c r="E102" s="21" t="s">
        <v>70</v>
      </c>
      <c r="F102" s="21" t="s">
        <v>70</v>
      </c>
    </row>
    <row r="103" spans="2:6" x14ac:dyDescent="0.3">
      <c r="B103" s="21"/>
      <c r="C103" t="s">
        <v>142</v>
      </c>
      <c r="E103">
        <v>875000</v>
      </c>
    </row>
    <row r="104" spans="2:6" x14ac:dyDescent="0.3">
      <c r="B104" s="21"/>
      <c r="C104" t="s">
        <v>143</v>
      </c>
      <c r="E104">
        <v>875000</v>
      </c>
      <c r="F104" s="34">
        <f>E104+E103</f>
        <v>1750000</v>
      </c>
    </row>
    <row r="105" spans="2:6" x14ac:dyDescent="0.3">
      <c r="B105" s="21"/>
    </row>
    <row r="106" spans="2:6" x14ac:dyDescent="0.3">
      <c r="B106" s="38" t="s">
        <v>163</v>
      </c>
      <c r="C106" s="21" t="s">
        <v>145</v>
      </c>
      <c r="E106" s="21" t="s">
        <v>70</v>
      </c>
      <c r="F106" s="21" t="s">
        <v>70</v>
      </c>
    </row>
    <row r="107" spans="2:6" x14ac:dyDescent="0.3">
      <c r="B107" s="21"/>
      <c r="C107" t="s">
        <v>146</v>
      </c>
      <c r="E107">
        <v>956750</v>
      </c>
    </row>
    <row r="108" spans="2:6" x14ac:dyDescent="0.3">
      <c r="B108" s="21"/>
      <c r="C108" t="s">
        <v>49</v>
      </c>
      <c r="E108">
        <v>7000</v>
      </c>
    </row>
    <row r="109" spans="2:6" x14ac:dyDescent="0.3">
      <c r="B109" s="21"/>
      <c r="C109" t="s">
        <v>147</v>
      </c>
      <c r="E109">
        <v>172787</v>
      </c>
    </row>
    <row r="110" spans="2:6" x14ac:dyDescent="0.3">
      <c r="B110" s="21"/>
      <c r="C110" t="s">
        <v>148</v>
      </c>
      <c r="E110">
        <v>1356030.79</v>
      </c>
    </row>
    <row r="111" spans="2:6" x14ac:dyDescent="0.3">
      <c r="B111" s="21"/>
      <c r="C111" t="s">
        <v>149</v>
      </c>
      <c r="E111">
        <v>852859</v>
      </c>
    </row>
    <row r="112" spans="2:6" x14ac:dyDescent="0.3">
      <c r="B112" s="21"/>
      <c r="C112" t="s">
        <v>150</v>
      </c>
      <c r="E112">
        <v>2409335</v>
      </c>
    </row>
    <row r="113" spans="2:6" x14ac:dyDescent="0.3">
      <c r="B113" s="21"/>
      <c r="C113" t="s">
        <v>151</v>
      </c>
      <c r="F113" s="34">
        <f>E112+E111+E110+E109+E108+E107</f>
        <v>5754761.79</v>
      </c>
    </row>
    <row r="114" spans="2:6" x14ac:dyDescent="0.3">
      <c r="B114" s="21"/>
    </row>
    <row r="115" spans="2:6" x14ac:dyDescent="0.3">
      <c r="B115" s="21"/>
    </row>
    <row r="116" spans="2:6" x14ac:dyDescent="0.3">
      <c r="B116" s="38" t="s">
        <v>164</v>
      </c>
      <c r="C116" s="21" t="s">
        <v>152</v>
      </c>
      <c r="E116" s="21" t="s">
        <v>70</v>
      </c>
      <c r="F116" s="21" t="s">
        <v>70</v>
      </c>
    </row>
    <row r="117" spans="2:6" x14ac:dyDescent="0.3">
      <c r="B117" s="21"/>
      <c r="C117" s="21" t="s">
        <v>28</v>
      </c>
    </row>
    <row r="118" spans="2:6" x14ac:dyDescent="0.3">
      <c r="B118" s="21"/>
      <c r="C118" t="s">
        <v>29</v>
      </c>
      <c r="E118">
        <v>9150745</v>
      </c>
    </row>
    <row r="119" spans="2:6" x14ac:dyDescent="0.3">
      <c r="B119" s="21"/>
      <c r="C119" t="s">
        <v>30</v>
      </c>
      <c r="E119">
        <v>3832600</v>
      </c>
    </row>
    <row r="120" spans="2:6" x14ac:dyDescent="0.3">
      <c r="B120" s="21"/>
      <c r="C120" t="s">
        <v>31</v>
      </c>
      <c r="E120">
        <v>5547106</v>
      </c>
    </row>
    <row r="121" spans="2:6" x14ac:dyDescent="0.3">
      <c r="B121" s="21"/>
      <c r="F121" s="34">
        <f>E120+E119+E118</f>
        <v>18530451</v>
      </c>
    </row>
    <row r="122" spans="2:6" x14ac:dyDescent="0.3">
      <c r="B122" s="21"/>
    </row>
    <row r="123" spans="2:6" x14ac:dyDescent="0.3">
      <c r="B123" s="21"/>
      <c r="C123" s="21"/>
    </row>
    <row r="124" spans="2:6" x14ac:dyDescent="0.3">
      <c r="B124" s="38" t="s">
        <v>167</v>
      </c>
      <c r="C124" s="34" t="s">
        <v>166</v>
      </c>
    </row>
    <row r="125" spans="2:6" x14ac:dyDescent="0.3">
      <c r="B125" s="21"/>
      <c r="C125" s="39" t="s">
        <v>95</v>
      </c>
      <c r="E125">
        <v>7240215</v>
      </c>
    </row>
    <row r="126" spans="2:6" x14ac:dyDescent="0.3">
      <c r="B126" s="21"/>
      <c r="C126" s="39" t="s">
        <v>77</v>
      </c>
      <c r="D126" s="39"/>
      <c r="E126" s="39">
        <v>17345636</v>
      </c>
    </row>
    <row r="127" spans="2:6" x14ac:dyDescent="0.3">
      <c r="B127" s="21"/>
      <c r="C127" s="39" t="s">
        <v>81</v>
      </c>
      <c r="E127">
        <v>10000000</v>
      </c>
    </row>
    <row r="128" spans="2:6" x14ac:dyDescent="0.3">
      <c r="B128" s="21"/>
      <c r="C128" s="39" t="s">
        <v>82</v>
      </c>
      <c r="E128">
        <v>20000</v>
      </c>
    </row>
    <row r="129" spans="2:6" x14ac:dyDescent="0.3">
      <c r="B129" s="21"/>
      <c r="C129" s="39" t="s">
        <v>83</v>
      </c>
      <c r="E129">
        <v>1194015</v>
      </c>
    </row>
    <row r="130" spans="2:6" x14ac:dyDescent="0.3">
      <c r="B130" s="21"/>
      <c r="C130" s="39" t="s">
        <v>84</v>
      </c>
      <c r="E130">
        <v>100000</v>
      </c>
    </row>
    <row r="131" spans="2:6" x14ac:dyDescent="0.3">
      <c r="B131" s="21"/>
      <c r="C131" s="39" t="s">
        <v>85</v>
      </c>
      <c r="E131">
        <v>25000</v>
      </c>
    </row>
    <row r="132" spans="2:6" x14ac:dyDescent="0.3">
      <c r="B132" s="21"/>
      <c r="C132" s="39" t="s">
        <v>88</v>
      </c>
      <c r="E132">
        <v>1000000</v>
      </c>
    </row>
    <row r="133" spans="2:6" x14ac:dyDescent="0.3">
      <c r="B133" s="21"/>
      <c r="C133" s="39" t="s">
        <v>89</v>
      </c>
      <c r="E133">
        <v>1000000</v>
      </c>
    </row>
    <row r="134" spans="2:6" x14ac:dyDescent="0.3">
      <c r="B134" s="21"/>
      <c r="C134" s="39" t="s">
        <v>95</v>
      </c>
      <c r="D134" s="39"/>
      <c r="E134" s="39">
        <v>7240215</v>
      </c>
      <c r="F134" s="34">
        <f>E134+E133+E132+E131+E130+E129+E128+E127+E126+E125</f>
        <v>45165081</v>
      </c>
    </row>
    <row r="135" spans="2:6" x14ac:dyDescent="0.3">
      <c r="B135" s="21"/>
    </row>
    <row r="136" spans="2:6" x14ac:dyDescent="0.3">
      <c r="B136" s="21"/>
    </row>
    <row r="137" spans="2:6" x14ac:dyDescent="0.3">
      <c r="B137" s="38" t="s">
        <v>180</v>
      </c>
      <c r="C137" s="34" t="s">
        <v>179</v>
      </c>
      <c r="E137" t="s">
        <v>182</v>
      </c>
      <c r="F137" t="s">
        <v>182</v>
      </c>
    </row>
    <row r="138" spans="2:6" x14ac:dyDescent="0.3">
      <c r="B138" s="21"/>
      <c r="C138" t="s">
        <v>181</v>
      </c>
      <c r="E138">
        <v>78600</v>
      </c>
    </row>
    <row r="139" spans="2:6" x14ac:dyDescent="0.3">
      <c r="B139" s="21"/>
      <c r="C139" t="s">
        <v>183</v>
      </c>
      <c r="E139">
        <v>4891083.8499999996</v>
      </c>
    </row>
    <row r="140" spans="2:6" x14ac:dyDescent="0.3">
      <c r="B140" s="21"/>
      <c r="C140" t="s">
        <v>184</v>
      </c>
      <c r="E140">
        <v>500000</v>
      </c>
    </row>
    <row r="141" spans="2:6" x14ac:dyDescent="0.3">
      <c r="B141" s="21"/>
      <c r="C141" t="s">
        <v>79</v>
      </c>
      <c r="E141">
        <v>463557</v>
      </c>
    </row>
    <row r="142" spans="2:6" x14ac:dyDescent="0.3">
      <c r="B142" s="21"/>
      <c r="C142" t="s">
        <v>80</v>
      </c>
      <c r="E142">
        <v>140000</v>
      </c>
    </row>
    <row r="143" spans="2:6" x14ac:dyDescent="0.3">
      <c r="B143" s="21"/>
      <c r="F143" s="34">
        <f>E142+E141+E139+E140+E138</f>
        <v>6073240.8499999996</v>
      </c>
    </row>
    <row r="144" spans="2:6" x14ac:dyDescent="0.3">
      <c r="B144" s="21"/>
    </row>
    <row r="145" spans="2:6" x14ac:dyDescent="0.3">
      <c r="B145" s="38" t="s">
        <v>180</v>
      </c>
      <c r="C145" s="34" t="s">
        <v>131</v>
      </c>
      <c r="E145" t="s">
        <v>182</v>
      </c>
      <c r="F145" t="s">
        <v>182</v>
      </c>
    </row>
    <row r="146" spans="2:6" x14ac:dyDescent="0.3">
      <c r="B146" s="21"/>
      <c r="C146" t="s">
        <v>126</v>
      </c>
      <c r="E146">
        <v>35372043</v>
      </c>
    </row>
    <row r="147" spans="2:6" x14ac:dyDescent="0.3">
      <c r="B147" s="21"/>
      <c r="C147" t="s">
        <v>67</v>
      </c>
      <c r="E147" s="22">
        <v>22921965.199999999</v>
      </c>
      <c r="F147" s="34">
        <f>E146+E147</f>
        <v>58294008.200000003</v>
      </c>
    </row>
    <row r="148" spans="2:6" x14ac:dyDescent="0.3">
      <c r="B148" s="21"/>
      <c r="E148" s="22"/>
      <c r="F148" s="34"/>
    </row>
    <row r="149" spans="2:6" x14ac:dyDescent="0.3">
      <c r="B149" s="38" t="s">
        <v>188</v>
      </c>
      <c r="C149" s="38" t="s">
        <v>187</v>
      </c>
      <c r="F149" s="34">
        <v>15091919</v>
      </c>
    </row>
    <row r="150" spans="2:6" x14ac:dyDescent="0.3">
      <c r="B150" s="21"/>
    </row>
    <row r="151" spans="2:6" x14ac:dyDescent="0.3">
      <c r="B151" s="21"/>
    </row>
    <row r="152" spans="2:6" x14ac:dyDescent="0.3">
      <c r="B152" s="21"/>
    </row>
    <row r="153" spans="2:6" x14ac:dyDescent="0.3">
      <c r="B153" s="21"/>
    </row>
    <row r="154" spans="2:6" x14ac:dyDescent="0.3">
      <c r="B154" s="21"/>
    </row>
    <row r="155" spans="2:6" x14ac:dyDescent="0.3">
      <c r="B155" s="21"/>
    </row>
    <row r="156" spans="2:6" x14ac:dyDescent="0.3">
      <c r="B156" s="21"/>
    </row>
    <row r="157" spans="2:6" x14ac:dyDescent="0.3">
      <c r="B157" s="21"/>
    </row>
    <row r="158" spans="2:6" x14ac:dyDescent="0.3">
      <c r="B158" s="21"/>
    </row>
    <row r="159" spans="2:6" x14ac:dyDescent="0.3">
      <c r="B159" s="21"/>
    </row>
    <row r="160" spans="2:6" x14ac:dyDescent="0.3">
      <c r="B160" s="21"/>
    </row>
    <row r="161" spans="2:2" x14ac:dyDescent="0.3">
      <c r="B161" s="21"/>
    </row>
    <row r="162" spans="2:2" x14ac:dyDescent="0.3">
      <c r="B162" s="21"/>
    </row>
    <row r="163" spans="2:2" x14ac:dyDescent="0.3">
      <c r="B163" s="21"/>
    </row>
    <row r="164" spans="2:2" x14ac:dyDescent="0.3">
      <c r="B164" s="21"/>
    </row>
    <row r="165" spans="2:2" x14ac:dyDescent="0.3">
      <c r="B165" s="21"/>
    </row>
    <row r="166" spans="2:2" x14ac:dyDescent="0.3">
      <c r="B166" s="21"/>
    </row>
    <row r="167" spans="2:2" x14ac:dyDescent="0.3">
      <c r="B167" s="21"/>
    </row>
    <row r="168" spans="2:2" x14ac:dyDescent="0.3">
      <c r="B168" s="21"/>
    </row>
    <row r="169" spans="2:2" x14ac:dyDescent="0.3">
      <c r="B169" s="21"/>
    </row>
    <row r="170" spans="2:2" x14ac:dyDescent="0.3">
      <c r="B170" s="21"/>
    </row>
    <row r="171" spans="2:2" x14ac:dyDescent="0.3">
      <c r="B171" s="21"/>
    </row>
    <row r="172" spans="2:2" x14ac:dyDescent="0.3">
      <c r="B172" s="21"/>
    </row>
    <row r="173" spans="2:2" x14ac:dyDescent="0.3">
      <c r="B173" s="21"/>
    </row>
    <row r="174" spans="2:2" x14ac:dyDescent="0.3">
      <c r="B174" s="21"/>
    </row>
    <row r="175" spans="2:2" x14ac:dyDescent="0.3">
      <c r="B175" s="21"/>
    </row>
    <row r="176" spans="2:2" x14ac:dyDescent="0.3">
      <c r="B176" s="21"/>
    </row>
    <row r="177" spans="2:2" x14ac:dyDescent="0.3">
      <c r="B177" s="21"/>
    </row>
    <row r="178" spans="2:2" x14ac:dyDescent="0.3">
      <c r="B178" s="21"/>
    </row>
    <row r="179" spans="2:2" x14ac:dyDescent="0.3">
      <c r="B179" s="21"/>
    </row>
    <row r="180" spans="2:2" x14ac:dyDescent="0.3">
      <c r="B180" s="21"/>
    </row>
    <row r="181" spans="2:2" x14ac:dyDescent="0.3">
      <c r="B181" s="21"/>
    </row>
    <row r="182" spans="2:2" x14ac:dyDescent="0.3">
      <c r="B182" s="21"/>
    </row>
    <row r="183" spans="2:2" x14ac:dyDescent="0.3">
      <c r="B183" s="21"/>
    </row>
    <row r="184" spans="2:2" x14ac:dyDescent="0.3">
      <c r="B184" s="21"/>
    </row>
    <row r="185" spans="2:2" x14ac:dyDescent="0.3">
      <c r="B185" s="21"/>
    </row>
    <row r="186" spans="2:2" x14ac:dyDescent="0.3">
      <c r="B186" s="21"/>
    </row>
    <row r="187" spans="2:2" x14ac:dyDescent="0.3">
      <c r="B187" s="21"/>
    </row>
    <row r="188" spans="2:2" x14ac:dyDescent="0.3">
      <c r="B188" s="21"/>
    </row>
    <row r="189" spans="2:2" x14ac:dyDescent="0.3">
      <c r="B189" s="21"/>
    </row>
    <row r="190" spans="2:2" x14ac:dyDescent="0.3">
      <c r="B190" s="21"/>
    </row>
    <row r="191" spans="2:2" x14ac:dyDescent="0.3">
      <c r="B191" s="21"/>
    </row>
    <row r="192" spans="2:2" x14ac:dyDescent="0.3">
      <c r="B192" s="21"/>
    </row>
    <row r="193" spans="2:2" x14ac:dyDescent="0.3">
      <c r="B193" s="21"/>
    </row>
    <row r="194" spans="2:2" x14ac:dyDescent="0.3">
      <c r="B194" s="21"/>
    </row>
    <row r="195" spans="2:2" x14ac:dyDescent="0.3">
      <c r="B195" s="21"/>
    </row>
    <row r="196" spans="2:2" x14ac:dyDescent="0.3">
      <c r="B196" s="21"/>
    </row>
    <row r="197" spans="2:2" x14ac:dyDescent="0.3">
      <c r="B197" s="21"/>
    </row>
    <row r="198" spans="2:2" x14ac:dyDescent="0.3">
      <c r="B198" s="21"/>
    </row>
    <row r="199" spans="2:2" x14ac:dyDescent="0.3">
      <c r="B199" s="21"/>
    </row>
    <row r="200" spans="2:2" x14ac:dyDescent="0.3">
      <c r="B200" s="21"/>
    </row>
    <row r="201" spans="2:2" x14ac:dyDescent="0.3">
      <c r="B201" s="21"/>
    </row>
    <row r="202" spans="2:2" x14ac:dyDescent="0.3">
      <c r="B202" s="21"/>
    </row>
    <row r="203" spans="2:2" x14ac:dyDescent="0.3">
      <c r="B203" s="21"/>
    </row>
    <row r="204" spans="2:2" x14ac:dyDescent="0.3">
      <c r="B204" s="21"/>
    </row>
    <row r="205" spans="2:2" x14ac:dyDescent="0.3">
      <c r="B205" s="21"/>
    </row>
    <row r="206" spans="2:2" x14ac:dyDescent="0.3">
      <c r="B206" s="21"/>
    </row>
    <row r="207" spans="2:2" x14ac:dyDescent="0.3">
      <c r="B207" s="21"/>
    </row>
    <row r="208" spans="2:2" x14ac:dyDescent="0.3">
      <c r="B208" s="21"/>
    </row>
    <row r="209" spans="2:2" x14ac:dyDescent="0.3">
      <c r="B209" s="21"/>
    </row>
    <row r="210" spans="2:2" x14ac:dyDescent="0.3">
      <c r="B210" s="21"/>
    </row>
    <row r="211" spans="2:2" x14ac:dyDescent="0.3">
      <c r="B211" s="21"/>
    </row>
    <row r="212" spans="2:2" x14ac:dyDescent="0.3">
      <c r="B212" s="21"/>
    </row>
    <row r="213" spans="2:2" x14ac:dyDescent="0.3">
      <c r="B213" s="21"/>
    </row>
    <row r="214" spans="2:2" x14ac:dyDescent="0.3">
      <c r="B214" s="21"/>
    </row>
    <row r="215" spans="2:2" x14ac:dyDescent="0.3">
      <c r="B215" s="21"/>
    </row>
    <row r="216" spans="2:2" x14ac:dyDescent="0.3">
      <c r="B216" s="21"/>
    </row>
    <row r="217" spans="2:2" x14ac:dyDescent="0.3">
      <c r="B217" s="21"/>
    </row>
    <row r="218" spans="2:2" x14ac:dyDescent="0.3">
      <c r="B218" s="21"/>
    </row>
    <row r="219" spans="2:2" x14ac:dyDescent="0.3">
      <c r="B219" s="21"/>
    </row>
    <row r="220" spans="2:2" x14ac:dyDescent="0.3">
      <c r="B220" s="21"/>
    </row>
    <row r="221" spans="2:2" x14ac:dyDescent="0.3">
      <c r="B221" s="21"/>
    </row>
    <row r="222" spans="2:2" x14ac:dyDescent="0.3">
      <c r="B222" s="21"/>
    </row>
  </sheetData>
  <pageMargins left="0.7" right="0.7" top="0.75" bottom="0.75" header="0.3" footer="0.3"/>
  <pageSetup paperSize="9"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C3:G23"/>
  <sheetViews>
    <sheetView topLeftCell="A7" workbookViewId="0">
      <selection activeCell="D20" sqref="D20"/>
    </sheetView>
  </sheetViews>
  <sheetFormatPr defaultRowHeight="16.5" x14ac:dyDescent="0.3"/>
  <cols>
    <col min="4" max="4" width="46.28515625" customWidth="1"/>
    <col min="5" max="5" width="25.85546875" customWidth="1"/>
    <col min="6" max="6" width="48.85546875" customWidth="1"/>
    <col min="7" max="7" width="25.140625" customWidth="1"/>
  </cols>
  <sheetData>
    <row r="3" spans="3:7" ht="33.75" x14ac:dyDescent="0.5">
      <c r="D3" s="105"/>
      <c r="E3" s="106" t="s">
        <v>216</v>
      </c>
      <c r="F3" s="21"/>
      <c r="G3" s="21"/>
    </row>
    <row r="4" spans="3:7" ht="33.75" x14ac:dyDescent="0.5">
      <c r="D4" s="105"/>
      <c r="E4" s="106" t="s">
        <v>278</v>
      </c>
      <c r="F4" s="21"/>
      <c r="G4" s="21"/>
    </row>
    <row r="5" spans="3:7" s="90" customFormat="1" ht="18" x14ac:dyDescent="0.25">
      <c r="D5" s="91" t="s">
        <v>210</v>
      </c>
      <c r="E5" s="92" t="s">
        <v>199</v>
      </c>
      <c r="F5" s="93" t="s">
        <v>212</v>
      </c>
      <c r="G5" s="92" t="s">
        <v>199</v>
      </c>
    </row>
    <row r="6" spans="3:7" s="90" customFormat="1" ht="18" x14ac:dyDescent="0.25">
      <c r="C6" s="94"/>
      <c r="D6" s="95"/>
      <c r="E6" s="96"/>
      <c r="F6" s="96"/>
      <c r="G6" s="97"/>
    </row>
    <row r="7" spans="3:7" s="90" customFormat="1" ht="18" x14ac:dyDescent="0.25">
      <c r="C7" s="94"/>
      <c r="D7" s="98" t="s">
        <v>33</v>
      </c>
      <c r="E7" s="115">
        <v>225120556.13999999</v>
      </c>
      <c r="F7" s="98" t="s">
        <v>200</v>
      </c>
      <c r="G7" s="115">
        <v>126255778.42</v>
      </c>
    </row>
    <row r="8" spans="3:7" s="90" customFormat="1" ht="18" x14ac:dyDescent="0.25">
      <c r="C8" s="94"/>
      <c r="D8" s="99" t="s">
        <v>311</v>
      </c>
      <c r="E8" s="116">
        <v>35345556.140000001</v>
      </c>
      <c r="F8" s="98" t="s">
        <v>152</v>
      </c>
      <c r="G8" s="115">
        <v>21026806.879999999</v>
      </c>
    </row>
    <row r="9" spans="3:7" s="90" customFormat="1" ht="18" x14ac:dyDescent="0.25">
      <c r="C9" s="94"/>
      <c r="D9" s="94" t="s">
        <v>287</v>
      </c>
      <c r="E9" s="97"/>
      <c r="F9" s="98" t="s">
        <v>215</v>
      </c>
      <c r="G9" s="117">
        <v>53328021.640000001</v>
      </c>
    </row>
    <row r="10" spans="3:7" s="90" customFormat="1" ht="18" x14ac:dyDescent="0.25">
      <c r="C10" s="94"/>
      <c r="D10" s="94"/>
      <c r="E10" s="97"/>
      <c r="F10" s="98" t="s">
        <v>285</v>
      </c>
      <c r="G10" s="117"/>
    </row>
    <row r="11" spans="3:7" s="90" customFormat="1" ht="18" x14ac:dyDescent="0.25">
      <c r="C11" s="94"/>
      <c r="D11" s="94"/>
      <c r="E11" s="97"/>
      <c r="F11" s="98" t="s">
        <v>286</v>
      </c>
      <c r="G11" s="117">
        <v>9999905</v>
      </c>
    </row>
    <row r="12" spans="3:7" s="90" customFormat="1" ht="18" x14ac:dyDescent="0.25">
      <c r="C12" s="94"/>
      <c r="D12" s="98" t="s">
        <v>211</v>
      </c>
      <c r="E12" s="100">
        <f>E8+E7</f>
        <v>260466112.27999997</v>
      </c>
      <c r="F12" s="98" t="s">
        <v>213</v>
      </c>
      <c r="G12" s="100">
        <f>G11+G10+G9+G8+G7</f>
        <v>210610511.94</v>
      </c>
    </row>
    <row r="13" spans="3:7" s="90" customFormat="1" ht="18" x14ac:dyDescent="0.25">
      <c r="C13" s="94"/>
      <c r="D13" s="99"/>
      <c r="E13" s="98"/>
      <c r="F13" s="97"/>
      <c r="G13" s="97"/>
    </row>
    <row r="14" spans="3:7" s="90" customFormat="1" ht="18" x14ac:dyDescent="0.25">
      <c r="C14" s="94"/>
      <c r="D14" s="94" t="s">
        <v>214</v>
      </c>
      <c r="E14" s="101">
        <f>G15-E12</f>
        <v>-49855600.339999974</v>
      </c>
      <c r="F14" s="99"/>
      <c r="G14" s="99"/>
    </row>
    <row r="15" spans="3:7" s="90" customFormat="1" ht="30" customHeight="1" x14ac:dyDescent="0.4">
      <c r="C15" s="94"/>
      <c r="D15" s="98"/>
      <c r="E15" s="103">
        <f>E12+E14</f>
        <v>210610511.94</v>
      </c>
      <c r="F15" s="102"/>
      <c r="G15" s="104">
        <f>G12</f>
        <v>210610511.94</v>
      </c>
    </row>
    <row r="21" spans="4:5" x14ac:dyDescent="0.3">
      <c r="D21" t="s">
        <v>217</v>
      </c>
      <c r="E21" s="37">
        <f>E12</f>
        <v>260466112.27999997</v>
      </c>
    </row>
    <row r="22" spans="4:5" x14ac:dyDescent="0.3">
      <c r="D22" t="s">
        <v>218</v>
      </c>
      <c r="E22" s="37">
        <v>210610511.94</v>
      </c>
    </row>
    <row r="23" spans="4:5" x14ac:dyDescent="0.3">
      <c r="D23" t="s">
        <v>219</v>
      </c>
      <c r="E23" s="37">
        <f>E22-E21</f>
        <v>-49855600.339999974</v>
      </c>
    </row>
  </sheetData>
  <pageMargins left="0.7" right="0.7" top="0.75" bottom="0.75" header="0.3" footer="0.3"/>
  <pageSetup paperSize="9" scale="9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F913-25E0-477D-B4D8-57708E1D6FBE}">
  <dimension ref="A1:B11"/>
  <sheetViews>
    <sheetView workbookViewId="0">
      <selection activeCell="A12" sqref="A12"/>
    </sheetView>
  </sheetViews>
  <sheetFormatPr defaultRowHeight="16.5" x14ac:dyDescent="0.3"/>
  <cols>
    <col min="1" max="1" width="30" customWidth="1"/>
    <col min="2" max="2" width="32.42578125" customWidth="1"/>
  </cols>
  <sheetData>
    <row r="1" spans="1:2" x14ac:dyDescent="0.3">
      <c r="A1" s="199" t="s">
        <v>452</v>
      </c>
      <c r="B1" s="199" t="s">
        <v>453</v>
      </c>
    </row>
    <row r="2" spans="1:2" x14ac:dyDescent="0.3">
      <c r="A2" t="s">
        <v>451</v>
      </c>
    </row>
    <row r="3" spans="1:2" x14ac:dyDescent="0.3">
      <c r="A3" t="s">
        <v>454</v>
      </c>
    </row>
    <row r="4" spans="1:2" x14ac:dyDescent="0.3">
      <c r="A4" t="s">
        <v>455</v>
      </c>
    </row>
    <row r="5" spans="1:2" x14ac:dyDescent="0.3">
      <c r="A5" t="s">
        <v>456</v>
      </c>
    </row>
    <row r="6" spans="1:2" x14ac:dyDescent="0.3">
      <c r="A6" t="s">
        <v>457</v>
      </c>
    </row>
    <row r="7" spans="1:2" x14ac:dyDescent="0.3">
      <c r="A7" t="s">
        <v>458</v>
      </c>
    </row>
    <row r="8" spans="1:2" x14ac:dyDescent="0.3">
      <c r="A8" t="s">
        <v>459</v>
      </c>
    </row>
    <row r="9" spans="1:2" x14ac:dyDescent="0.3">
      <c r="A9" t="s">
        <v>460</v>
      </c>
    </row>
    <row r="10" spans="1:2" x14ac:dyDescent="0.3">
      <c r="A10" t="s">
        <v>461</v>
      </c>
    </row>
    <row r="11" spans="1:2" x14ac:dyDescent="0.3">
      <c r="A11" t="s">
        <v>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C4:D10"/>
  <sheetViews>
    <sheetView topLeftCell="A7" workbookViewId="0">
      <selection activeCell="Q15" sqref="Q15"/>
    </sheetView>
  </sheetViews>
  <sheetFormatPr defaultRowHeight="16.5" x14ac:dyDescent="0.3"/>
  <cols>
    <col min="3" max="3" width="21.28515625" customWidth="1"/>
    <col min="4" max="4" width="22" customWidth="1"/>
  </cols>
  <sheetData>
    <row r="4" spans="3:4" x14ac:dyDescent="0.3">
      <c r="C4" s="85" t="s">
        <v>207</v>
      </c>
      <c r="D4" s="85" t="s">
        <v>199</v>
      </c>
    </row>
    <row r="5" spans="3:4" x14ac:dyDescent="0.3">
      <c r="C5" s="86">
        <v>2018</v>
      </c>
      <c r="D5" s="87">
        <v>8435260.3000000007</v>
      </c>
    </row>
    <row r="6" spans="3:4" x14ac:dyDescent="0.3">
      <c r="C6" s="86">
        <v>2019</v>
      </c>
      <c r="D6" s="87">
        <v>10986182</v>
      </c>
    </row>
    <row r="7" spans="3:4" x14ac:dyDescent="0.3">
      <c r="C7" s="86">
        <v>2020</v>
      </c>
      <c r="D7" s="87">
        <v>5195756</v>
      </c>
    </row>
    <row r="8" spans="3:4" x14ac:dyDescent="0.3">
      <c r="C8" s="86">
        <v>2021</v>
      </c>
      <c r="D8" s="87">
        <v>2928291.3</v>
      </c>
    </row>
    <row r="9" spans="3:4" ht="17.25" thickBot="1" x14ac:dyDescent="0.35">
      <c r="C9" s="86" t="s">
        <v>209</v>
      </c>
      <c r="D9" s="87">
        <v>12827936</v>
      </c>
    </row>
    <row r="10" spans="3:4" ht="19.5" thickBot="1" x14ac:dyDescent="0.5">
      <c r="C10" s="88" t="s">
        <v>208</v>
      </c>
      <c r="D10" s="89">
        <f>SUM(D5:D9)</f>
        <v>40373425.600000001</v>
      </c>
    </row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7:K27"/>
  <sheetViews>
    <sheetView showGridLines="0" topLeftCell="A22" workbookViewId="0">
      <selection activeCell="I19" sqref="I19"/>
    </sheetView>
  </sheetViews>
  <sheetFormatPr defaultRowHeight="15" x14ac:dyDescent="0.25"/>
  <cols>
    <col min="1" max="1" width="9.140625" style="1"/>
    <col min="2" max="2" width="29.85546875" style="1" bestFit="1" customWidth="1"/>
    <col min="3" max="3" width="18.85546875" style="1" customWidth="1"/>
    <col min="4" max="4" width="16.7109375" style="1" customWidth="1"/>
    <col min="5" max="5" width="18.7109375" style="1" customWidth="1"/>
    <col min="6" max="6" width="18" style="1" customWidth="1"/>
    <col min="7" max="7" width="19.5703125" style="1" customWidth="1"/>
    <col min="8" max="8" width="19.140625" style="1" customWidth="1"/>
    <col min="9" max="9" width="14.42578125" style="1" customWidth="1"/>
    <col min="10" max="11" width="10.140625" style="1" bestFit="1" customWidth="1"/>
    <col min="12" max="16384" width="9.140625" style="1"/>
  </cols>
  <sheetData>
    <row r="7" spans="2:10" ht="18.75" x14ac:dyDescent="0.3">
      <c r="B7" s="18" t="s">
        <v>6</v>
      </c>
      <c r="C7" s="14"/>
      <c r="D7" s="14"/>
      <c r="E7" s="14"/>
      <c r="F7" s="14"/>
      <c r="G7" s="14"/>
      <c r="H7" s="15"/>
    </row>
    <row r="8" spans="2:10" x14ac:dyDescent="0.25">
      <c r="B8" s="19" t="s">
        <v>153</v>
      </c>
      <c r="C8" s="14"/>
      <c r="D8" s="14"/>
      <c r="E8" s="14"/>
      <c r="F8" s="14"/>
      <c r="G8" s="14"/>
      <c r="H8" s="14"/>
    </row>
    <row r="9" spans="2:10" x14ac:dyDescent="0.25">
      <c r="B9" s="6"/>
      <c r="C9" s="16"/>
      <c r="D9" s="16" t="s">
        <v>14</v>
      </c>
      <c r="E9" s="16"/>
      <c r="F9" s="16"/>
      <c r="G9" s="16"/>
      <c r="H9" s="16"/>
    </row>
    <row r="10" spans="2:10" x14ac:dyDescent="0.25">
      <c r="B10" s="6"/>
      <c r="C10" s="17">
        <v>2018</v>
      </c>
      <c r="D10" s="17">
        <v>2019</v>
      </c>
      <c r="E10" s="17">
        <v>2020</v>
      </c>
      <c r="F10" s="17">
        <v>2021</v>
      </c>
      <c r="G10" s="17" t="s">
        <v>23</v>
      </c>
      <c r="H10" s="17" t="s">
        <v>3</v>
      </c>
    </row>
    <row r="11" spans="2:10" ht="24.95" customHeight="1" x14ac:dyDescent="0.25">
      <c r="B11" s="7" t="s">
        <v>7</v>
      </c>
      <c r="C11" s="20">
        <f>313927967+62258266</f>
        <v>376186233</v>
      </c>
      <c r="D11" s="20">
        <f>43967871+29933700+52946104+29071628+35639045+10862350+20905155+34369375+10881100+45417893+23874480+22907554+56613458</f>
        <v>417389713</v>
      </c>
      <c r="E11" s="20">
        <f>282977873+40526884</f>
        <v>323504757</v>
      </c>
      <c r="F11" s="20">
        <f>388389609+50389952</f>
        <v>438779561</v>
      </c>
      <c r="G11" s="8">
        <f>403433921+24406442</f>
        <v>427840363</v>
      </c>
      <c r="H11" s="9">
        <f>G11+F11+E11+D11+C11</f>
        <v>1983700627</v>
      </c>
    </row>
    <row r="12" spans="2:10" ht="24.95" customHeight="1" x14ac:dyDescent="0.25">
      <c r="B12" s="7"/>
      <c r="C12" s="8"/>
      <c r="D12" s="8"/>
      <c r="E12" s="8"/>
      <c r="F12" s="8"/>
      <c r="G12" s="8"/>
      <c r="H12" s="9"/>
    </row>
    <row r="13" spans="2:10" ht="24.95" customHeight="1" x14ac:dyDescent="0.25">
      <c r="B13" s="7"/>
      <c r="C13" s="8"/>
      <c r="D13" s="8"/>
      <c r="E13" s="8"/>
      <c r="F13" s="8"/>
      <c r="G13" s="8"/>
      <c r="H13" s="9"/>
    </row>
    <row r="14" spans="2:10" ht="24.95" customHeight="1" x14ac:dyDescent="0.25">
      <c r="B14" s="10" t="s">
        <v>4</v>
      </c>
      <c r="C14" s="11">
        <f t="shared" ref="C14:G14" si="0">SUM(C11:C13)</f>
        <v>376186233</v>
      </c>
      <c r="D14" s="11">
        <f t="shared" si="0"/>
        <v>417389713</v>
      </c>
      <c r="E14" s="11">
        <f t="shared" ref="E14" si="1">SUM(E11:E13)</f>
        <v>323504757</v>
      </c>
      <c r="F14" s="11">
        <f t="shared" si="0"/>
        <v>438779561</v>
      </c>
      <c r="G14" s="11">
        <f t="shared" si="0"/>
        <v>427840363</v>
      </c>
      <c r="H14" s="11">
        <f>SUM(H11:H13)</f>
        <v>1983700627</v>
      </c>
    </row>
    <row r="15" spans="2:10" ht="24.95" customHeight="1" x14ac:dyDescent="0.25">
      <c r="B15" s="12"/>
      <c r="C15" s="13"/>
      <c r="D15" s="13"/>
      <c r="E15" s="13"/>
      <c r="F15" s="13"/>
      <c r="G15" s="13"/>
      <c r="H15" s="13"/>
    </row>
    <row r="16" spans="2:10" ht="24.95" customHeight="1" x14ac:dyDescent="0.25">
      <c r="B16" s="7" t="s">
        <v>0</v>
      </c>
      <c r="C16" s="8">
        <f>C23</f>
        <v>297411677.39999998</v>
      </c>
      <c r="D16" s="8">
        <f>D23</f>
        <v>313999602</v>
      </c>
      <c r="E16" s="8">
        <f>E23</f>
        <v>237271945</v>
      </c>
      <c r="F16" s="8">
        <f>F23</f>
        <v>349288368.75</v>
      </c>
      <c r="G16" s="8">
        <f>G23</f>
        <v>350571144</v>
      </c>
      <c r="H16" s="9">
        <f>G16+F16+D16+E16+C16</f>
        <v>1548542737.1500001</v>
      </c>
      <c r="J16" s="1">
        <v>2422320</v>
      </c>
    </row>
    <row r="17" spans="2:11" ht="24.95" customHeight="1" x14ac:dyDescent="0.25">
      <c r="B17" s="10" t="s">
        <v>1</v>
      </c>
      <c r="C17" s="11">
        <f>C14+C16</f>
        <v>673597910.39999998</v>
      </c>
      <c r="D17" s="11">
        <f>D14-D16</f>
        <v>103390111</v>
      </c>
      <c r="E17" s="11">
        <f>E14-E16</f>
        <v>86232812</v>
      </c>
      <c r="F17" s="11">
        <f>F14-F16</f>
        <v>89491192.25</v>
      </c>
      <c r="G17" s="11">
        <f>G14-G16</f>
        <v>77269219</v>
      </c>
      <c r="H17" s="11">
        <f>H14-H16</f>
        <v>435157889.8499999</v>
      </c>
      <c r="J17" s="1">
        <v>2636943</v>
      </c>
    </row>
    <row r="18" spans="2:11" ht="24.95" customHeight="1" x14ac:dyDescent="0.25">
      <c r="B18" s="7"/>
      <c r="C18" s="9"/>
      <c r="D18" s="9"/>
      <c r="E18" s="9"/>
      <c r="F18" s="9"/>
      <c r="G18" s="9"/>
      <c r="H18" s="9"/>
      <c r="J18" s="1">
        <v>3138455</v>
      </c>
    </row>
    <row r="19" spans="2:11" ht="24.95" customHeight="1" x14ac:dyDescent="0.25">
      <c r="B19" s="12" t="s">
        <v>12</v>
      </c>
      <c r="C19" s="9"/>
      <c r="D19" s="9"/>
      <c r="E19" s="9"/>
      <c r="F19" s="9"/>
      <c r="G19" s="9"/>
      <c r="H19" s="9"/>
      <c r="J19" s="1">
        <v>6299668</v>
      </c>
    </row>
    <row r="20" spans="2:11" ht="24.95" customHeight="1" x14ac:dyDescent="0.25">
      <c r="B20" s="7" t="s">
        <v>8</v>
      </c>
      <c r="C20" s="20">
        <f>135935317.4+14285647</f>
        <v>150220964.40000001</v>
      </c>
      <c r="D20" s="20">
        <f>267190289+21680459</f>
        <v>288870748</v>
      </c>
      <c r="E20" s="20">
        <f>203556396+14841790</f>
        <v>218398186</v>
      </c>
      <c r="F20" s="20">
        <f>126999164+27141379</f>
        <v>154140543</v>
      </c>
      <c r="G20" s="8">
        <f>160298883+9188742</f>
        <v>169487625</v>
      </c>
      <c r="H20" s="9">
        <f>G20+F20+D20+E20</f>
        <v>830897102</v>
      </c>
      <c r="J20" s="1">
        <v>3072516</v>
      </c>
    </row>
    <row r="21" spans="2:11" ht="24.95" customHeight="1" x14ac:dyDescent="0.25">
      <c r="B21" s="7" t="s">
        <v>9</v>
      </c>
      <c r="C21" s="20">
        <f>259947086+45855043</f>
        <v>305802129</v>
      </c>
      <c r="D21" s="20">
        <f>259002574+42147700</f>
        <v>301150274</v>
      </c>
      <c r="E21" s="20">
        <f>205228873+29722923</f>
        <v>234951796</v>
      </c>
      <c r="F21" s="20">
        <f>316290992.75+37536938</f>
        <v>353827930.75</v>
      </c>
      <c r="G21" s="8">
        <f>360850933+19353413</f>
        <v>380204346</v>
      </c>
      <c r="H21" s="9">
        <f t="shared" ref="H21:H22" si="2">G21+F21+D21+E21</f>
        <v>1270134346.75</v>
      </c>
      <c r="J21" s="1">
        <v>3937586</v>
      </c>
    </row>
    <row r="22" spans="2:11" ht="24.95" customHeight="1" x14ac:dyDescent="0.25">
      <c r="B22" s="7" t="s">
        <v>10</v>
      </c>
      <c r="C22" s="20">
        <f>144841500+13769916</f>
        <v>158611416</v>
      </c>
      <c r="D22" s="20">
        <f>252627907+23393513</f>
        <v>276021420</v>
      </c>
      <c r="E22" s="20">
        <f>199992295+16085742</f>
        <v>216078037</v>
      </c>
      <c r="F22" s="20">
        <f>130486139+28193966</f>
        <v>158680105</v>
      </c>
      <c r="G22" s="8">
        <f>193086946+6033881</f>
        <v>199120827</v>
      </c>
      <c r="H22" s="9">
        <f t="shared" si="2"/>
        <v>849900389</v>
      </c>
      <c r="J22" s="1">
        <f>SUM(J16:J21)</f>
        <v>21507488</v>
      </c>
      <c r="K22" s="1">
        <f>J22*0.7</f>
        <v>15055241.6</v>
      </c>
    </row>
    <row r="23" spans="2:11" ht="24.95" customHeight="1" x14ac:dyDescent="0.25">
      <c r="B23" s="4" t="s">
        <v>11</v>
      </c>
      <c r="C23" s="5">
        <f>C20+C21-C22</f>
        <v>297411677.39999998</v>
      </c>
      <c r="D23" s="5">
        <f>D20+D21-D22</f>
        <v>313999602</v>
      </c>
      <c r="E23" s="5">
        <f>E20+E21-E22</f>
        <v>237271945</v>
      </c>
      <c r="F23" s="5">
        <f>F20+F21-F22</f>
        <v>349288368.75</v>
      </c>
      <c r="G23" s="5">
        <f>G20+G21-G22</f>
        <v>350571144</v>
      </c>
      <c r="H23" s="5">
        <f>H20+H21+H22</f>
        <v>2950931837.75</v>
      </c>
    </row>
    <row r="24" spans="2:11" ht="24.95" customHeight="1" x14ac:dyDescent="0.25">
      <c r="B24" s="7" t="s">
        <v>13</v>
      </c>
      <c r="C24" s="20">
        <f>22887822.35+11361691+16623990</f>
        <v>50873503.350000001</v>
      </c>
      <c r="D24" s="20">
        <f>51111263+12835293+14431048</f>
        <v>78377604</v>
      </c>
      <c r="E24" s="20">
        <f>50649402+11319115</f>
        <v>61968517</v>
      </c>
      <c r="F24" s="20">
        <f>47587850+6760760+19727653</f>
        <v>74076263</v>
      </c>
      <c r="G24" s="8">
        <f>15055241.6+6452246.4+26223204</f>
        <v>47730692</v>
      </c>
      <c r="H24" s="9">
        <f>G24+F24+E24+D24+C24</f>
        <v>313026579.35000002</v>
      </c>
    </row>
    <row r="25" spans="2:11" ht="24.95" customHeight="1" x14ac:dyDescent="0.25">
      <c r="B25" s="7" t="s">
        <v>24</v>
      </c>
      <c r="C25" s="20">
        <v>19465792</v>
      </c>
      <c r="D25" s="20">
        <v>14026325</v>
      </c>
      <c r="E25" s="20">
        <v>19068539</v>
      </c>
      <c r="F25" s="20">
        <v>12486638</v>
      </c>
      <c r="G25" s="8">
        <f>16435591+275000</f>
        <v>16710591</v>
      </c>
      <c r="H25" s="9">
        <f>C25</f>
        <v>19465792</v>
      </c>
      <c r="J25" s="1">
        <v>15465792</v>
      </c>
    </row>
    <row r="26" spans="2:11" ht="24.95" customHeight="1" x14ac:dyDescent="0.25">
      <c r="B26" s="4" t="s">
        <v>2</v>
      </c>
      <c r="C26" s="5">
        <f>C23+C24+C25</f>
        <v>367750972.75</v>
      </c>
      <c r="D26" s="5">
        <f t="shared" ref="D26:H26" si="3">D23+D24+D25</f>
        <v>406403531</v>
      </c>
      <c r="E26" s="5">
        <f t="shared" si="3"/>
        <v>318309001</v>
      </c>
      <c r="F26" s="5">
        <f t="shared" si="3"/>
        <v>435851269.75</v>
      </c>
      <c r="G26" s="5">
        <f t="shared" si="3"/>
        <v>415012427</v>
      </c>
      <c r="H26" s="5">
        <f t="shared" si="3"/>
        <v>3283424209.0999999</v>
      </c>
    </row>
    <row r="27" spans="2:11" ht="24.95" customHeight="1" x14ac:dyDescent="0.25">
      <c r="B27" s="2" t="s">
        <v>203</v>
      </c>
      <c r="C27" s="3">
        <f>C14-C26</f>
        <v>8435260.25</v>
      </c>
      <c r="D27" s="3">
        <f t="shared" ref="D27:G27" si="4">D14-D26</f>
        <v>10986182</v>
      </c>
      <c r="E27" s="3">
        <f t="shared" si="4"/>
        <v>5195756</v>
      </c>
      <c r="F27" s="3">
        <f t="shared" si="4"/>
        <v>2928291.25</v>
      </c>
      <c r="G27" s="3">
        <f t="shared" si="4"/>
        <v>12827936</v>
      </c>
      <c r="H27" s="3">
        <f>C27+D27+E27+F27+G27</f>
        <v>40373425.5</v>
      </c>
    </row>
  </sheetData>
  <conditionalFormatting sqref="B7:B8">
    <cfRule type="duplicateValues" dxfId="3" priority="1"/>
  </conditionalFormatting>
  <pageMargins left="0.7" right="0.7" top="0.75" bottom="0.75" header="0.3" footer="0.3"/>
  <pageSetup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5:H29"/>
  <sheetViews>
    <sheetView topLeftCell="A28" workbookViewId="0">
      <selection activeCell="D30" sqref="B1:D30"/>
    </sheetView>
  </sheetViews>
  <sheetFormatPr defaultRowHeight="16.5" x14ac:dyDescent="0.3"/>
  <cols>
    <col min="2" max="2" width="82.5703125" customWidth="1"/>
    <col min="3" max="3" width="36.140625" customWidth="1"/>
    <col min="4" max="4" width="55.28515625" customWidth="1"/>
    <col min="6" max="7" width="14.5703125" bestFit="1" customWidth="1"/>
  </cols>
  <sheetData>
    <row r="5" spans="2:8" x14ac:dyDescent="0.3">
      <c r="B5" s="24"/>
      <c r="C5" s="24"/>
      <c r="D5" s="24"/>
    </row>
    <row r="6" spans="2:8" ht="24.95" customHeight="1" x14ac:dyDescent="0.4">
      <c r="B6" s="45" t="s">
        <v>204</v>
      </c>
      <c r="C6" s="45"/>
      <c r="D6" s="45"/>
    </row>
    <row r="7" spans="2:8" ht="24.95" customHeight="1" x14ac:dyDescent="0.4">
      <c r="B7" s="46" t="s">
        <v>190</v>
      </c>
      <c r="C7" s="46"/>
      <c r="D7" s="46"/>
    </row>
    <row r="8" spans="2:8" ht="24.95" customHeight="1" x14ac:dyDescent="0.4">
      <c r="B8" s="43" t="s">
        <v>276</v>
      </c>
      <c r="C8" s="43"/>
      <c r="D8" s="41"/>
    </row>
    <row r="9" spans="2:8" ht="24.95" customHeight="1" x14ac:dyDescent="0.35">
      <c r="B9" s="48" t="s">
        <v>191</v>
      </c>
      <c r="C9" s="48" t="s">
        <v>192</v>
      </c>
      <c r="D9" s="49" t="s">
        <v>193</v>
      </c>
    </row>
    <row r="10" spans="2:8" ht="24.95" customHeight="1" x14ac:dyDescent="0.4">
      <c r="B10" s="48" t="s">
        <v>273</v>
      </c>
      <c r="C10" s="114">
        <f>D27</f>
        <v>21026806.879999999</v>
      </c>
      <c r="D10" s="51"/>
    </row>
    <row r="11" spans="2:8" ht="24.95" customHeight="1" x14ac:dyDescent="0.4">
      <c r="B11" s="50" t="s">
        <v>274</v>
      </c>
      <c r="C11" s="52"/>
      <c r="D11" s="51">
        <v>40703905.619999997</v>
      </c>
    </row>
    <row r="12" spans="2:8" ht="24.95" customHeight="1" x14ac:dyDescent="0.4">
      <c r="B12" s="50" t="s">
        <v>277</v>
      </c>
      <c r="C12" s="52"/>
      <c r="D12" s="51">
        <v>15624116.02</v>
      </c>
    </row>
    <row r="13" spans="2:8" ht="24.95" customHeight="1" x14ac:dyDescent="0.4">
      <c r="B13" s="50" t="s">
        <v>275</v>
      </c>
      <c r="C13" s="52"/>
      <c r="D13" s="53">
        <v>-3000000</v>
      </c>
      <c r="H13" t="s">
        <v>196</v>
      </c>
    </row>
    <row r="14" spans="2:8" ht="24.95" customHeight="1" x14ac:dyDescent="0.5">
      <c r="B14" s="41"/>
      <c r="C14" s="54">
        <f>C10</f>
        <v>21026806.879999999</v>
      </c>
      <c r="D14" s="54">
        <f>D10+D11+D12+D13</f>
        <v>53328021.640000001</v>
      </c>
    </row>
    <row r="15" spans="2:8" ht="24.95" customHeight="1" x14ac:dyDescent="0.5">
      <c r="B15" s="41"/>
      <c r="C15" s="110"/>
      <c r="D15" s="110"/>
    </row>
    <row r="16" spans="2:8" ht="24.95" customHeight="1" x14ac:dyDescent="0.5">
      <c r="B16" s="48" t="s">
        <v>225</v>
      </c>
      <c r="C16" s="54"/>
      <c r="D16" s="110"/>
    </row>
    <row r="17" spans="2:4" ht="24.95" customHeight="1" x14ac:dyDescent="0.5">
      <c r="B17" s="50" t="s">
        <v>226</v>
      </c>
      <c r="C17" s="51">
        <f>D14</f>
        <v>53328021.640000001</v>
      </c>
      <c r="D17" s="110"/>
    </row>
    <row r="18" spans="2:4" ht="24.95" customHeight="1" x14ac:dyDescent="0.5">
      <c r="B18" s="50" t="s">
        <v>152</v>
      </c>
      <c r="C18" s="51">
        <f>C14</f>
        <v>21026806.879999999</v>
      </c>
      <c r="D18" s="110"/>
    </row>
    <row r="19" spans="2:4" ht="24.95" customHeight="1" x14ac:dyDescent="0.5">
      <c r="B19" s="50" t="s">
        <v>227</v>
      </c>
      <c r="C19" s="113">
        <f>SUM(C17:C18)</f>
        <v>74354828.519999996</v>
      </c>
      <c r="D19" s="110"/>
    </row>
    <row r="20" spans="2:4" ht="24.95" customHeight="1" x14ac:dyDescent="0.5">
      <c r="B20" s="48" t="s">
        <v>228</v>
      </c>
      <c r="C20" s="54"/>
      <c r="D20" s="54">
        <f>C19/3</f>
        <v>24784942.84</v>
      </c>
    </row>
    <row r="21" spans="2:4" ht="24.95" customHeight="1" x14ac:dyDescent="0.5">
      <c r="B21" s="41" t="s">
        <v>312</v>
      </c>
      <c r="C21" s="112"/>
      <c r="D21" s="110"/>
    </row>
    <row r="22" spans="2:4" ht="24.95" customHeight="1" x14ac:dyDescent="0.3">
      <c r="B22" s="24"/>
      <c r="C22" s="24"/>
      <c r="D22" s="24"/>
    </row>
    <row r="23" spans="2:4" ht="24.95" customHeight="1" x14ac:dyDescent="0.4">
      <c r="B23" s="50" t="s">
        <v>279</v>
      </c>
      <c r="C23" s="50"/>
      <c r="D23" s="50"/>
    </row>
    <row r="24" spans="2:4" ht="24.95" customHeight="1" x14ac:dyDescent="0.4">
      <c r="B24" s="50" t="s">
        <v>222</v>
      </c>
      <c r="C24" s="51">
        <v>6339335</v>
      </c>
      <c r="D24" s="51"/>
    </row>
    <row r="25" spans="2:4" ht="24.95" customHeight="1" x14ac:dyDescent="0.4">
      <c r="B25" s="50" t="s">
        <v>142</v>
      </c>
      <c r="C25" s="51">
        <v>7266239.79</v>
      </c>
      <c r="D25" s="51"/>
    </row>
    <row r="26" spans="2:4" ht="26.25" x14ac:dyDescent="0.4">
      <c r="B26" s="50" t="s">
        <v>223</v>
      </c>
      <c r="C26" s="51">
        <v>7421232.0899999999</v>
      </c>
      <c r="D26" s="51"/>
    </row>
    <row r="27" spans="2:4" ht="26.25" x14ac:dyDescent="0.4">
      <c r="B27" s="50" t="s">
        <v>224</v>
      </c>
      <c r="C27" s="51"/>
      <c r="D27" s="111">
        <f>C26+C25+C24</f>
        <v>21026806.879999999</v>
      </c>
    </row>
    <row r="28" spans="2:4" x14ac:dyDescent="0.3">
      <c r="B28" s="24"/>
    </row>
    <row r="29" spans="2:4" ht="18.75" x14ac:dyDescent="0.3">
      <c r="B29" s="109" t="s">
        <v>221</v>
      </c>
      <c r="C29" s="109"/>
      <c r="D29" s="21"/>
    </row>
  </sheetData>
  <pageMargins left="0.7" right="0.7" top="0.75" bottom="0.75" header="0.3" footer="0.3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C1:H87"/>
  <sheetViews>
    <sheetView tabSelected="1" zoomScale="85" zoomScaleNormal="85" workbookViewId="0">
      <selection activeCell="H4" sqref="H4"/>
    </sheetView>
  </sheetViews>
  <sheetFormatPr defaultRowHeight="16.5" x14ac:dyDescent="0.3"/>
  <cols>
    <col min="3" max="3" width="55.42578125" customWidth="1"/>
    <col min="4" max="4" width="27.7109375" customWidth="1"/>
    <col min="5" max="5" width="33.42578125" customWidth="1"/>
    <col min="6" max="6" width="25" customWidth="1"/>
    <col min="8" max="9" width="14.5703125" bestFit="1" customWidth="1"/>
  </cols>
  <sheetData>
    <row r="1" spans="3:6" x14ac:dyDescent="0.3">
      <c r="C1" s="24"/>
      <c r="D1" s="24"/>
      <c r="E1" s="24"/>
    </row>
    <row r="2" spans="3:6" ht="27.75" x14ac:dyDescent="0.4">
      <c r="C2" s="214" t="s">
        <v>205</v>
      </c>
      <c r="D2" s="214"/>
      <c r="E2" s="214"/>
      <c r="F2" s="214"/>
    </row>
    <row r="3" spans="3:6" ht="27.75" x14ac:dyDescent="0.4">
      <c r="C3" s="214" t="s">
        <v>438</v>
      </c>
      <c r="D3" s="214"/>
      <c r="E3" s="214"/>
      <c r="F3" s="214"/>
    </row>
    <row r="4" spans="3:6" ht="27.75" x14ac:dyDescent="0.4">
      <c r="C4" s="214" t="s">
        <v>432</v>
      </c>
      <c r="D4" s="214"/>
      <c r="E4" s="214"/>
      <c r="F4" s="214"/>
    </row>
    <row r="5" spans="3:6" ht="26.25" x14ac:dyDescent="0.3">
      <c r="C5" s="165" t="s">
        <v>42</v>
      </c>
      <c r="D5" s="166" t="s">
        <v>397</v>
      </c>
      <c r="E5" s="194" t="s">
        <v>199</v>
      </c>
      <c r="F5" s="195"/>
    </row>
    <row r="6" spans="3:6" ht="21" customHeight="1" x14ac:dyDescent="0.3">
      <c r="C6" s="163" t="s">
        <v>43</v>
      </c>
      <c r="D6" s="164" t="s">
        <v>154</v>
      </c>
      <c r="E6" s="168">
        <f>'unreal note'!F7</f>
        <v>4147500.8</v>
      </c>
    </row>
    <row r="7" spans="3:6" ht="21" customHeight="1" x14ac:dyDescent="0.3">
      <c r="C7" s="107" t="s">
        <v>229</v>
      </c>
      <c r="D7" s="108" t="s">
        <v>155</v>
      </c>
      <c r="E7" s="169">
        <f>'unreal note'!F22</f>
        <v>47439148.350000001</v>
      </c>
    </row>
    <row r="8" spans="3:6" ht="20.100000000000001" customHeight="1" x14ac:dyDescent="0.3">
      <c r="C8" s="107" t="s">
        <v>122</v>
      </c>
      <c r="D8" s="108" t="s">
        <v>157</v>
      </c>
      <c r="E8" s="169">
        <f>'unreal note'!F30</f>
        <v>0</v>
      </c>
    </row>
    <row r="9" spans="3:6" ht="20.100000000000001" customHeight="1" x14ac:dyDescent="0.3">
      <c r="C9" s="107" t="s">
        <v>123</v>
      </c>
      <c r="D9" s="108" t="s">
        <v>159</v>
      </c>
      <c r="E9" s="169">
        <f>'unreal note'!F84</f>
        <v>36795924.5</v>
      </c>
    </row>
    <row r="10" spans="3:6" ht="20.100000000000001" customHeight="1" x14ac:dyDescent="0.3">
      <c r="C10" s="107" t="s">
        <v>248</v>
      </c>
      <c r="D10" s="108" t="s">
        <v>164</v>
      </c>
      <c r="E10" s="169">
        <f>'unreal note'!F129</f>
        <v>4058124</v>
      </c>
    </row>
    <row r="11" spans="3:6" ht="20.100000000000001" customHeight="1" x14ac:dyDescent="0.3">
      <c r="C11" s="107" t="s">
        <v>44</v>
      </c>
      <c r="D11" s="108" t="s">
        <v>161</v>
      </c>
      <c r="E11" s="169">
        <f>'unreal note'!F98</f>
        <v>2643509.66</v>
      </c>
    </row>
    <row r="12" spans="3:6" ht="20.100000000000001" customHeight="1" x14ac:dyDescent="0.3">
      <c r="C12" s="107" t="s">
        <v>124</v>
      </c>
      <c r="D12" s="108" t="s">
        <v>160</v>
      </c>
      <c r="E12" s="169">
        <f>'unreal note'!F89</f>
        <v>9569407.5199999996</v>
      </c>
    </row>
    <row r="13" spans="3:6" ht="20.100000000000001" customHeight="1" x14ac:dyDescent="0.3">
      <c r="C13" s="107" t="s">
        <v>127</v>
      </c>
      <c r="D13" s="108" t="s">
        <v>188</v>
      </c>
      <c r="E13" s="169">
        <f>'unreal note'!F165</f>
        <v>13697127</v>
      </c>
    </row>
    <row r="14" spans="3:6" ht="20.100000000000001" customHeight="1" x14ac:dyDescent="0.3">
      <c r="C14" s="107" t="s">
        <v>133</v>
      </c>
      <c r="D14" s="108" t="s">
        <v>162</v>
      </c>
      <c r="E14" s="169">
        <f>'unreal note'!F89</f>
        <v>9569407.5199999996</v>
      </c>
    </row>
    <row r="15" spans="3:6" ht="20.100000000000001" customHeight="1" x14ac:dyDescent="0.3">
      <c r="C15" s="107" t="s">
        <v>179</v>
      </c>
      <c r="D15" s="108" t="s">
        <v>180</v>
      </c>
      <c r="E15" s="169">
        <f>'unreal note'!F158</f>
        <v>79153833.49000001</v>
      </c>
    </row>
    <row r="16" spans="3:6" ht="20.100000000000001" customHeight="1" x14ac:dyDescent="0.3">
      <c r="C16" s="107" t="s">
        <v>396</v>
      </c>
      <c r="D16" s="108" t="s">
        <v>280</v>
      </c>
      <c r="E16" s="169">
        <f>'unreal note'!F184</f>
        <v>522449.4</v>
      </c>
    </row>
    <row r="17" spans="3:8" ht="20.100000000000001" customHeight="1" x14ac:dyDescent="0.3">
      <c r="C17" s="107" t="s">
        <v>261</v>
      </c>
      <c r="D17" s="108" t="s">
        <v>257</v>
      </c>
      <c r="E17" s="169">
        <f>'unreal note'!F178</f>
        <v>0</v>
      </c>
    </row>
    <row r="18" spans="3:8" ht="20.100000000000001" customHeight="1" x14ac:dyDescent="0.3">
      <c r="C18" s="107" t="s">
        <v>262</v>
      </c>
      <c r="D18" s="108" t="s">
        <v>280</v>
      </c>
      <c r="E18" s="169">
        <f>'unreal note'!E179</f>
        <v>0</v>
      </c>
    </row>
    <row r="19" spans="3:8" ht="20.100000000000001" customHeight="1" x14ac:dyDescent="0.3">
      <c r="C19" s="170" t="s">
        <v>263</v>
      </c>
      <c r="D19" s="171" t="s">
        <v>281</v>
      </c>
      <c r="E19" s="172">
        <f>'unreal note'!E180</f>
        <v>0</v>
      </c>
    </row>
    <row r="20" spans="3:8" ht="24" customHeight="1" x14ac:dyDescent="0.4">
      <c r="C20" s="176" t="s">
        <v>45</v>
      </c>
      <c r="D20" s="177"/>
      <c r="E20" s="178">
        <f>SUM(E6:E15)</f>
        <v>207073982.84</v>
      </c>
      <c r="H20" s="37"/>
    </row>
    <row r="21" spans="3:8" ht="8.25" customHeight="1" x14ac:dyDescent="0.4">
      <c r="C21" s="181"/>
      <c r="D21" s="182"/>
      <c r="E21" s="183"/>
      <c r="H21" s="37"/>
    </row>
    <row r="22" spans="3:8" ht="23.25" customHeight="1" x14ac:dyDescent="0.35">
      <c r="C22" s="173" t="s">
        <v>433</v>
      </c>
      <c r="D22" s="166" t="s">
        <v>397</v>
      </c>
      <c r="E22" s="167" t="s">
        <v>199</v>
      </c>
    </row>
    <row r="23" spans="3:8" ht="20.100000000000001" customHeight="1" x14ac:dyDescent="0.3">
      <c r="C23" s="163" t="s">
        <v>46</v>
      </c>
      <c r="D23" s="163"/>
      <c r="E23" s="179"/>
    </row>
    <row r="24" spans="3:8" ht="20.100000000000001" customHeight="1" x14ac:dyDescent="0.3">
      <c r="C24" s="107" t="s">
        <v>201</v>
      </c>
      <c r="D24" s="108" t="s">
        <v>167</v>
      </c>
      <c r="E24" s="180">
        <f>'unreal note'!F149</f>
        <v>41313504</v>
      </c>
    </row>
    <row r="25" spans="3:8" ht="20.100000000000001" customHeight="1" x14ac:dyDescent="0.3">
      <c r="C25" s="107" t="s">
        <v>96</v>
      </c>
      <c r="D25" s="108" t="s">
        <v>158</v>
      </c>
      <c r="E25" s="180">
        <f>'unreal note'!F44</f>
        <v>6954860</v>
      </c>
    </row>
    <row r="26" spans="3:8" ht="20.100000000000001" customHeight="1" x14ac:dyDescent="0.3">
      <c r="C26" s="107" t="s">
        <v>249</v>
      </c>
      <c r="D26" s="108" t="s">
        <v>220</v>
      </c>
      <c r="E26" s="169">
        <f>'unreal note'!F173</f>
        <v>118216379</v>
      </c>
    </row>
    <row r="27" spans="3:8" ht="20.100000000000001" customHeight="1" x14ac:dyDescent="0.3">
      <c r="C27" s="107" t="s">
        <v>202</v>
      </c>
      <c r="D27" s="108" t="s">
        <v>163</v>
      </c>
      <c r="E27" s="169">
        <f>'unreal note'!F107</f>
        <v>0</v>
      </c>
    </row>
    <row r="28" spans="3:8" ht="20.100000000000001" customHeight="1" x14ac:dyDescent="0.3">
      <c r="C28" s="107" t="s">
        <v>250</v>
      </c>
      <c r="D28" s="108" t="s">
        <v>156</v>
      </c>
      <c r="E28" s="169">
        <f>'unreal note'!F26</f>
        <v>0</v>
      </c>
    </row>
    <row r="29" spans="3:8" ht="20.100000000000001" customHeight="1" x14ac:dyDescent="0.3">
      <c r="C29" s="107" t="s">
        <v>253</v>
      </c>
      <c r="D29" s="108" t="s">
        <v>251</v>
      </c>
      <c r="E29" s="169"/>
    </row>
    <row r="30" spans="3:8" ht="20.100000000000001" customHeight="1" x14ac:dyDescent="0.3">
      <c r="C30" s="107" t="s">
        <v>259</v>
      </c>
      <c r="D30" s="108" t="s">
        <v>254</v>
      </c>
      <c r="E30" s="169">
        <f>'unreal note'!E176</f>
        <v>0</v>
      </c>
    </row>
    <row r="31" spans="3:8" ht="20.100000000000001" customHeight="1" x14ac:dyDescent="0.3">
      <c r="C31" s="170" t="s">
        <v>260</v>
      </c>
      <c r="D31" s="171" t="s">
        <v>254</v>
      </c>
      <c r="E31" s="184">
        <f>'unreal note'!E177</f>
        <v>0</v>
      </c>
    </row>
    <row r="32" spans="3:8" ht="22.5" customHeight="1" x14ac:dyDescent="0.4">
      <c r="C32" s="174" t="s">
        <v>47</v>
      </c>
      <c r="D32" s="174"/>
      <c r="E32" s="175">
        <f>SUM(E25:E30)</f>
        <v>125171239</v>
      </c>
    </row>
    <row r="33" spans="3:6" ht="27" thickBot="1" x14ac:dyDescent="0.45">
      <c r="C33" s="43"/>
      <c r="D33" s="41"/>
      <c r="E33" s="42"/>
    </row>
    <row r="34" spans="3:6" ht="28.5" thickBot="1" x14ac:dyDescent="0.55000000000000004">
      <c r="C34" s="44" t="s">
        <v>48</v>
      </c>
      <c r="D34" s="41"/>
      <c r="E34" s="47">
        <f>E20-E32</f>
        <v>81902743.840000004</v>
      </c>
    </row>
    <row r="35" spans="3:6" x14ac:dyDescent="0.3">
      <c r="C35" s="24"/>
      <c r="D35" s="24"/>
      <c r="E35" s="24"/>
    </row>
    <row r="36" spans="3:6" x14ac:dyDescent="0.3">
      <c r="C36" s="212" t="s">
        <v>426</v>
      </c>
      <c r="D36" s="213"/>
      <c r="E36" s="213"/>
      <c r="F36" s="213"/>
    </row>
    <row r="37" spans="3:6" x14ac:dyDescent="0.3">
      <c r="C37" s="212"/>
      <c r="D37" s="213"/>
      <c r="E37" s="213"/>
      <c r="F37" s="213"/>
    </row>
    <row r="38" spans="3:6" x14ac:dyDescent="0.3">
      <c r="C38" s="187" t="s">
        <v>428</v>
      </c>
      <c r="D38" s="187" t="s">
        <v>430</v>
      </c>
      <c r="E38" s="190" t="s">
        <v>431</v>
      </c>
      <c r="F38" s="193" t="s">
        <v>443</v>
      </c>
    </row>
    <row r="39" spans="3:6" ht="18.75" x14ac:dyDescent="0.3">
      <c r="C39" s="185" t="s">
        <v>43</v>
      </c>
      <c r="D39" s="186">
        <v>4147500.8</v>
      </c>
      <c r="E39" s="191">
        <f>SUM(D39/D49)</f>
        <v>1.9978670901266354E-2</v>
      </c>
      <c r="F39" s="86"/>
    </row>
    <row r="40" spans="3:6" ht="18.75" x14ac:dyDescent="0.3">
      <c r="C40" s="185" t="s">
        <v>229</v>
      </c>
      <c r="D40" s="186">
        <v>47439148.350000001</v>
      </c>
      <c r="E40" s="191">
        <f>SUM(D40/D49)</f>
        <v>0.22851620250947338</v>
      </c>
      <c r="F40" s="197">
        <v>0.1</v>
      </c>
    </row>
    <row r="41" spans="3:6" ht="18.75" x14ac:dyDescent="0.3">
      <c r="C41" s="185" t="s">
        <v>123</v>
      </c>
      <c r="D41" s="186">
        <v>36795924.5</v>
      </c>
      <c r="E41" s="191">
        <f>SUM(D41/D49)</f>
        <v>0.17724738379636809</v>
      </c>
      <c r="F41" s="196" t="s">
        <v>444</v>
      </c>
    </row>
    <row r="42" spans="3:6" ht="18.75" x14ac:dyDescent="0.3">
      <c r="C42" s="185" t="s">
        <v>248</v>
      </c>
      <c r="D42" s="186">
        <v>4058124</v>
      </c>
      <c r="E42" s="191">
        <f>SUM(D42/D49)</f>
        <v>1.9548139417485011E-2</v>
      </c>
      <c r="F42" s="198">
        <v>0.01</v>
      </c>
    </row>
    <row r="43" spans="3:6" ht="18.75" x14ac:dyDescent="0.3">
      <c r="C43" s="185" t="s">
        <v>44</v>
      </c>
      <c r="D43" s="186">
        <v>2643509.66</v>
      </c>
      <c r="E43" s="191">
        <f>SUM(D43/D49)</f>
        <v>1.2733887723772956E-2</v>
      </c>
      <c r="F43" s="198">
        <v>0.2</v>
      </c>
    </row>
    <row r="44" spans="3:6" ht="18.75" x14ac:dyDescent="0.3">
      <c r="C44" s="185" t="s">
        <v>124</v>
      </c>
      <c r="D44" s="186">
        <v>9569407.5199999996</v>
      </c>
      <c r="E44" s="191">
        <f>SUM(D44/D49)</f>
        <v>4.6096204143512981E-2</v>
      </c>
      <c r="F44" s="86"/>
    </row>
    <row r="45" spans="3:6" ht="18.75" x14ac:dyDescent="0.3">
      <c r="C45" s="185" t="s">
        <v>127</v>
      </c>
      <c r="D45" s="186">
        <v>13697127</v>
      </c>
      <c r="E45" s="191">
        <f>SUM(D45/D49)</f>
        <v>6.5979587665383865E-2</v>
      </c>
      <c r="F45" s="86"/>
    </row>
    <row r="46" spans="3:6" ht="18.75" x14ac:dyDescent="0.3">
      <c r="C46" s="185" t="s">
        <v>133</v>
      </c>
      <c r="D46" s="186">
        <v>9569407.5199999996</v>
      </c>
      <c r="E46" s="191">
        <f>SUM(D46/D49)</f>
        <v>4.6096204143512981E-2</v>
      </c>
      <c r="F46" s="198">
        <v>0.1</v>
      </c>
    </row>
    <row r="47" spans="3:6" ht="18.75" x14ac:dyDescent="0.3">
      <c r="C47" s="185" t="s">
        <v>179</v>
      </c>
      <c r="D47" s="186">
        <v>79153833.489999995</v>
      </c>
      <c r="E47" s="191">
        <f>SUM(D47/D49)</f>
        <v>0.38128706084163866</v>
      </c>
      <c r="F47" s="198" t="s">
        <v>445</v>
      </c>
    </row>
    <row r="48" spans="3:6" ht="18.75" x14ac:dyDescent="0.3">
      <c r="C48" s="185" t="s">
        <v>396</v>
      </c>
      <c r="D48" s="186">
        <v>522449.4</v>
      </c>
      <c r="E48" s="191">
        <f>SUM(D48/D49)</f>
        <v>2.5166588575857699E-3</v>
      </c>
      <c r="F48" s="86"/>
    </row>
    <row r="49" spans="3:6" ht="18.75" x14ac:dyDescent="0.3">
      <c r="C49" s="188" t="s">
        <v>427</v>
      </c>
      <c r="D49" s="189">
        <f>SUM(D39:D48)</f>
        <v>207596432.23999998</v>
      </c>
      <c r="E49" s="192">
        <f>SUM(E39:E48)</f>
        <v>1</v>
      </c>
      <c r="F49" s="86"/>
    </row>
    <row r="70" spans="3:6" x14ac:dyDescent="0.3">
      <c r="C70" s="200" t="s">
        <v>448</v>
      </c>
      <c r="D70" s="201"/>
      <c r="E70" s="201"/>
      <c r="F70" s="202"/>
    </row>
    <row r="71" spans="3:6" ht="47.25" customHeight="1" x14ac:dyDescent="0.3">
      <c r="C71" s="203" t="s">
        <v>463</v>
      </c>
      <c r="D71" s="204"/>
      <c r="E71" s="204"/>
      <c r="F71" s="205"/>
    </row>
    <row r="72" spans="3:6" ht="17.25" thickBot="1" x14ac:dyDescent="0.35"/>
    <row r="73" spans="3:6" ht="17.25" thickBot="1" x14ac:dyDescent="0.35">
      <c r="C73" s="206" t="s">
        <v>429</v>
      </c>
      <c r="D73" s="207"/>
      <c r="E73" s="207"/>
      <c r="F73" s="208"/>
    </row>
    <row r="74" spans="3:6" ht="19.5" customHeight="1" x14ac:dyDescent="0.3">
      <c r="C74" s="215" t="s">
        <v>434</v>
      </c>
      <c r="D74" s="216"/>
      <c r="E74" s="216"/>
      <c r="F74" s="217"/>
    </row>
    <row r="75" spans="3:6" ht="22.5" customHeight="1" x14ac:dyDescent="0.3">
      <c r="C75" s="209" t="s">
        <v>435</v>
      </c>
      <c r="D75" s="210"/>
      <c r="E75" s="210"/>
      <c r="F75" s="211"/>
    </row>
    <row r="76" spans="3:6" ht="21.75" customHeight="1" x14ac:dyDescent="0.3">
      <c r="C76" s="209" t="s">
        <v>436</v>
      </c>
      <c r="D76" s="210"/>
      <c r="E76" s="210"/>
      <c r="F76" s="211"/>
    </row>
    <row r="77" spans="3:6" ht="23.25" customHeight="1" x14ac:dyDescent="0.3">
      <c r="C77" s="209" t="s">
        <v>440</v>
      </c>
      <c r="D77" s="210"/>
      <c r="E77" s="210"/>
      <c r="F77" s="211"/>
    </row>
    <row r="78" spans="3:6" ht="22.5" customHeight="1" x14ac:dyDescent="0.3">
      <c r="C78" s="209" t="s">
        <v>446</v>
      </c>
      <c r="D78" s="210"/>
      <c r="E78" s="210"/>
      <c r="F78" s="211"/>
    </row>
    <row r="79" spans="3:6" ht="16.5" customHeight="1" thickBot="1" x14ac:dyDescent="0.35">
      <c r="C79" s="218" t="s">
        <v>447</v>
      </c>
      <c r="D79" s="219"/>
      <c r="E79" s="219"/>
      <c r="F79" s="220"/>
    </row>
    <row r="80" spans="3:6" ht="16.5" customHeight="1" thickBot="1" x14ac:dyDescent="0.35"/>
    <row r="81" spans="3:6" ht="30" customHeight="1" thickBot="1" x14ac:dyDescent="0.35">
      <c r="C81" s="221" t="s">
        <v>437</v>
      </c>
      <c r="D81" s="222"/>
      <c r="E81" s="222"/>
      <c r="F81" s="223"/>
    </row>
    <row r="82" spans="3:6" ht="24.75" customHeight="1" x14ac:dyDescent="0.3">
      <c r="C82" s="224" t="s">
        <v>449</v>
      </c>
      <c r="D82" s="225"/>
      <c r="E82" s="225"/>
      <c r="F82" s="226"/>
    </row>
    <row r="83" spans="3:6" ht="17.25" customHeight="1" x14ac:dyDescent="0.3">
      <c r="C83" s="209" t="s">
        <v>439</v>
      </c>
      <c r="D83" s="210"/>
      <c r="E83" s="210"/>
      <c r="F83" s="211"/>
    </row>
    <row r="84" spans="3:6" x14ac:dyDescent="0.3">
      <c r="C84" s="209" t="s">
        <v>441</v>
      </c>
      <c r="D84" s="210"/>
      <c r="E84" s="210"/>
      <c r="F84" s="211"/>
    </row>
    <row r="85" spans="3:6" ht="18.75" customHeight="1" x14ac:dyDescent="0.3">
      <c r="C85" s="227" t="s">
        <v>442</v>
      </c>
      <c r="D85" s="228"/>
      <c r="E85" s="228"/>
      <c r="F85" s="229"/>
    </row>
    <row r="86" spans="3:6" ht="21" customHeight="1" thickBot="1" x14ac:dyDescent="0.35">
      <c r="C86" s="218" t="s">
        <v>450</v>
      </c>
      <c r="D86" s="219"/>
      <c r="E86" s="219"/>
      <c r="F86" s="220"/>
    </row>
    <row r="87" spans="3:6" ht="20.25" customHeight="1" x14ac:dyDescent="0.3"/>
  </sheetData>
  <mergeCells count="19">
    <mergeCell ref="C84:F84"/>
    <mergeCell ref="C85:F85"/>
    <mergeCell ref="C86:F86"/>
    <mergeCell ref="C78:F78"/>
    <mergeCell ref="C79:F79"/>
    <mergeCell ref="C81:F81"/>
    <mergeCell ref="C82:F82"/>
    <mergeCell ref="C83:F83"/>
    <mergeCell ref="C36:F37"/>
    <mergeCell ref="C2:F2"/>
    <mergeCell ref="C3:F3"/>
    <mergeCell ref="C4:F4"/>
    <mergeCell ref="C74:F74"/>
    <mergeCell ref="C70:F70"/>
    <mergeCell ref="C71:F71"/>
    <mergeCell ref="C73:F73"/>
    <mergeCell ref="C76:F76"/>
    <mergeCell ref="C77:F77"/>
    <mergeCell ref="C75:F75"/>
  </mergeCells>
  <pageMargins left="0" right="0" top="0" bottom="0" header="0" footer="0"/>
  <pageSetup scale="7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L244"/>
  <sheetViews>
    <sheetView workbookViewId="0">
      <pane ySplit="4" topLeftCell="A14" activePane="bottomLeft" state="frozen"/>
      <selection pane="bottomLeft" activeCell="F22" sqref="F22"/>
    </sheetView>
  </sheetViews>
  <sheetFormatPr defaultRowHeight="16.5" x14ac:dyDescent="0.3"/>
  <cols>
    <col min="2" max="2" width="11.5703125" bestFit="1" customWidth="1"/>
    <col min="3" max="3" width="36" customWidth="1"/>
    <col min="4" max="4" width="17.42578125" customWidth="1"/>
    <col min="5" max="5" width="14.140625" customWidth="1"/>
    <col min="6" max="6" width="16.42578125" customWidth="1"/>
    <col min="7" max="7" width="19.5703125" customWidth="1"/>
    <col min="9" max="9" width="18.7109375" customWidth="1"/>
  </cols>
  <sheetData>
    <row r="3" spans="2:12" x14ac:dyDescent="0.3">
      <c r="B3" s="251" t="s">
        <v>397</v>
      </c>
      <c r="C3" s="251"/>
      <c r="D3" s="251"/>
      <c r="E3" s="251"/>
      <c r="F3" s="251"/>
    </row>
    <row r="4" spans="2:12" ht="21" thickBot="1" x14ac:dyDescent="0.35">
      <c r="B4" s="128" t="s">
        <v>398</v>
      </c>
      <c r="C4" s="128" t="s">
        <v>399</v>
      </c>
      <c r="D4" s="128" t="s">
        <v>400</v>
      </c>
      <c r="E4" s="128" t="s">
        <v>78</v>
      </c>
      <c r="F4" s="128" t="s">
        <v>401</v>
      </c>
      <c r="G4" s="155" t="s">
        <v>420</v>
      </c>
      <c r="I4" s="159"/>
    </row>
    <row r="5" spans="2:12" ht="27" x14ac:dyDescent="0.35">
      <c r="B5" s="158" t="s">
        <v>246</v>
      </c>
      <c r="C5" s="242" t="s">
        <v>403</v>
      </c>
      <c r="D5" s="243"/>
      <c r="E5" s="243"/>
      <c r="F5" s="244"/>
      <c r="G5" s="86"/>
      <c r="H5" s="160"/>
      <c r="I5" s="239" t="s">
        <v>313</v>
      </c>
      <c r="J5" s="240"/>
      <c r="K5" s="240"/>
      <c r="L5" s="241"/>
    </row>
    <row r="6" spans="2:12" x14ac:dyDescent="0.3">
      <c r="B6" s="86"/>
      <c r="C6" s="86"/>
      <c r="D6" s="86"/>
      <c r="E6" s="148">
        <f>L13</f>
        <v>4147500.8</v>
      </c>
      <c r="F6" s="86"/>
      <c r="G6" s="86"/>
      <c r="I6" s="161" t="s">
        <v>314</v>
      </c>
      <c r="J6" s="161">
        <v>628</v>
      </c>
      <c r="K6" s="161">
        <v>2150</v>
      </c>
      <c r="L6" s="161">
        <f>J6*K6</f>
        <v>1350200</v>
      </c>
    </row>
    <row r="7" spans="2:12" x14ac:dyDescent="0.3">
      <c r="B7" s="236" t="s">
        <v>402</v>
      </c>
      <c r="C7" s="237"/>
      <c r="D7" s="237"/>
      <c r="E7" s="238"/>
      <c r="F7" s="150">
        <f>E6</f>
        <v>4147500.8</v>
      </c>
      <c r="G7" s="86"/>
      <c r="I7" s="161" t="s">
        <v>315</v>
      </c>
      <c r="J7" s="161">
        <v>147</v>
      </c>
      <c r="K7" s="161">
        <v>1820</v>
      </c>
      <c r="L7" s="161">
        <f>J7*K7</f>
        <v>267540</v>
      </c>
    </row>
    <row r="8" spans="2:12" ht="18.75" x14ac:dyDescent="0.3">
      <c r="B8" s="157" t="s">
        <v>155</v>
      </c>
      <c r="C8" s="242" t="s">
        <v>407</v>
      </c>
      <c r="D8" s="243"/>
      <c r="E8" s="243"/>
      <c r="F8" s="244"/>
      <c r="G8" s="86"/>
      <c r="I8" s="161" t="s">
        <v>316</v>
      </c>
      <c r="J8" s="161">
        <v>42</v>
      </c>
      <c r="K8" s="161">
        <v>2050</v>
      </c>
      <c r="L8" s="161">
        <f t="shared" ref="L8:L12" si="0">J8*K8</f>
        <v>86100</v>
      </c>
    </row>
    <row r="9" spans="2:12" x14ac:dyDescent="0.3">
      <c r="B9" s="85"/>
      <c r="C9" s="151" t="s">
        <v>404</v>
      </c>
      <c r="D9" s="85"/>
      <c r="E9" s="86"/>
      <c r="F9" s="132"/>
      <c r="G9" s="86"/>
      <c r="I9" s="161" t="s">
        <v>318</v>
      </c>
      <c r="J9" s="161">
        <v>6</v>
      </c>
      <c r="K9" s="161">
        <v>1950</v>
      </c>
      <c r="L9" s="161">
        <f t="shared" si="0"/>
        <v>11700</v>
      </c>
    </row>
    <row r="10" spans="2:12" x14ac:dyDescent="0.3">
      <c r="B10" s="85"/>
      <c r="C10" s="152" t="s">
        <v>69</v>
      </c>
      <c r="D10" s="86"/>
      <c r="E10" s="86">
        <v>8155604.25</v>
      </c>
      <c r="F10" s="132"/>
      <c r="G10" s="86"/>
      <c r="I10" s="161" t="s">
        <v>317</v>
      </c>
      <c r="J10" s="161">
        <v>963.3</v>
      </c>
      <c r="K10" s="161">
        <v>126</v>
      </c>
      <c r="L10" s="161">
        <f t="shared" si="0"/>
        <v>121375.79999999999</v>
      </c>
    </row>
    <row r="11" spans="2:12" x14ac:dyDescent="0.3">
      <c r="B11" s="85"/>
      <c r="C11" s="152" t="s">
        <v>71</v>
      </c>
      <c r="D11" s="86"/>
      <c r="E11" s="86">
        <v>1288939.5</v>
      </c>
      <c r="F11" s="132"/>
      <c r="G11" s="86"/>
      <c r="I11" s="161" t="s">
        <v>319</v>
      </c>
      <c r="J11" s="161">
        <v>149</v>
      </c>
      <c r="K11" s="161">
        <v>2500</v>
      </c>
      <c r="L11" s="161">
        <f t="shared" si="0"/>
        <v>372500</v>
      </c>
    </row>
    <row r="12" spans="2:12" x14ac:dyDescent="0.3">
      <c r="B12" s="85"/>
      <c r="C12" s="85" t="s">
        <v>405</v>
      </c>
      <c r="D12" s="86"/>
      <c r="E12" s="85">
        <f>SUM(E10:E11)</f>
        <v>9444543.75</v>
      </c>
      <c r="F12" s="132">
        <f>E12</f>
        <v>9444543.75</v>
      </c>
      <c r="G12" s="86"/>
      <c r="I12" s="161" t="s">
        <v>320</v>
      </c>
      <c r="J12" s="161">
        <v>755</v>
      </c>
      <c r="K12" s="161">
        <v>2567</v>
      </c>
      <c r="L12" s="161">
        <f t="shared" si="0"/>
        <v>1938085</v>
      </c>
    </row>
    <row r="13" spans="2:12" x14ac:dyDescent="0.3">
      <c r="B13" s="85"/>
      <c r="C13" s="86" t="s">
        <v>142</v>
      </c>
      <c r="D13" s="86"/>
      <c r="E13" s="85"/>
      <c r="F13" s="132"/>
      <c r="G13" s="86"/>
      <c r="I13" s="161"/>
      <c r="J13" s="161"/>
      <c r="K13" s="161"/>
      <c r="L13" s="162">
        <f>SUM(L6:L12)</f>
        <v>4147500.8</v>
      </c>
    </row>
    <row r="14" spans="2:12" x14ac:dyDescent="0.3">
      <c r="B14" s="85"/>
      <c r="C14" s="86" t="s">
        <v>86</v>
      </c>
      <c r="D14" s="86"/>
      <c r="E14" s="85"/>
      <c r="F14" s="132"/>
      <c r="G14" s="86"/>
      <c r="I14" s="159"/>
    </row>
    <row r="15" spans="2:12" x14ac:dyDescent="0.3">
      <c r="B15" s="85"/>
      <c r="C15" s="86"/>
      <c r="D15" s="86"/>
      <c r="E15" s="85">
        <f>SUM(E13:E14)</f>
        <v>0</v>
      </c>
      <c r="F15" s="132"/>
      <c r="G15" s="86"/>
    </row>
    <row r="16" spans="2:12" x14ac:dyDescent="0.3">
      <c r="B16" s="85"/>
      <c r="C16" s="85" t="s">
        <v>90</v>
      </c>
      <c r="D16" s="85"/>
      <c r="E16" s="86"/>
      <c r="F16" s="132"/>
      <c r="G16" s="86"/>
    </row>
    <row r="17" spans="2:10" x14ac:dyDescent="0.3">
      <c r="B17" s="85"/>
      <c r="C17" s="86" t="s">
        <v>91</v>
      </c>
      <c r="D17" s="129" t="s">
        <v>92</v>
      </c>
      <c r="E17" s="85">
        <v>17363604.600000001</v>
      </c>
      <c r="F17" s="132">
        <f>E17</f>
        <v>17363604.600000001</v>
      </c>
      <c r="G17" s="86"/>
    </row>
    <row r="18" spans="2:10" x14ac:dyDescent="0.3">
      <c r="B18" s="85"/>
      <c r="C18" s="85" t="s">
        <v>230</v>
      </c>
      <c r="D18" s="129"/>
      <c r="E18" s="85"/>
      <c r="F18" s="132"/>
      <c r="G18" s="86"/>
      <c r="H18" s="123"/>
    </row>
    <row r="19" spans="2:10" x14ac:dyDescent="0.3">
      <c r="B19" s="85"/>
      <c r="C19" s="86" t="s">
        <v>91</v>
      </c>
      <c r="D19" s="129" t="s">
        <v>73</v>
      </c>
      <c r="E19" s="86">
        <v>7221000</v>
      </c>
      <c r="F19" s="132"/>
      <c r="G19" s="86"/>
    </row>
    <row r="20" spans="2:10" x14ac:dyDescent="0.3">
      <c r="B20" s="85"/>
      <c r="C20" s="86"/>
      <c r="D20" s="129" t="s">
        <v>74</v>
      </c>
      <c r="E20" s="86">
        <v>7221000</v>
      </c>
      <c r="F20" s="132"/>
      <c r="G20" s="86"/>
    </row>
    <row r="21" spans="2:10" x14ac:dyDescent="0.3">
      <c r="B21" s="85"/>
      <c r="C21" s="86"/>
      <c r="D21" s="129" t="s">
        <v>75</v>
      </c>
      <c r="E21" s="86">
        <v>6189000</v>
      </c>
      <c r="F21" s="133">
        <f>E21+E20+E19</f>
        <v>20631000</v>
      </c>
      <c r="G21" s="86"/>
    </row>
    <row r="22" spans="2:10" x14ac:dyDescent="0.3">
      <c r="B22" s="236" t="s">
        <v>406</v>
      </c>
      <c r="C22" s="237"/>
      <c r="D22" s="237"/>
      <c r="E22" s="238"/>
      <c r="F22" s="153">
        <f>SUM(F12:F21)</f>
        <v>47439148.350000001</v>
      </c>
      <c r="G22" s="86"/>
      <c r="J22">
        <f>E20+E19+E2</f>
        <v>14442000</v>
      </c>
    </row>
    <row r="23" spans="2:10" ht="18.75" x14ac:dyDescent="0.3">
      <c r="B23" s="156" t="s">
        <v>156</v>
      </c>
      <c r="C23" s="242" t="s">
        <v>408</v>
      </c>
      <c r="D23" s="243"/>
      <c r="E23" s="243"/>
      <c r="F23" s="244"/>
      <c r="G23" s="86"/>
    </row>
    <row r="24" spans="2:10" x14ac:dyDescent="0.3">
      <c r="B24" s="85"/>
      <c r="C24" s="132" t="s">
        <v>88</v>
      </c>
      <c r="D24" s="86"/>
      <c r="E24" s="86"/>
      <c r="F24" s="86"/>
      <c r="G24" s="86"/>
    </row>
    <row r="25" spans="2:10" x14ac:dyDescent="0.3">
      <c r="B25" s="85"/>
      <c r="C25" s="132" t="s">
        <v>89</v>
      </c>
      <c r="D25" s="86"/>
      <c r="E25" s="86"/>
      <c r="F25" s="86"/>
      <c r="G25" s="86"/>
    </row>
    <row r="26" spans="2:10" x14ac:dyDescent="0.3">
      <c r="B26" s="85"/>
      <c r="C26" s="86"/>
      <c r="D26" s="131" t="s">
        <v>76</v>
      </c>
      <c r="E26" s="85">
        <f>E24+E25</f>
        <v>0</v>
      </c>
      <c r="F26" s="131"/>
      <c r="G26" s="86"/>
    </row>
    <row r="27" spans="2:10" x14ac:dyDescent="0.3">
      <c r="B27" s="85"/>
      <c r="C27" s="86"/>
      <c r="D27" s="86"/>
      <c r="E27" s="86"/>
      <c r="F27" s="86"/>
      <c r="G27" s="86"/>
    </row>
    <row r="28" spans="2:10" x14ac:dyDescent="0.3">
      <c r="B28" s="85"/>
      <c r="C28" s="86"/>
      <c r="D28" s="86"/>
      <c r="E28" s="86"/>
      <c r="F28" s="86"/>
      <c r="G28" s="86"/>
    </row>
    <row r="29" spans="2:10" x14ac:dyDescent="0.3">
      <c r="B29" s="85"/>
      <c r="C29" s="132"/>
      <c r="D29" s="132"/>
      <c r="E29" s="132"/>
      <c r="F29" s="86"/>
      <c r="G29" s="86"/>
    </row>
    <row r="30" spans="2:10" x14ac:dyDescent="0.3">
      <c r="B30" s="85"/>
      <c r="C30" s="86"/>
      <c r="D30" s="131" t="s">
        <v>76</v>
      </c>
      <c r="E30" s="86"/>
      <c r="F30" s="131">
        <f>E29</f>
        <v>0</v>
      </c>
      <c r="G30" s="86"/>
    </row>
    <row r="31" spans="2:10" x14ac:dyDescent="0.3">
      <c r="B31" s="236" t="s">
        <v>409</v>
      </c>
      <c r="C31" s="237"/>
      <c r="D31" s="237"/>
      <c r="E31" s="238"/>
      <c r="F31" s="149"/>
      <c r="G31" s="86"/>
    </row>
    <row r="32" spans="2:10" ht="18.75" x14ac:dyDescent="0.3">
      <c r="B32" s="156" t="s">
        <v>157</v>
      </c>
      <c r="C32" s="242" t="s">
        <v>411</v>
      </c>
      <c r="D32" s="243"/>
      <c r="E32" s="243"/>
      <c r="F32" s="244"/>
      <c r="G32" s="86"/>
    </row>
    <row r="33" spans="2:9" x14ac:dyDescent="0.3">
      <c r="B33" s="85"/>
      <c r="C33" s="132" t="s">
        <v>323</v>
      </c>
      <c r="D33" s="132"/>
      <c r="E33" s="132">
        <v>100191</v>
      </c>
      <c r="F33" s="85"/>
      <c r="G33" s="86"/>
    </row>
    <row r="34" spans="2:9" x14ac:dyDescent="0.3">
      <c r="B34" s="85"/>
      <c r="C34" s="132" t="s">
        <v>264</v>
      </c>
      <c r="D34" s="86"/>
      <c r="E34" s="132">
        <v>9314</v>
      </c>
      <c r="F34" s="85"/>
      <c r="G34" s="86"/>
      <c r="I34" s="21" t="s">
        <v>364</v>
      </c>
    </row>
    <row r="35" spans="2:9" x14ac:dyDescent="0.3">
      <c r="B35" s="85"/>
      <c r="C35" s="132" t="s">
        <v>324</v>
      </c>
      <c r="D35" s="86"/>
      <c r="E35" s="132">
        <v>337651</v>
      </c>
      <c r="F35" s="85"/>
      <c r="G35" s="86"/>
      <c r="I35" s="21" t="s">
        <v>365</v>
      </c>
    </row>
    <row r="36" spans="2:9" x14ac:dyDescent="0.3">
      <c r="B36" s="85"/>
      <c r="C36" s="132" t="s">
        <v>325</v>
      </c>
      <c r="D36" s="86"/>
      <c r="E36" s="132">
        <v>381452</v>
      </c>
      <c r="F36" s="85"/>
      <c r="G36" s="86"/>
    </row>
    <row r="37" spans="2:9" x14ac:dyDescent="0.3">
      <c r="B37" s="85"/>
      <c r="C37" s="132" t="s">
        <v>326</v>
      </c>
      <c r="D37" s="86"/>
      <c r="E37" s="132">
        <v>23603</v>
      </c>
      <c r="F37" s="85"/>
      <c r="G37" s="86"/>
    </row>
    <row r="38" spans="2:9" x14ac:dyDescent="0.3">
      <c r="B38" s="85"/>
      <c r="C38" s="132" t="s">
        <v>328</v>
      </c>
      <c r="D38" s="86"/>
      <c r="E38" s="132">
        <v>2673149</v>
      </c>
      <c r="F38" s="85"/>
      <c r="G38" s="86"/>
    </row>
    <row r="39" spans="2:9" x14ac:dyDescent="0.3">
      <c r="B39" s="85"/>
      <c r="C39" s="132" t="s">
        <v>337</v>
      </c>
      <c r="D39" s="86"/>
      <c r="E39" s="132">
        <v>35100</v>
      </c>
      <c r="F39" s="85"/>
      <c r="G39" s="86"/>
    </row>
    <row r="40" spans="2:9" x14ac:dyDescent="0.3">
      <c r="B40" s="85"/>
      <c r="C40" s="132" t="s">
        <v>338</v>
      </c>
      <c r="D40" s="86"/>
      <c r="E40" s="132">
        <v>70000</v>
      </c>
      <c r="F40" s="85"/>
      <c r="G40" s="86"/>
    </row>
    <row r="41" spans="2:9" x14ac:dyDescent="0.3">
      <c r="B41" s="85"/>
      <c r="C41" s="132" t="s">
        <v>339</v>
      </c>
      <c r="D41" s="86"/>
      <c r="E41" s="132">
        <v>50000</v>
      </c>
      <c r="F41" s="85"/>
      <c r="G41" s="86"/>
    </row>
    <row r="42" spans="2:9" x14ac:dyDescent="0.3">
      <c r="B42" s="85"/>
      <c r="C42" s="132" t="s">
        <v>380</v>
      </c>
      <c r="D42" s="86"/>
      <c r="E42" s="132">
        <f>115000+94800+950800+8000+80000+480000+514000+505200+526600</f>
        <v>3274400</v>
      </c>
      <c r="F42" s="85"/>
      <c r="G42" s="86"/>
    </row>
    <row r="43" spans="2:9" x14ac:dyDescent="0.3">
      <c r="B43" s="85"/>
      <c r="C43" s="132"/>
      <c r="D43" s="86"/>
      <c r="E43" s="132"/>
      <c r="F43" s="85"/>
      <c r="G43" s="86"/>
    </row>
    <row r="44" spans="2:9" x14ac:dyDescent="0.3">
      <c r="B44" s="85"/>
      <c r="C44" s="86"/>
      <c r="D44" s="131" t="s">
        <v>76</v>
      </c>
      <c r="E44" s="86">
        <f>SUM(E33:E43)</f>
        <v>6954860</v>
      </c>
      <c r="F44" s="131">
        <f>E44</f>
        <v>6954860</v>
      </c>
      <c r="G44" s="86"/>
    </row>
    <row r="45" spans="2:9" x14ac:dyDescent="0.3">
      <c r="B45" s="236" t="s">
        <v>410</v>
      </c>
      <c r="C45" s="237"/>
      <c r="D45" s="237"/>
      <c r="E45" s="238"/>
      <c r="F45" s="149"/>
      <c r="G45" s="86"/>
    </row>
    <row r="46" spans="2:9" ht="18.75" x14ac:dyDescent="0.3">
      <c r="B46" s="156" t="s">
        <v>158</v>
      </c>
      <c r="C46" s="242" t="s">
        <v>412</v>
      </c>
      <c r="D46" s="243"/>
      <c r="E46" s="243"/>
      <c r="F46" s="244"/>
      <c r="G46" s="86"/>
    </row>
    <row r="47" spans="2:9" x14ac:dyDescent="0.3">
      <c r="B47" s="85"/>
      <c r="C47" s="132" t="s">
        <v>327</v>
      </c>
      <c r="D47" s="132"/>
      <c r="E47" s="86">
        <v>2091440</v>
      </c>
      <c r="F47" s="86"/>
      <c r="G47" s="86"/>
    </row>
    <row r="48" spans="2:9" x14ac:dyDescent="0.3">
      <c r="B48" s="85"/>
      <c r="C48" s="132" t="s">
        <v>329</v>
      </c>
      <c r="D48" s="132"/>
      <c r="E48" s="86">
        <v>1819800</v>
      </c>
      <c r="F48" s="86"/>
      <c r="G48" s="86"/>
    </row>
    <row r="49" spans="2:11" x14ac:dyDescent="0.3">
      <c r="B49" s="85"/>
      <c r="C49" s="132" t="s">
        <v>330</v>
      </c>
      <c r="D49" s="132"/>
      <c r="E49" s="86">
        <v>61911</v>
      </c>
      <c r="F49" s="86"/>
      <c r="G49" s="86"/>
    </row>
    <row r="50" spans="2:11" x14ac:dyDescent="0.3">
      <c r="B50" s="85"/>
      <c r="C50" s="132" t="s">
        <v>331</v>
      </c>
      <c r="D50" s="132"/>
      <c r="E50" s="86">
        <v>362677</v>
      </c>
      <c r="F50" s="86"/>
      <c r="G50" s="86"/>
    </row>
    <row r="51" spans="2:11" ht="17.25" customHeight="1" x14ac:dyDescent="0.3">
      <c r="B51" s="85"/>
      <c r="C51" s="132" t="s">
        <v>265</v>
      </c>
      <c r="D51" s="132"/>
      <c r="E51" s="86">
        <v>1121964</v>
      </c>
      <c r="F51" s="86"/>
      <c r="G51" s="86"/>
    </row>
    <row r="52" spans="2:11" ht="17.25" customHeight="1" x14ac:dyDescent="0.3">
      <c r="B52" s="85"/>
      <c r="C52" s="132" t="s">
        <v>332</v>
      </c>
      <c r="D52" s="132"/>
      <c r="E52" s="86">
        <v>420000</v>
      </c>
      <c r="F52" s="86"/>
      <c r="G52" s="86"/>
    </row>
    <row r="53" spans="2:11" x14ac:dyDescent="0.3">
      <c r="B53" s="85"/>
      <c r="C53" s="132" t="s">
        <v>168</v>
      </c>
      <c r="D53" s="132"/>
      <c r="E53" s="86">
        <v>20400</v>
      </c>
      <c r="F53" s="86"/>
      <c r="G53" s="86"/>
    </row>
    <row r="54" spans="2:11" x14ac:dyDescent="0.3">
      <c r="B54" s="85"/>
      <c r="C54" s="132" t="s">
        <v>333</v>
      </c>
      <c r="D54" s="132"/>
      <c r="E54" s="86">
        <v>58376.5</v>
      </c>
      <c r="F54" s="86"/>
      <c r="G54" s="86"/>
    </row>
    <row r="55" spans="2:11" x14ac:dyDescent="0.3">
      <c r="B55" s="85"/>
      <c r="C55" s="132" t="s">
        <v>170</v>
      </c>
      <c r="D55" s="132"/>
      <c r="E55" s="86">
        <v>454941</v>
      </c>
      <c r="F55" s="86"/>
      <c r="G55" s="86"/>
    </row>
    <row r="56" spans="2:11" x14ac:dyDescent="0.3">
      <c r="B56" s="85"/>
      <c r="C56" s="132" t="s">
        <v>336</v>
      </c>
      <c r="D56" s="132"/>
      <c r="E56" s="86">
        <v>81770</v>
      </c>
      <c r="F56" s="86"/>
      <c r="G56" s="86"/>
    </row>
    <row r="57" spans="2:11" x14ac:dyDescent="0.3">
      <c r="B57" s="85"/>
      <c r="C57" s="132" t="s">
        <v>334</v>
      </c>
      <c r="D57" s="132"/>
      <c r="E57" s="86">
        <v>1397</v>
      </c>
      <c r="F57" s="86"/>
      <c r="G57" s="86"/>
      <c r="K57" s="39"/>
    </row>
    <row r="58" spans="2:11" x14ac:dyDescent="0.3">
      <c r="B58" s="85"/>
      <c r="C58" s="132" t="s">
        <v>231</v>
      </c>
      <c r="D58" s="132"/>
      <c r="E58" s="86">
        <v>20500</v>
      </c>
      <c r="F58" s="86"/>
      <c r="G58" s="86"/>
      <c r="K58" s="39"/>
    </row>
    <row r="59" spans="2:11" x14ac:dyDescent="0.3">
      <c r="B59" s="85"/>
      <c r="C59" s="132" t="s">
        <v>335</v>
      </c>
      <c r="D59" s="132"/>
      <c r="E59" s="86">
        <v>10200</v>
      </c>
      <c r="F59" s="86"/>
      <c r="G59" s="86"/>
      <c r="K59" s="39"/>
    </row>
    <row r="60" spans="2:11" x14ac:dyDescent="0.3">
      <c r="B60" s="85"/>
      <c r="C60" s="120" t="s">
        <v>340</v>
      </c>
      <c r="D60" s="132"/>
      <c r="E60" s="86">
        <v>13724512</v>
      </c>
      <c r="F60" s="86"/>
      <c r="G60" s="86"/>
    </row>
    <row r="61" spans="2:11" x14ac:dyDescent="0.3">
      <c r="B61" s="85"/>
      <c r="C61" s="121" t="s">
        <v>341</v>
      </c>
      <c r="D61" s="132"/>
      <c r="E61" s="86">
        <v>3045032</v>
      </c>
      <c r="F61" s="86"/>
      <c r="G61" s="86"/>
    </row>
    <row r="62" spans="2:11" x14ac:dyDescent="0.3">
      <c r="B62" s="85"/>
      <c r="C62" s="122" t="s">
        <v>342</v>
      </c>
      <c r="D62" s="132"/>
      <c r="E62" s="86">
        <v>38500</v>
      </c>
      <c r="F62" s="86"/>
      <c r="G62" s="86"/>
    </row>
    <row r="63" spans="2:11" x14ac:dyDescent="0.3">
      <c r="B63" s="85"/>
      <c r="C63" s="120" t="s">
        <v>121</v>
      </c>
      <c r="D63" s="132"/>
      <c r="E63" s="86">
        <v>4398128</v>
      </c>
      <c r="F63" s="86"/>
      <c r="G63" s="86"/>
    </row>
    <row r="64" spans="2:11" x14ac:dyDescent="0.3">
      <c r="B64" s="85"/>
      <c r="C64" s="120" t="s">
        <v>343</v>
      </c>
      <c r="D64" s="132"/>
      <c r="E64" s="86">
        <v>3548197</v>
      </c>
      <c r="F64" s="86"/>
      <c r="G64" s="86"/>
    </row>
    <row r="65" spans="2:7" x14ac:dyDescent="0.3">
      <c r="B65" s="85"/>
      <c r="C65" s="120" t="s">
        <v>344</v>
      </c>
      <c r="D65" s="132"/>
      <c r="E65" s="86">
        <v>26500</v>
      </c>
      <c r="F65" s="86"/>
      <c r="G65" s="86"/>
    </row>
    <row r="66" spans="2:7" x14ac:dyDescent="0.3">
      <c r="B66" s="85"/>
      <c r="C66" s="120" t="s">
        <v>104</v>
      </c>
      <c r="D66" s="132"/>
      <c r="E66" s="86">
        <v>21150</v>
      </c>
      <c r="F66" s="86"/>
      <c r="G66" s="86"/>
    </row>
    <row r="67" spans="2:7" x14ac:dyDescent="0.3">
      <c r="B67" s="85"/>
      <c r="C67" s="120" t="s">
        <v>345</v>
      </c>
      <c r="D67" s="132"/>
      <c r="E67" s="86">
        <v>130800</v>
      </c>
      <c r="F67" s="86"/>
      <c r="G67" s="86"/>
    </row>
    <row r="68" spans="2:7" x14ac:dyDescent="0.3">
      <c r="B68" s="85"/>
      <c r="C68" s="120" t="s">
        <v>346</v>
      </c>
      <c r="D68" s="132"/>
      <c r="E68" s="86">
        <v>10524</v>
      </c>
      <c r="F68" s="86"/>
      <c r="G68" s="86"/>
    </row>
    <row r="69" spans="2:7" x14ac:dyDescent="0.3">
      <c r="B69" s="85"/>
      <c r="C69" s="120" t="s">
        <v>266</v>
      </c>
      <c r="D69" s="132"/>
      <c r="E69" s="86">
        <v>101000</v>
      </c>
      <c r="F69" s="86"/>
      <c r="G69" s="86"/>
    </row>
    <row r="70" spans="2:7" x14ac:dyDescent="0.3">
      <c r="B70" s="85"/>
      <c r="C70" s="120" t="s">
        <v>232</v>
      </c>
      <c r="D70" s="132"/>
      <c r="E70" s="86">
        <v>228199</v>
      </c>
      <c r="F70" s="86"/>
      <c r="G70" s="86"/>
    </row>
    <row r="71" spans="2:7" x14ac:dyDescent="0.3">
      <c r="B71" s="85"/>
      <c r="C71" s="120" t="s">
        <v>112</v>
      </c>
      <c r="D71" s="132"/>
      <c r="E71" s="86">
        <v>276960</v>
      </c>
      <c r="F71" s="86"/>
      <c r="G71" s="86"/>
    </row>
    <row r="72" spans="2:7" x14ac:dyDescent="0.3">
      <c r="B72" s="85"/>
      <c r="C72" s="120" t="s">
        <v>113</v>
      </c>
      <c r="D72" s="132"/>
      <c r="E72" s="86">
        <v>1283180</v>
      </c>
      <c r="F72" s="86"/>
      <c r="G72" s="86"/>
    </row>
    <row r="73" spans="2:7" x14ac:dyDescent="0.3">
      <c r="B73" s="85"/>
      <c r="C73" s="120" t="s">
        <v>347</v>
      </c>
      <c r="D73" s="132"/>
      <c r="E73" s="86">
        <v>591536</v>
      </c>
      <c r="F73" s="86"/>
      <c r="G73" s="86"/>
    </row>
    <row r="74" spans="2:7" x14ac:dyDescent="0.3">
      <c r="B74" s="85"/>
      <c r="C74" s="122" t="s">
        <v>348</v>
      </c>
      <c r="D74" s="132"/>
      <c r="E74" s="86">
        <v>377007</v>
      </c>
      <c r="F74" s="86"/>
      <c r="G74" s="86"/>
    </row>
    <row r="75" spans="2:7" x14ac:dyDescent="0.3">
      <c r="B75" s="85"/>
      <c r="C75" s="120" t="s">
        <v>349</v>
      </c>
      <c r="D75" s="132"/>
      <c r="E75" s="86">
        <v>222345</v>
      </c>
      <c r="F75" s="86"/>
      <c r="G75" s="86"/>
    </row>
    <row r="76" spans="2:7" x14ac:dyDescent="0.3">
      <c r="B76" s="85"/>
      <c r="C76" s="120" t="s">
        <v>115</v>
      </c>
      <c r="D76" s="132"/>
      <c r="E76" s="86">
        <v>196600</v>
      </c>
      <c r="F76" s="86"/>
      <c r="G76" s="86"/>
    </row>
    <row r="77" spans="2:7" x14ac:dyDescent="0.3">
      <c r="B77" s="85"/>
      <c r="C77" s="120" t="s">
        <v>350</v>
      </c>
      <c r="D77" s="132"/>
      <c r="E77" s="86">
        <v>10000</v>
      </c>
      <c r="F77" s="86"/>
      <c r="G77" s="86"/>
    </row>
    <row r="78" spans="2:7" x14ac:dyDescent="0.3">
      <c r="B78" s="85"/>
      <c r="C78" s="120" t="s">
        <v>118</v>
      </c>
      <c r="D78" s="132"/>
      <c r="E78" s="86">
        <v>942423</v>
      </c>
      <c r="F78" s="86"/>
      <c r="G78" s="86"/>
    </row>
    <row r="79" spans="2:7" x14ac:dyDescent="0.3">
      <c r="B79" s="85"/>
      <c r="C79" s="120" t="s">
        <v>351</v>
      </c>
      <c r="D79" s="132"/>
      <c r="E79" s="86">
        <v>29186</v>
      </c>
      <c r="F79" s="86"/>
      <c r="G79" s="86"/>
    </row>
    <row r="80" spans="2:7" x14ac:dyDescent="0.3">
      <c r="B80" s="85"/>
      <c r="C80" s="120" t="s">
        <v>352</v>
      </c>
      <c r="D80" s="132"/>
      <c r="E80" s="86">
        <v>15000</v>
      </c>
      <c r="F80" s="86"/>
      <c r="G80" s="86"/>
    </row>
    <row r="81" spans="2:7" x14ac:dyDescent="0.3">
      <c r="B81" s="85"/>
      <c r="C81" s="122" t="s">
        <v>353</v>
      </c>
      <c r="D81" s="132"/>
      <c r="E81" s="86">
        <v>459257</v>
      </c>
      <c r="F81" s="86"/>
      <c r="G81" s="86"/>
    </row>
    <row r="82" spans="2:7" x14ac:dyDescent="0.3">
      <c r="B82" s="85"/>
      <c r="C82" s="120" t="s">
        <v>354</v>
      </c>
      <c r="D82" s="132"/>
      <c r="E82" s="86">
        <v>594512</v>
      </c>
      <c r="F82" s="86"/>
      <c r="G82" s="86"/>
    </row>
    <row r="83" spans="2:7" x14ac:dyDescent="0.3">
      <c r="B83" s="85"/>
      <c r="C83" s="132"/>
      <c r="D83" s="132"/>
      <c r="E83" s="132"/>
      <c r="F83" s="86"/>
      <c r="G83" s="86"/>
    </row>
    <row r="84" spans="2:7" x14ac:dyDescent="0.3">
      <c r="B84" s="85"/>
      <c r="C84" s="86"/>
      <c r="D84" s="86"/>
      <c r="E84" s="86">
        <f>SUM(E47:E82)</f>
        <v>36795924.5</v>
      </c>
      <c r="F84" s="131">
        <f>E84</f>
        <v>36795924.5</v>
      </c>
      <c r="G84" s="86"/>
    </row>
    <row r="85" spans="2:7" x14ac:dyDescent="0.3">
      <c r="B85" s="248" t="s">
        <v>413</v>
      </c>
      <c r="C85" s="249"/>
      <c r="D85" s="249"/>
      <c r="E85" s="250"/>
      <c r="F85" s="149"/>
      <c r="G85" s="86"/>
    </row>
    <row r="86" spans="2:7" ht="18.75" x14ac:dyDescent="0.3">
      <c r="B86" s="156" t="s">
        <v>160</v>
      </c>
      <c r="C86" s="242" t="s">
        <v>415</v>
      </c>
      <c r="D86" s="243"/>
      <c r="E86" s="243"/>
      <c r="F86" s="244"/>
      <c r="G86" s="86"/>
    </row>
    <row r="87" spans="2:7" x14ac:dyDescent="0.3">
      <c r="B87" s="85"/>
      <c r="C87" s="132" t="s">
        <v>125</v>
      </c>
      <c r="D87" s="134"/>
      <c r="E87" s="134">
        <v>9219407.5199999996</v>
      </c>
      <c r="F87" s="86"/>
      <c r="G87" s="86"/>
    </row>
    <row r="88" spans="2:7" x14ac:dyDescent="0.3">
      <c r="B88" s="85"/>
      <c r="C88" s="132" t="s">
        <v>126</v>
      </c>
      <c r="D88" s="132"/>
      <c r="E88" s="132">
        <v>350000</v>
      </c>
      <c r="F88" s="86"/>
      <c r="G88" s="86"/>
    </row>
    <row r="89" spans="2:7" x14ac:dyDescent="0.3">
      <c r="B89" s="85"/>
      <c r="C89" s="86"/>
      <c r="D89" s="86"/>
      <c r="E89" s="86"/>
      <c r="F89" s="131">
        <f>E87+E88</f>
        <v>9569407.5199999996</v>
      </c>
      <c r="G89" s="86"/>
    </row>
    <row r="90" spans="2:7" x14ac:dyDescent="0.3">
      <c r="B90" s="85"/>
      <c r="C90" s="86"/>
      <c r="D90" s="86"/>
      <c r="E90" s="86"/>
      <c r="F90" s="86"/>
      <c r="G90" s="86"/>
    </row>
    <row r="91" spans="2:7" x14ac:dyDescent="0.3">
      <c r="B91" s="236" t="s">
        <v>414</v>
      </c>
      <c r="C91" s="237"/>
      <c r="D91" s="237"/>
      <c r="E91" s="238"/>
      <c r="F91" s="149"/>
      <c r="G91" s="86"/>
    </row>
    <row r="92" spans="2:7" ht="18.75" x14ac:dyDescent="0.3">
      <c r="B92" s="156" t="s">
        <v>161</v>
      </c>
      <c r="C92" s="242" t="s">
        <v>416</v>
      </c>
      <c r="D92" s="243"/>
      <c r="E92" s="243"/>
      <c r="F92" s="244"/>
      <c r="G92" s="86"/>
    </row>
    <row r="93" spans="2:7" x14ac:dyDescent="0.3">
      <c r="B93" s="85"/>
      <c r="C93" s="132" t="s">
        <v>32</v>
      </c>
      <c r="D93" s="132"/>
      <c r="E93" s="135"/>
      <c r="F93" s="85"/>
      <c r="G93" s="86"/>
    </row>
    <row r="94" spans="2:7" x14ac:dyDescent="0.3">
      <c r="B94" s="85"/>
      <c r="C94" s="132" t="s">
        <v>34</v>
      </c>
      <c r="D94" s="136"/>
      <c r="E94" s="135">
        <v>40509.660000000003</v>
      </c>
      <c r="F94" s="86"/>
      <c r="G94" s="86"/>
    </row>
    <row r="95" spans="2:7" x14ac:dyDescent="0.3">
      <c r="B95" s="85"/>
      <c r="C95" s="132" t="s">
        <v>36</v>
      </c>
      <c r="D95" s="136"/>
      <c r="E95" s="135">
        <v>3000</v>
      </c>
      <c r="F95" s="86"/>
      <c r="G95" s="86"/>
    </row>
    <row r="96" spans="2:7" x14ac:dyDescent="0.3">
      <c r="B96" s="85"/>
      <c r="C96" s="132" t="s">
        <v>37</v>
      </c>
      <c r="D96" s="136"/>
      <c r="E96" s="135">
        <v>2600000</v>
      </c>
      <c r="F96" s="86"/>
      <c r="G96" s="86"/>
    </row>
    <row r="97" spans="2:8" x14ac:dyDescent="0.3">
      <c r="B97" s="85"/>
      <c r="C97" s="132" t="s">
        <v>135</v>
      </c>
      <c r="D97" s="132"/>
      <c r="E97" s="135"/>
      <c r="F97" s="86"/>
      <c r="G97" s="86"/>
      <c r="H97" s="34"/>
    </row>
    <row r="98" spans="2:8" x14ac:dyDescent="0.3">
      <c r="B98" s="85"/>
      <c r="C98" s="132" t="s">
        <v>144</v>
      </c>
      <c r="D98" s="132"/>
      <c r="E98" s="135"/>
      <c r="F98" s="137">
        <f>E94+E95+E96</f>
        <v>2643509.66</v>
      </c>
      <c r="G98" s="86"/>
    </row>
    <row r="99" spans="2:8" x14ac:dyDescent="0.3">
      <c r="B99" s="236" t="s">
        <v>417</v>
      </c>
      <c r="C99" s="237"/>
      <c r="D99" s="237"/>
      <c r="E99" s="238"/>
      <c r="F99" s="154"/>
      <c r="G99" s="86"/>
    </row>
    <row r="100" spans="2:8" x14ac:dyDescent="0.3">
      <c r="B100" s="156" t="s">
        <v>162</v>
      </c>
      <c r="C100" s="245" t="s">
        <v>419</v>
      </c>
      <c r="D100" s="246"/>
      <c r="E100" s="246"/>
      <c r="F100" s="247"/>
      <c r="G100" s="86"/>
    </row>
    <row r="101" spans="2:8" x14ac:dyDescent="0.3">
      <c r="B101" s="85"/>
      <c r="C101" s="132" t="s">
        <v>138</v>
      </c>
      <c r="D101" s="132"/>
      <c r="E101" s="132"/>
      <c r="F101" s="86"/>
      <c r="G101" s="86"/>
    </row>
    <row r="102" spans="2:8" x14ac:dyDescent="0.3">
      <c r="B102" s="85"/>
      <c r="C102" s="132" t="s">
        <v>243</v>
      </c>
      <c r="D102" s="132"/>
      <c r="E102" s="132">
        <v>49831</v>
      </c>
      <c r="F102" s="86">
        <v>4753877</v>
      </c>
      <c r="G102" s="86"/>
    </row>
    <row r="103" spans="2:8" x14ac:dyDescent="0.3">
      <c r="B103" s="85"/>
      <c r="C103" s="132" t="s">
        <v>244</v>
      </c>
      <c r="D103" s="132"/>
      <c r="E103" s="132"/>
      <c r="F103" s="131">
        <f>E104</f>
        <v>0</v>
      </c>
      <c r="G103" s="86"/>
    </row>
    <row r="104" spans="2:8" x14ac:dyDescent="0.3">
      <c r="B104" s="236" t="s">
        <v>418</v>
      </c>
      <c r="C104" s="237"/>
      <c r="D104" s="237"/>
      <c r="E104" s="238"/>
      <c r="F104" s="149"/>
      <c r="G104" s="86"/>
    </row>
    <row r="105" spans="2:8" ht="18.75" x14ac:dyDescent="0.3">
      <c r="B105" s="156" t="s">
        <v>163</v>
      </c>
      <c r="C105" s="242" t="s">
        <v>421</v>
      </c>
      <c r="D105" s="243"/>
      <c r="E105" s="243"/>
      <c r="F105" s="244"/>
      <c r="G105" s="86"/>
    </row>
    <row r="106" spans="2:8" x14ac:dyDescent="0.3">
      <c r="B106" s="85"/>
      <c r="C106" s="132" t="s">
        <v>271</v>
      </c>
      <c r="D106" s="86"/>
      <c r="E106" s="86"/>
      <c r="F106" s="86"/>
      <c r="G106" s="86"/>
    </row>
    <row r="107" spans="2:8" x14ac:dyDescent="0.3">
      <c r="B107" s="85"/>
      <c r="C107" s="132" t="s">
        <v>272</v>
      </c>
      <c r="D107" s="86"/>
      <c r="E107" s="86"/>
      <c r="F107" s="131">
        <f>E107+E106</f>
        <v>0</v>
      </c>
      <c r="G107" s="86"/>
    </row>
    <row r="108" spans="2:8" x14ac:dyDescent="0.3">
      <c r="B108" s="236" t="s">
        <v>423</v>
      </c>
      <c r="C108" s="237"/>
      <c r="D108" s="237"/>
      <c r="E108" s="238"/>
      <c r="F108" s="149"/>
      <c r="G108" s="86"/>
    </row>
    <row r="109" spans="2:8" ht="18.75" x14ac:dyDescent="0.3">
      <c r="B109" s="156" t="s">
        <v>164</v>
      </c>
      <c r="C109" s="242" t="s">
        <v>422</v>
      </c>
      <c r="D109" s="243"/>
      <c r="E109" s="243"/>
      <c r="F109" s="244"/>
      <c r="G109" s="86"/>
    </row>
    <row r="110" spans="2:8" x14ac:dyDescent="0.3">
      <c r="B110" s="130"/>
      <c r="C110" s="124" t="s">
        <v>381</v>
      </c>
      <c r="D110" s="86"/>
      <c r="E110" s="85">
        <v>300</v>
      </c>
      <c r="F110" s="85"/>
      <c r="G110" s="86"/>
    </row>
    <row r="111" spans="2:8" x14ac:dyDescent="0.3">
      <c r="B111" s="130"/>
      <c r="C111" s="124" t="s">
        <v>267</v>
      </c>
      <c r="D111" s="86"/>
      <c r="E111" s="85">
        <v>36132</v>
      </c>
      <c r="F111" s="85"/>
      <c r="G111" s="86"/>
    </row>
    <row r="112" spans="2:8" x14ac:dyDescent="0.3">
      <c r="B112" s="130"/>
      <c r="C112" s="124" t="s">
        <v>382</v>
      </c>
      <c r="D112" s="86"/>
      <c r="E112" s="85">
        <v>150000</v>
      </c>
      <c r="F112" s="85"/>
      <c r="G112" s="86"/>
    </row>
    <row r="113" spans="2:7" x14ac:dyDescent="0.3">
      <c r="B113" s="130"/>
      <c r="C113" s="124" t="s">
        <v>383</v>
      </c>
      <c r="D113" s="86"/>
      <c r="E113" s="85">
        <v>300</v>
      </c>
      <c r="F113" s="85"/>
      <c r="G113" s="86"/>
    </row>
    <row r="114" spans="2:7" x14ac:dyDescent="0.3">
      <c r="B114" s="130"/>
      <c r="C114" s="124" t="s">
        <v>268</v>
      </c>
      <c r="D114" s="86"/>
      <c r="E114" s="85">
        <v>10000</v>
      </c>
      <c r="F114" s="85"/>
      <c r="G114" s="86"/>
    </row>
    <row r="115" spans="2:7" x14ac:dyDescent="0.3">
      <c r="B115" s="130"/>
      <c r="C115" s="124" t="s">
        <v>384</v>
      </c>
      <c r="D115" s="86"/>
      <c r="E115" s="85">
        <v>59668</v>
      </c>
      <c r="F115" s="85"/>
      <c r="G115" s="86"/>
    </row>
    <row r="116" spans="2:7" x14ac:dyDescent="0.3">
      <c r="B116" s="130"/>
      <c r="C116" s="124" t="s">
        <v>269</v>
      </c>
      <c r="D116" s="86"/>
      <c r="E116" s="85">
        <v>8560</v>
      </c>
      <c r="F116" s="85"/>
      <c r="G116" s="86"/>
    </row>
    <row r="117" spans="2:7" x14ac:dyDescent="0.3">
      <c r="B117" s="130"/>
      <c r="C117" s="124" t="s">
        <v>385</v>
      </c>
      <c r="D117" s="86"/>
      <c r="E117" s="85">
        <v>26000</v>
      </c>
      <c r="F117" s="85"/>
      <c r="G117" s="86"/>
    </row>
    <row r="118" spans="2:7" x14ac:dyDescent="0.3">
      <c r="B118" s="130"/>
      <c r="C118" s="124" t="s">
        <v>386</v>
      </c>
      <c r="D118" s="86"/>
      <c r="E118" s="85">
        <v>74943</v>
      </c>
      <c r="F118" s="85"/>
      <c r="G118" s="86"/>
    </row>
    <row r="119" spans="2:7" x14ac:dyDescent="0.3">
      <c r="B119" s="130"/>
      <c r="C119" s="125" t="s">
        <v>387</v>
      </c>
      <c r="D119" s="86"/>
      <c r="E119" s="85">
        <v>4000</v>
      </c>
      <c r="F119" s="85"/>
      <c r="G119" s="86"/>
    </row>
    <row r="120" spans="2:7" x14ac:dyDescent="0.3">
      <c r="B120" s="130"/>
      <c r="C120" s="126" t="s">
        <v>388</v>
      </c>
      <c r="D120" s="86"/>
      <c r="E120" s="85">
        <v>20000</v>
      </c>
      <c r="F120" s="85"/>
      <c r="G120" s="86"/>
    </row>
    <row r="121" spans="2:7" x14ac:dyDescent="0.3">
      <c r="B121" s="130"/>
      <c r="C121" s="127" t="s">
        <v>389</v>
      </c>
      <c r="D121" s="86"/>
      <c r="E121" s="85">
        <v>323236</v>
      </c>
      <c r="F121" s="85"/>
      <c r="G121" s="86"/>
    </row>
    <row r="122" spans="2:7" x14ac:dyDescent="0.3">
      <c r="B122" s="130"/>
      <c r="C122" s="124" t="s">
        <v>390</v>
      </c>
      <c r="D122" s="86"/>
      <c r="E122" s="85">
        <v>21000</v>
      </c>
      <c r="F122" s="85"/>
      <c r="G122" s="86"/>
    </row>
    <row r="123" spans="2:7" x14ac:dyDescent="0.3">
      <c r="B123" s="130"/>
      <c r="C123" s="125" t="s">
        <v>391</v>
      </c>
      <c r="D123" s="86"/>
      <c r="E123" s="85">
        <v>3000</v>
      </c>
      <c r="F123" s="85"/>
      <c r="G123" s="86"/>
    </row>
    <row r="124" spans="2:7" x14ac:dyDescent="0.3">
      <c r="B124" s="130"/>
      <c r="C124" s="138" t="s">
        <v>392</v>
      </c>
      <c r="D124" s="86"/>
      <c r="E124" s="85">
        <v>53800</v>
      </c>
      <c r="F124" s="85"/>
      <c r="G124" s="86"/>
    </row>
    <row r="125" spans="2:7" x14ac:dyDescent="0.3">
      <c r="B125" s="130"/>
      <c r="C125" s="124" t="s">
        <v>393</v>
      </c>
      <c r="D125" s="86"/>
      <c r="E125" s="85">
        <v>3000</v>
      </c>
      <c r="F125" s="85"/>
      <c r="G125" s="86"/>
    </row>
    <row r="126" spans="2:7" x14ac:dyDescent="0.3">
      <c r="B126" s="130"/>
      <c r="C126" s="124" t="s">
        <v>394</v>
      </c>
      <c r="D126" s="86"/>
      <c r="E126" s="85">
        <v>28000</v>
      </c>
      <c r="F126" s="85"/>
      <c r="G126" s="86"/>
    </row>
    <row r="127" spans="2:7" x14ac:dyDescent="0.3">
      <c r="B127" s="130"/>
      <c r="C127" s="85" t="s">
        <v>395</v>
      </c>
      <c r="D127" s="86"/>
      <c r="E127" s="85">
        <v>36485</v>
      </c>
      <c r="F127" s="85"/>
      <c r="G127" s="86"/>
    </row>
    <row r="128" spans="2:7" x14ac:dyDescent="0.3">
      <c r="B128" s="130"/>
      <c r="C128" s="132" t="s">
        <v>245</v>
      </c>
      <c r="D128" s="86"/>
      <c r="E128" s="85">
        <f>1810500+463100+926100</f>
        <v>3199700</v>
      </c>
      <c r="F128" s="85"/>
      <c r="G128" s="86"/>
    </row>
    <row r="129" spans="2:7" x14ac:dyDescent="0.3">
      <c r="B129" s="230" t="s">
        <v>424</v>
      </c>
      <c r="C129" s="231"/>
      <c r="D129" s="231"/>
      <c r="E129" s="232"/>
      <c r="F129" s="149">
        <f>SUM(E110:E128)</f>
        <v>4058124</v>
      </c>
      <c r="G129" s="86"/>
    </row>
    <row r="130" spans="2:7" x14ac:dyDescent="0.3">
      <c r="B130" s="156" t="s">
        <v>167</v>
      </c>
      <c r="C130" s="233" t="s">
        <v>166</v>
      </c>
      <c r="D130" s="234"/>
      <c r="E130" s="234"/>
      <c r="F130" s="235"/>
      <c r="G130" s="86"/>
    </row>
    <row r="131" spans="2:7" x14ac:dyDescent="0.3">
      <c r="B131" s="130"/>
      <c r="C131" s="133" t="s">
        <v>362</v>
      </c>
      <c r="D131" s="86"/>
      <c r="E131" s="132">
        <v>19667592</v>
      </c>
      <c r="F131" s="86"/>
      <c r="G131" s="86"/>
    </row>
    <row r="132" spans="2:7" x14ac:dyDescent="0.3">
      <c r="B132" s="130"/>
      <c r="C132" s="132" t="s">
        <v>363</v>
      </c>
      <c r="D132" s="86"/>
      <c r="E132" s="132">
        <v>7759537</v>
      </c>
      <c r="F132" s="86"/>
      <c r="G132" s="86"/>
    </row>
    <row r="133" spans="2:7" x14ac:dyDescent="0.3">
      <c r="B133" s="130"/>
      <c r="C133" s="132" t="s">
        <v>366</v>
      </c>
      <c r="D133" s="86"/>
      <c r="E133" s="132">
        <v>38800</v>
      </c>
      <c r="F133" s="86"/>
      <c r="G133" s="86"/>
    </row>
    <row r="134" spans="2:7" x14ac:dyDescent="0.3">
      <c r="B134" s="130"/>
      <c r="C134" s="132" t="s">
        <v>367</v>
      </c>
      <c r="D134" s="86"/>
      <c r="E134" s="132">
        <v>12530</v>
      </c>
      <c r="F134" s="86"/>
      <c r="G134" s="86"/>
    </row>
    <row r="135" spans="2:7" x14ac:dyDescent="0.3">
      <c r="B135" s="130"/>
      <c r="C135" s="132" t="s">
        <v>368</v>
      </c>
      <c r="D135" s="86"/>
      <c r="E135" s="132">
        <v>1868900</v>
      </c>
      <c r="F135" s="86"/>
      <c r="G135" s="86"/>
    </row>
    <row r="136" spans="2:7" x14ac:dyDescent="0.3">
      <c r="B136" s="130"/>
      <c r="C136" s="132" t="s">
        <v>270</v>
      </c>
      <c r="D136" s="86"/>
      <c r="E136" s="132">
        <v>463557</v>
      </c>
      <c r="F136" s="86"/>
      <c r="G136" s="86"/>
    </row>
    <row r="137" spans="2:7" x14ac:dyDescent="0.3">
      <c r="B137" s="130"/>
      <c r="C137" s="133" t="s">
        <v>369</v>
      </c>
      <c r="D137" s="86"/>
      <c r="E137" s="132">
        <v>9154</v>
      </c>
      <c r="F137" s="86"/>
      <c r="G137" s="86"/>
    </row>
    <row r="138" spans="2:7" x14ac:dyDescent="0.3">
      <c r="B138" s="130"/>
      <c r="C138" s="133" t="s">
        <v>370</v>
      </c>
      <c r="D138" s="86"/>
      <c r="E138" s="132">
        <v>22050000</v>
      </c>
      <c r="F138" s="86"/>
      <c r="G138" s="86"/>
    </row>
    <row r="139" spans="2:7" x14ac:dyDescent="0.3">
      <c r="B139" s="130"/>
      <c r="C139" s="133" t="s">
        <v>371</v>
      </c>
      <c r="D139" s="86"/>
      <c r="E139" s="132">
        <v>140000</v>
      </c>
      <c r="F139" s="86"/>
      <c r="G139" s="86"/>
    </row>
    <row r="140" spans="2:7" x14ac:dyDescent="0.3">
      <c r="B140" s="130"/>
      <c r="C140" s="133" t="s">
        <v>372</v>
      </c>
      <c r="D140" s="86"/>
      <c r="E140" s="132">
        <v>84653</v>
      </c>
      <c r="F140" s="86"/>
      <c r="G140" s="86"/>
    </row>
    <row r="141" spans="2:7" x14ac:dyDescent="0.3">
      <c r="B141" s="130"/>
      <c r="C141" s="133" t="s">
        <v>373</v>
      </c>
      <c r="D141" s="86"/>
      <c r="E141" s="132">
        <v>20000</v>
      </c>
      <c r="F141" s="86"/>
      <c r="G141" s="86"/>
    </row>
    <row r="142" spans="2:7" x14ac:dyDescent="0.3">
      <c r="B142" s="130"/>
      <c r="C142" s="133" t="s">
        <v>374</v>
      </c>
      <c r="D142" s="86"/>
      <c r="E142" s="132">
        <v>14145729</v>
      </c>
      <c r="F142" s="86"/>
      <c r="G142" s="86"/>
    </row>
    <row r="143" spans="2:7" x14ac:dyDescent="0.3">
      <c r="B143" s="130"/>
      <c r="C143" s="133" t="s">
        <v>375</v>
      </c>
      <c r="D143" s="86"/>
      <c r="E143" s="132">
        <v>121287.45</v>
      </c>
      <c r="F143" s="86"/>
      <c r="G143" s="86"/>
    </row>
    <row r="144" spans="2:7" x14ac:dyDescent="0.3">
      <c r="B144" s="130"/>
      <c r="C144" s="133" t="s">
        <v>376</v>
      </c>
      <c r="D144" s="132"/>
      <c r="E144" s="132">
        <v>1399296</v>
      </c>
      <c r="F144" s="86"/>
      <c r="G144" s="86"/>
    </row>
    <row r="145" spans="2:7" x14ac:dyDescent="0.3">
      <c r="B145" s="130"/>
      <c r="C145" s="133" t="s">
        <v>377</v>
      </c>
      <c r="D145" s="132"/>
      <c r="E145" s="132">
        <v>13777221</v>
      </c>
      <c r="F145" s="86"/>
      <c r="G145" s="86"/>
    </row>
    <row r="146" spans="2:7" x14ac:dyDescent="0.3">
      <c r="B146" s="130"/>
      <c r="C146" s="133" t="s">
        <v>84</v>
      </c>
      <c r="D146" s="132"/>
      <c r="E146" s="132">
        <v>100000</v>
      </c>
      <c r="F146" s="86"/>
      <c r="G146" s="86"/>
    </row>
    <row r="147" spans="2:7" x14ac:dyDescent="0.3">
      <c r="B147" s="130"/>
      <c r="C147" s="133" t="s">
        <v>378</v>
      </c>
      <c r="D147" s="132"/>
      <c r="E147" s="132">
        <v>135000</v>
      </c>
      <c r="F147" s="86"/>
      <c r="G147" s="86"/>
    </row>
    <row r="148" spans="2:7" x14ac:dyDescent="0.3">
      <c r="B148" s="130"/>
      <c r="C148" s="133" t="s">
        <v>379</v>
      </c>
      <c r="D148" s="132"/>
      <c r="E148" s="132">
        <v>7243215</v>
      </c>
      <c r="F148" s="86"/>
      <c r="G148" s="86"/>
    </row>
    <row r="149" spans="2:7" x14ac:dyDescent="0.3">
      <c r="B149" s="236" t="s">
        <v>425</v>
      </c>
      <c r="C149" s="237"/>
      <c r="D149" s="237"/>
      <c r="E149" s="238"/>
      <c r="F149" s="150">
        <f>E131+E132+E137+E145+E146</f>
        <v>41313504</v>
      </c>
      <c r="G149" s="86"/>
    </row>
    <row r="150" spans="2:7" x14ac:dyDescent="0.3">
      <c r="B150" s="156" t="s">
        <v>180</v>
      </c>
      <c r="C150" s="233" t="s">
        <v>179</v>
      </c>
      <c r="D150" s="234"/>
      <c r="E150" s="234"/>
      <c r="F150" s="235"/>
      <c r="G150" s="86"/>
    </row>
    <row r="151" spans="2:7" x14ac:dyDescent="0.3">
      <c r="B151" s="130"/>
      <c r="C151" s="139" t="s">
        <v>356</v>
      </c>
      <c r="D151" s="86"/>
      <c r="E151" s="86">
        <v>150600</v>
      </c>
      <c r="F151" s="86"/>
      <c r="G151" s="86"/>
    </row>
    <row r="152" spans="2:7" x14ac:dyDescent="0.3">
      <c r="B152" s="85"/>
      <c r="C152" s="132" t="s">
        <v>355</v>
      </c>
      <c r="D152" s="132"/>
      <c r="E152" s="132">
        <v>62833033.490000002</v>
      </c>
      <c r="F152" s="86"/>
      <c r="G152" s="86"/>
    </row>
    <row r="153" spans="2:7" x14ac:dyDescent="0.3">
      <c r="B153" s="85"/>
      <c r="C153" s="132" t="s">
        <v>357</v>
      </c>
      <c r="D153" s="86"/>
      <c r="E153" s="132">
        <v>500000</v>
      </c>
      <c r="F153" s="86"/>
      <c r="G153" s="86"/>
    </row>
    <row r="154" spans="2:7" x14ac:dyDescent="0.3">
      <c r="B154" s="85"/>
      <c r="C154" s="132" t="s">
        <v>358</v>
      </c>
      <c r="D154" s="132"/>
      <c r="E154" s="132">
        <v>3700000</v>
      </c>
      <c r="F154" s="86"/>
      <c r="G154" s="86"/>
    </row>
    <row r="155" spans="2:7" x14ac:dyDescent="0.3">
      <c r="B155" s="85"/>
      <c r="C155" s="132" t="s">
        <v>359</v>
      </c>
      <c r="D155" s="132"/>
      <c r="E155" s="132">
        <v>5900000</v>
      </c>
      <c r="F155" s="86"/>
      <c r="G155" s="86"/>
    </row>
    <row r="156" spans="2:7" x14ac:dyDescent="0.3">
      <c r="B156" s="85"/>
      <c r="C156" s="132" t="s">
        <v>360</v>
      </c>
      <c r="D156" s="132"/>
      <c r="E156" s="132">
        <v>182700</v>
      </c>
      <c r="F156" s="86"/>
      <c r="G156" s="86"/>
    </row>
    <row r="157" spans="2:7" x14ac:dyDescent="0.3">
      <c r="B157" s="85"/>
      <c r="C157" s="132" t="s">
        <v>361</v>
      </c>
      <c r="D157" s="132"/>
      <c r="E157" s="132">
        <v>5887500</v>
      </c>
      <c r="F157" s="86"/>
      <c r="G157" s="86"/>
    </row>
    <row r="158" spans="2:7" x14ac:dyDescent="0.3">
      <c r="B158" s="85"/>
      <c r="C158" s="132"/>
      <c r="D158" s="132"/>
      <c r="E158" s="132">
        <f>SUM(E151:E157)</f>
        <v>79153833.49000001</v>
      </c>
      <c r="F158" s="131">
        <f>E158</f>
        <v>79153833.49000001</v>
      </c>
      <c r="G158" s="86"/>
    </row>
    <row r="159" spans="2:7" x14ac:dyDescent="0.3">
      <c r="B159" s="85"/>
      <c r="C159" s="132"/>
      <c r="D159" s="132"/>
      <c r="E159" s="132"/>
      <c r="F159" s="86"/>
      <c r="G159" s="86"/>
    </row>
    <row r="160" spans="2:7" x14ac:dyDescent="0.3">
      <c r="B160" s="85"/>
      <c r="C160" s="132"/>
      <c r="D160" s="86"/>
      <c r="E160" s="132"/>
      <c r="F160" s="86"/>
      <c r="G160" s="86"/>
    </row>
    <row r="161" spans="2:7" x14ac:dyDescent="0.3">
      <c r="B161" s="85"/>
      <c r="C161" s="132"/>
      <c r="D161" s="86"/>
      <c r="E161" s="132"/>
      <c r="F161" s="86"/>
      <c r="G161" s="86"/>
    </row>
    <row r="162" spans="2:7" x14ac:dyDescent="0.3">
      <c r="B162" s="85"/>
      <c r="C162" s="86"/>
      <c r="D162" s="86"/>
      <c r="E162" s="86"/>
      <c r="F162" s="131">
        <f>E162</f>
        <v>0</v>
      </c>
      <c r="G162" s="86"/>
    </row>
    <row r="163" spans="2:7" ht="18.75" x14ac:dyDescent="0.3">
      <c r="B163" s="85"/>
      <c r="C163" s="140" t="s">
        <v>233</v>
      </c>
      <c r="D163" s="86"/>
      <c r="E163" s="86"/>
      <c r="F163" s="86"/>
      <c r="G163" s="86"/>
    </row>
    <row r="164" spans="2:7" x14ac:dyDescent="0.3">
      <c r="B164" s="143" t="s">
        <v>188</v>
      </c>
      <c r="C164" s="144" t="s">
        <v>234</v>
      </c>
      <c r="D164" s="86"/>
      <c r="E164" s="86">
        <v>13697127</v>
      </c>
      <c r="F164" s="86"/>
      <c r="G164" s="86"/>
    </row>
    <row r="165" spans="2:7" x14ac:dyDescent="0.3">
      <c r="B165" s="85"/>
      <c r="C165" s="132" t="s">
        <v>236</v>
      </c>
      <c r="D165" s="132"/>
      <c r="E165" s="134"/>
      <c r="F165" s="137">
        <f>E165+E164</f>
        <v>13697127</v>
      </c>
      <c r="G165" s="86"/>
    </row>
    <row r="166" spans="2:7" x14ac:dyDescent="0.3">
      <c r="B166" s="85"/>
      <c r="C166" s="86"/>
      <c r="D166" s="86"/>
      <c r="E166" s="141"/>
      <c r="F166" s="131"/>
      <c r="G166" s="86"/>
    </row>
    <row r="167" spans="2:7" x14ac:dyDescent="0.3">
      <c r="B167" s="143" t="s">
        <v>220</v>
      </c>
      <c r="C167" s="145" t="s">
        <v>235</v>
      </c>
      <c r="D167" s="132"/>
      <c r="E167" s="86">
        <v>33741749</v>
      </c>
      <c r="F167" s="131"/>
      <c r="G167" s="86"/>
    </row>
    <row r="168" spans="2:7" x14ac:dyDescent="0.3">
      <c r="B168" s="85"/>
      <c r="C168" s="132" t="s">
        <v>238</v>
      </c>
      <c r="D168" s="132"/>
      <c r="E168" s="132"/>
      <c r="F168" s="86"/>
      <c r="G168" s="86"/>
    </row>
    <row r="169" spans="2:7" x14ac:dyDescent="0.3">
      <c r="B169" s="85"/>
      <c r="C169" s="132" t="s">
        <v>239</v>
      </c>
      <c r="D169" s="132"/>
      <c r="E169" s="132">
        <v>63155970</v>
      </c>
      <c r="F169" s="86"/>
      <c r="G169" s="86"/>
    </row>
    <row r="170" spans="2:7" x14ac:dyDescent="0.3">
      <c r="B170" s="85"/>
      <c r="C170" s="132" t="s">
        <v>240</v>
      </c>
      <c r="D170" s="86"/>
      <c r="E170" s="132"/>
      <c r="F170" s="86"/>
      <c r="G170" s="86"/>
    </row>
    <row r="171" spans="2:7" x14ac:dyDescent="0.3">
      <c r="B171" s="85"/>
      <c r="C171" s="132" t="s">
        <v>241</v>
      </c>
      <c r="D171" s="86"/>
      <c r="E171" s="132">
        <v>21318660</v>
      </c>
      <c r="F171" s="86"/>
      <c r="G171" s="86"/>
    </row>
    <row r="172" spans="2:7" x14ac:dyDescent="0.3">
      <c r="B172" s="85"/>
      <c r="C172" s="132" t="s">
        <v>242</v>
      </c>
      <c r="D172" s="86"/>
      <c r="E172" s="132"/>
      <c r="F172" s="86"/>
      <c r="G172" s="86"/>
    </row>
    <row r="173" spans="2:7" x14ac:dyDescent="0.3">
      <c r="B173" s="85"/>
      <c r="C173" s="132"/>
      <c r="D173" s="86"/>
      <c r="E173" s="132"/>
      <c r="F173" s="137">
        <f>E167+E168+E169+E170+E171+E172</f>
        <v>118216379</v>
      </c>
      <c r="G173" s="86"/>
    </row>
    <row r="174" spans="2:7" x14ac:dyDescent="0.3">
      <c r="B174" s="143" t="s">
        <v>247</v>
      </c>
      <c r="C174" s="146" t="s">
        <v>237</v>
      </c>
      <c r="D174" s="86"/>
      <c r="E174" s="86"/>
      <c r="F174" s="137">
        <f>E174</f>
        <v>0</v>
      </c>
      <c r="G174" s="86"/>
    </row>
    <row r="175" spans="2:7" x14ac:dyDescent="0.3">
      <c r="B175" s="143" t="s">
        <v>251</v>
      </c>
      <c r="C175" s="147" t="s">
        <v>252</v>
      </c>
      <c r="D175" s="86"/>
      <c r="E175" s="132"/>
      <c r="F175" s="86"/>
      <c r="G175" s="86"/>
    </row>
    <row r="176" spans="2:7" x14ac:dyDescent="0.3">
      <c r="B176" s="143" t="s">
        <v>254</v>
      </c>
      <c r="C176" s="147" t="s">
        <v>255</v>
      </c>
      <c r="D176" s="142"/>
      <c r="E176" s="132"/>
      <c r="F176" s="86"/>
      <c r="G176" s="86"/>
    </row>
    <row r="177" spans="2:8" x14ac:dyDescent="0.3">
      <c r="B177" s="85"/>
      <c r="C177" s="132" t="s">
        <v>256</v>
      </c>
      <c r="D177" s="86"/>
      <c r="E177" s="132"/>
      <c r="F177" s="137"/>
      <c r="G177" s="86"/>
    </row>
    <row r="178" spans="2:8" x14ac:dyDescent="0.3">
      <c r="B178" s="143" t="s">
        <v>257</v>
      </c>
      <c r="C178" s="147" t="s">
        <v>258</v>
      </c>
      <c r="D178" s="86"/>
      <c r="E178" s="86"/>
      <c r="F178" s="137">
        <f>E175</f>
        <v>0</v>
      </c>
      <c r="G178" s="86"/>
    </row>
    <row r="179" spans="2:8" x14ac:dyDescent="0.3">
      <c r="B179" s="85"/>
      <c r="C179" s="132" t="s">
        <v>125</v>
      </c>
      <c r="D179" s="86"/>
      <c r="E179" s="86"/>
      <c r="F179" s="86"/>
      <c r="G179" s="86"/>
    </row>
    <row r="180" spans="2:8" x14ac:dyDescent="0.3">
      <c r="B180" s="85"/>
      <c r="C180" s="132" t="s">
        <v>126</v>
      </c>
      <c r="D180" s="86"/>
      <c r="E180" s="86"/>
      <c r="F180" s="86"/>
      <c r="G180" s="86"/>
    </row>
    <row r="181" spans="2:8" x14ac:dyDescent="0.3">
      <c r="B181" s="130" t="s">
        <v>280</v>
      </c>
      <c r="C181" s="86"/>
      <c r="D181" s="86"/>
      <c r="E181" s="86"/>
      <c r="F181" s="137">
        <f>E179+E180</f>
        <v>0</v>
      </c>
      <c r="G181" s="86"/>
    </row>
    <row r="182" spans="2:8" x14ac:dyDescent="0.3">
      <c r="B182" s="85"/>
      <c r="C182" s="132" t="s">
        <v>321</v>
      </c>
      <c r="D182" s="86"/>
      <c r="E182" s="86"/>
      <c r="F182" s="86"/>
      <c r="G182" s="86"/>
    </row>
    <row r="183" spans="2:8" x14ac:dyDescent="0.3">
      <c r="B183" s="85"/>
      <c r="C183" s="132" t="s">
        <v>322</v>
      </c>
      <c r="D183" s="86">
        <v>4749.54</v>
      </c>
      <c r="E183" s="86">
        <f>D183*H183</f>
        <v>522449.4</v>
      </c>
      <c r="F183" s="86"/>
      <c r="G183" s="86"/>
      <c r="H183">
        <v>110</v>
      </c>
    </row>
    <row r="184" spans="2:8" x14ac:dyDescent="0.3">
      <c r="B184" s="21"/>
      <c r="F184" s="119">
        <f>E183</f>
        <v>522449.4</v>
      </c>
    </row>
    <row r="185" spans="2:8" x14ac:dyDescent="0.3">
      <c r="B185" s="21"/>
    </row>
    <row r="186" spans="2:8" x14ac:dyDescent="0.3">
      <c r="B186" s="21"/>
    </row>
    <row r="187" spans="2:8" x14ac:dyDescent="0.3">
      <c r="B187" s="21"/>
    </row>
    <row r="188" spans="2:8" x14ac:dyDescent="0.3">
      <c r="B188" s="21"/>
    </row>
    <row r="189" spans="2:8" x14ac:dyDescent="0.3">
      <c r="B189" s="21"/>
    </row>
    <row r="190" spans="2:8" x14ac:dyDescent="0.3">
      <c r="B190" s="21"/>
    </row>
    <row r="191" spans="2:8" x14ac:dyDescent="0.3">
      <c r="B191" s="21"/>
    </row>
    <row r="192" spans="2:8" x14ac:dyDescent="0.3">
      <c r="B192" s="21"/>
    </row>
    <row r="193" spans="2:2" x14ac:dyDescent="0.3">
      <c r="B193" s="21"/>
    </row>
    <row r="194" spans="2:2" x14ac:dyDescent="0.3">
      <c r="B194" s="21"/>
    </row>
    <row r="195" spans="2:2" x14ac:dyDescent="0.3">
      <c r="B195" s="21"/>
    </row>
    <row r="196" spans="2:2" x14ac:dyDescent="0.3">
      <c r="B196" s="21"/>
    </row>
    <row r="197" spans="2:2" x14ac:dyDescent="0.3">
      <c r="B197" s="21"/>
    </row>
    <row r="198" spans="2:2" x14ac:dyDescent="0.3">
      <c r="B198" s="21"/>
    </row>
    <row r="199" spans="2:2" x14ac:dyDescent="0.3">
      <c r="B199" s="21"/>
    </row>
    <row r="200" spans="2:2" x14ac:dyDescent="0.3">
      <c r="B200" s="21"/>
    </row>
    <row r="201" spans="2:2" x14ac:dyDescent="0.3">
      <c r="B201" s="21"/>
    </row>
    <row r="202" spans="2:2" x14ac:dyDescent="0.3">
      <c r="B202" s="21"/>
    </row>
    <row r="203" spans="2:2" x14ac:dyDescent="0.3">
      <c r="B203" s="21"/>
    </row>
    <row r="204" spans="2:2" x14ac:dyDescent="0.3">
      <c r="B204" s="21"/>
    </row>
    <row r="205" spans="2:2" x14ac:dyDescent="0.3">
      <c r="B205" s="21"/>
    </row>
    <row r="206" spans="2:2" x14ac:dyDescent="0.3">
      <c r="B206" s="21"/>
    </row>
    <row r="207" spans="2:2" x14ac:dyDescent="0.3">
      <c r="B207" s="21"/>
    </row>
    <row r="208" spans="2:2" x14ac:dyDescent="0.3">
      <c r="B208" s="21"/>
    </row>
    <row r="209" spans="2:2" x14ac:dyDescent="0.3">
      <c r="B209" s="21"/>
    </row>
    <row r="210" spans="2:2" x14ac:dyDescent="0.3">
      <c r="B210" s="21"/>
    </row>
    <row r="211" spans="2:2" x14ac:dyDescent="0.3">
      <c r="B211" s="21"/>
    </row>
    <row r="212" spans="2:2" x14ac:dyDescent="0.3">
      <c r="B212" s="21"/>
    </row>
    <row r="213" spans="2:2" x14ac:dyDescent="0.3">
      <c r="B213" s="21"/>
    </row>
    <row r="214" spans="2:2" x14ac:dyDescent="0.3">
      <c r="B214" s="21"/>
    </row>
    <row r="215" spans="2:2" x14ac:dyDescent="0.3">
      <c r="B215" s="21"/>
    </row>
    <row r="216" spans="2:2" x14ac:dyDescent="0.3">
      <c r="B216" s="21"/>
    </row>
    <row r="217" spans="2:2" x14ac:dyDescent="0.3">
      <c r="B217" s="21"/>
    </row>
    <row r="218" spans="2:2" x14ac:dyDescent="0.3">
      <c r="B218" s="21"/>
    </row>
    <row r="219" spans="2:2" x14ac:dyDescent="0.3">
      <c r="B219" s="21"/>
    </row>
    <row r="220" spans="2:2" x14ac:dyDescent="0.3">
      <c r="B220" s="21"/>
    </row>
    <row r="221" spans="2:2" x14ac:dyDescent="0.3">
      <c r="B221" s="21"/>
    </row>
    <row r="222" spans="2:2" x14ac:dyDescent="0.3">
      <c r="B222" s="21"/>
    </row>
    <row r="223" spans="2:2" x14ac:dyDescent="0.3">
      <c r="B223" s="21"/>
    </row>
    <row r="224" spans="2:2" x14ac:dyDescent="0.3">
      <c r="B224" s="21"/>
    </row>
    <row r="225" spans="2:2" x14ac:dyDescent="0.3">
      <c r="B225" s="21"/>
    </row>
    <row r="226" spans="2:2" x14ac:dyDescent="0.3">
      <c r="B226" s="21"/>
    </row>
    <row r="227" spans="2:2" x14ac:dyDescent="0.3">
      <c r="B227" s="21"/>
    </row>
    <row r="228" spans="2:2" x14ac:dyDescent="0.3">
      <c r="B228" s="21"/>
    </row>
    <row r="229" spans="2:2" x14ac:dyDescent="0.3">
      <c r="B229" s="21"/>
    </row>
    <row r="230" spans="2:2" x14ac:dyDescent="0.3">
      <c r="B230" s="21"/>
    </row>
    <row r="231" spans="2:2" x14ac:dyDescent="0.3">
      <c r="B231" s="21"/>
    </row>
    <row r="232" spans="2:2" x14ac:dyDescent="0.3">
      <c r="B232" s="21"/>
    </row>
    <row r="233" spans="2:2" x14ac:dyDescent="0.3">
      <c r="B233" s="21"/>
    </row>
    <row r="234" spans="2:2" x14ac:dyDescent="0.3">
      <c r="B234" s="21"/>
    </row>
    <row r="235" spans="2:2" x14ac:dyDescent="0.3">
      <c r="B235" s="21"/>
    </row>
    <row r="236" spans="2:2" x14ac:dyDescent="0.3">
      <c r="B236" s="21"/>
    </row>
    <row r="237" spans="2:2" x14ac:dyDescent="0.3">
      <c r="B237" s="21"/>
    </row>
    <row r="238" spans="2:2" x14ac:dyDescent="0.3">
      <c r="B238" s="21"/>
    </row>
    <row r="239" spans="2:2" x14ac:dyDescent="0.3">
      <c r="B239" s="21"/>
    </row>
    <row r="240" spans="2:2" x14ac:dyDescent="0.3">
      <c r="B240" s="21"/>
    </row>
    <row r="241" spans="2:2" x14ac:dyDescent="0.3">
      <c r="B241" s="21"/>
    </row>
    <row r="242" spans="2:2" x14ac:dyDescent="0.3">
      <c r="B242" s="21"/>
    </row>
    <row r="243" spans="2:2" x14ac:dyDescent="0.3">
      <c r="B243" s="21"/>
    </row>
    <row r="244" spans="2:2" x14ac:dyDescent="0.3">
      <c r="B244" s="21"/>
    </row>
  </sheetData>
  <mergeCells count="25">
    <mergeCell ref="C23:F23"/>
    <mergeCell ref="C32:F32"/>
    <mergeCell ref="C46:F46"/>
    <mergeCell ref="C86:F86"/>
    <mergeCell ref="B3:F3"/>
    <mergeCell ref="B7:E7"/>
    <mergeCell ref="B22:E22"/>
    <mergeCell ref="B31:E31"/>
    <mergeCell ref="C5:F5"/>
    <mergeCell ref="B129:E129"/>
    <mergeCell ref="C130:F130"/>
    <mergeCell ref="B149:E149"/>
    <mergeCell ref="C150:F150"/>
    <mergeCell ref="I5:L5"/>
    <mergeCell ref="C92:F92"/>
    <mergeCell ref="C100:F100"/>
    <mergeCell ref="C105:F105"/>
    <mergeCell ref="C109:F109"/>
    <mergeCell ref="B108:E108"/>
    <mergeCell ref="B45:E45"/>
    <mergeCell ref="B85:E85"/>
    <mergeCell ref="B91:E91"/>
    <mergeCell ref="B99:E99"/>
    <mergeCell ref="B104:E104"/>
    <mergeCell ref="C8:F8"/>
  </mergeCells>
  <pageMargins left="0.7" right="0.7" top="0.75" bottom="0.75" header="0.3" footer="0.3"/>
  <pageSetup paperSize="9" scale="6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K25"/>
  <sheetViews>
    <sheetView showGridLines="0" topLeftCell="A17" workbookViewId="0">
      <selection activeCell="F30" sqref="F30:G30"/>
    </sheetView>
  </sheetViews>
  <sheetFormatPr defaultRowHeight="15" x14ac:dyDescent="0.25"/>
  <cols>
    <col min="1" max="1" width="9.140625" style="1"/>
    <col min="2" max="2" width="29.85546875" style="1" bestFit="1" customWidth="1"/>
    <col min="3" max="3" width="18.85546875" style="1" customWidth="1"/>
    <col min="4" max="4" width="16.7109375" style="1" customWidth="1"/>
    <col min="5" max="5" width="18.7109375" style="1" customWidth="1"/>
    <col min="6" max="6" width="18" style="1" customWidth="1"/>
    <col min="7" max="7" width="19.5703125" style="1" customWidth="1"/>
    <col min="8" max="8" width="19.140625" style="1" customWidth="1"/>
    <col min="9" max="9" width="1.28515625" style="1" customWidth="1"/>
    <col min="10" max="11" width="10.140625" style="1" bestFit="1" customWidth="1"/>
    <col min="12" max="16384" width="9.140625" style="1"/>
  </cols>
  <sheetData>
    <row r="4" spans="2:10" ht="18.75" x14ac:dyDescent="0.3">
      <c r="B4" s="18" t="s">
        <v>6</v>
      </c>
      <c r="C4" s="14"/>
      <c r="D4" s="14"/>
      <c r="E4" s="14"/>
      <c r="F4" s="14"/>
      <c r="G4" s="14"/>
      <c r="H4" s="15"/>
    </row>
    <row r="5" spans="2:10" x14ac:dyDescent="0.25">
      <c r="B5" s="19" t="s">
        <v>153</v>
      </c>
      <c r="C5" s="14"/>
      <c r="D5" s="14"/>
      <c r="E5" s="14"/>
      <c r="F5" s="14"/>
      <c r="G5" s="14"/>
      <c r="H5" s="14"/>
    </row>
    <row r="6" spans="2:10" x14ac:dyDescent="0.25">
      <c r="B6" s="6"/>
      <c r="C6" s="16"/>
      <c r="D6" s="16" t="s">
        <v>14</v>
      </c>
      <c r="E6" s="16"/>
      <c r="F6" s="16"/>
      <c r="G6" s="16"/>
      <c r="H6" s="16"/>
    </row>
    <row r="7" spans="2:10" x14ac:dyDescent="0.25">
      <c r="B7" s="6"/>
      <c r="C7" s="17">
        <v>2018</v>
      </c>
      <c r="D7" s="17">
        <v>2019</v>
      </c>
      <c r="E7" s="17">
        <v>2020</v>
      </c>
      <c r="F7" s="17">
        <v>2021</v>
      </c>
      <c r="G7" s="17" t="s">
        <v>23</v>
      </c>
      <c r="H7" s="17" t="s">
        <v>3</v>
      </c>
    </row>
    <row r="8" spans="2:10" ht="24.95" customHeight="1" x14ac:dyDescent="0.25">
      <c r="B8" s="7" t="s">
        <v>7</v>
      </c>
      <c r="C8" s="20">
        <f>313927967+62258266</f>
        <v>376186233</v>
      </c>
      <c r="D8" s="20">
        <f>43967871+29933700+52946104+29071628+35639045+10862350+20905155+34369375+10881100+45417893+23874480+22907554+56613458</f>
        <v>417389713</v>
      </c>
      <c r="E8" s="20">
        <f>282977873+40526884</f>
        <v>323504757</v>
      </c>
      <c r="F8" s="20">
        <f>388389609+50389952</f>
        <v>438779561</v>
      </c>
      <c r="G8" s="8">
        <f>403433921+24406442</f>
        <v>427840363</v>
      </c>
      <c r="H8" s="9">
        <f>G8+F8+E8+D8+C8</f>
        <v>1983700627</v>
      </c>
    </row>
    <row r="9" spans="2:10" ht="24.95" customHeight="1" x14ac:dyDescent="0.25">
      <c r="B9" s="7"/>
      <c r="C9" s="8"/>
      <c r="D9" s="8"/>
      <c r="E9" s="8"/>
      <c r="F9" s="8"/>
      <c r="G9" s="8"/>
      <c r="H9" s="9"/>
    </row>
    <row r="10" spans="2:10" ht="24.95" customHeight="1" x14ac:dyDescent="0.25">
      <c r="B10" s="7"/>
      <c r="C10" s="8"/>
      <c r="D10" s="8"/>
      <c r="E10" s="8"/>
      <c r="F10" s="8"/>
      <c r="G10" s="8"/>
      <c r="H10" s="9"/>
    </row>
    <row r="11" spans="2:10" ht="24.95" customHeight="1" x14ac:dyDescent="0.25">
      <c r="B11" s="10" t="s">
        <v>4</v>
      </c>
      <c r="C11" s="11">
        <f t="shared" ref="C11:G11" si="0">SUM(C8:C10)</f>
        <v>376186233</v>
      </c>
      <c r="D11" s="11">
        <f t="shared" si="0"/>
        <v>417389713</v>
      </c>
      <c r="E11" s="11">
        <f t="shared" ref="E11" si="1">SUM(E8:E10)</f>
        <v>323504757</v>
      </c>
      <c r="F11" s="11">
        <f t="shared" si="0"/>
        <v>438779561</v>
      </c>
      <c r="G11" s="11">
        <f t="shared" si="0"/>
        <v>427840363</v>
      </c>
      <c r="H11" s="11">
        <f>SUM(H8:H10)</f>
        <v>1983700627</v>
      </c>
    </row>
    <row r="12" spans="2:10" ht="24.95" customHeight="1" x14ac:dyDescent="0.25">
      <c r="B12" s="12"/>
      <c r="C12" s="13"/>
      <c r="D12" s="13"/>
      <c r="E12" s="13"/>
      <c r="F12" s="13"/>
      <c r="G12" s="13"/>
      <c r="H12" s="13"/>
    </row>
    <row r="13" spans="2:10" ht="24.95" customHeight="1" x14ac:dyDescent="0.25">
      <c r="B13" s="7" t="s">
        <v>0</v>
      </c>
      <c r="C13" s="8">
        <f>C20</f>
        <v>297411677.39999998</v>
      </c>
      <c r="D13" s="8">
        <f>D20</f>
        <v>313999602</v>
      </c>
      <c r="E13" s="8">
        <f>E20</f>
        <v>237271945</v>
      </c>
      <c r="F13" s="8">
        <f>F20</f>
        <v>349288368.75</v>
      </c>
      <c r="G13" s="8">
        <f>G20</f>
        <v>350571144</v>
      </c>
      <c r="H13" s="9">
        <f>G13+F13+D13+E13+C13</f>
        <v>1548542737.1500001</v>
      </c>
      <c r="J13" s="1">
        <v>2422320</v>
      </c>
    </row>
    <row r="14" spans="2:10" ht="24.95" customHeight="1" x14ac:dyDescent="0.25">
      <c r="B14" s="10" t="s">
        <v>1</v>
      </c>
      <c r="C14" s="11">
        <f>C11+C13</f>
        <v>673597910.39999998</v>
      </c>
      <c r="D14" s="11">
        <f>D11-D13</f>
        <v>103390111</v>
      </c>
      <c r="E14" s="11">
        <f>E11-E13</f>
        <v>86232812</v>
      </c>
      <c r="F14" s="11">
        <f>F11-F13</f>
        <v>89491192.25</v>
      </c>
      <c r="G14" s="11">
        <f>G11-G13</f>
        <v>77269219</v>
      </c>
      <c r="H14" s="11">
        <f>H11-H13</f>
        <v>435157889.8499999</v>
      </c>
      <c r="J14" s="1">
        <v>2636943</v>
      </c>
    </row>
    <row r="15" spans="2:10" ht="24.95" customHeight="1" x14ac:dyDescent="0.25">
      <c r="B15" s="7"/>
      <c r="C15" s="9"/>
      <c r="D15" s="9"/>
      <c r="E15" s="9"/>
      <c r="F15" s="9"/>
      <c r="G15" s="9"/>
      <c r="H15" s="9"/>
      <c r="J15" s="1">
        <v>3138455</v>
      </c>
    </row>
    <row r="16" spans="2:10" ht="24.95" customHeight="1" x14ac:dyDescent="0.25">
      <c r="B16" s="12" t="s">
        <v>12</v>
      </c>
      <c r="C16" s="9"/>
      <c r="D16" s="9"/>
      <c r="E16" s="9"/>
      <c r="F16" s="9"/>
      <c r="G16" s="9"/>
      <c r="H16" s="9"/>
      <c r="J16" s="1">
        <v>6299668</v>
      </c>
    </row>
    <row r="17" spans="2:11" ht="24.95" customHeight="1" x14ac:dyDescent="0.25">
      <c r="B17" s="7" t="s">
        <v>8</v>
      </c>
      <c r="C17" s="20">
        <f>135935317.4+14285647</f>
        <v>150220964.40000001</v>
      </c>
      <c r="D17" s="20">
        <f>267190289+21680459</f>
        <v>288870748</v>
      </c>
      <c r="E17" s="20">
        <f>203556396+14841790</f>
        <v>218398186</v>
      </c>
      <c r="F17" s="20">
        <f>126999164+27141379</f>
        <v>154140543</v>
      </c>
      <c r="G17" s="8">
        <f>160298883+9188742</f>
        <v>169487625</v>
      </c>
      <c r="H17" s="9">
        <f>G17+F17+D17+E17</f>
        <v>830897102</v>
      </c>
      <c r="J17" s="1">
        <v>3072516</v>
      </c>
    </row>
    <row r="18" spans="2:11" ht="24.95" customHeight="1" x14ac:dyDescent="0.25">
      <c r="B18" s="7" t="s">
        <v>9</v>
      </c>
      <c r="C18" s="20">
        <f>259947086+45855043</f>
        <v>305802129</v>
      </c>
      <c r="D18" s="20">
        <f>259002574+42147700</f>
        <v>301150274</v>
      </c>
      <c r="E18" s="20">
        <f>205228873+29722923</f>
        <v>234951796</v>
      </c>
      <c r="F18" s="20">
        <f>316290992.75+37536938</f>
        <v>353827930.75</v>
      </c>
      <c r="G18" s="8">
        <f>360850933+19353413</f>
        <v>380204346</v>
      </c>
      <c r="H18" s="9">
        <f t="shared" ref="H18:H19" si="2">G18+F18+D18+E18</f>
        <v>1270134346.75</v>
      </c>
      <c r="J18" s="1">
        <v>3937586</v>
      </c>
    </row>
    <row r="19" spans="2:11" ht="24.95" customHeight="1" x14ac:dyDescent="0.25">
      <c r="B19" s="7" t="s">
        <v>10</v>
      </c>
      <c r="C19" s="20">
        <f>144841500+13769916</f>
        <v>158611416</v>
      </c>
      <c r="D19" s="20">
        <f>252627907+23393513</f>
        <v>276021420</v>
      </c>
      <c r="E19" s="20">
        <f>199992295+16085742</f>
        <v>216078037</v>
      </c>
      <c r="F19" s="20">
        <f>130486139+28193966</f>
        <v>158680105</v>
      </c>
      <c r="G19" s="8">
        <f>193086946+6033881</f>
        <v>199120827</v>
      </c>
      <c r="H19" s="9">
        <f t="shared" si="2"/>
        <v>849900389</v>
      </c>
      <c r="J19" s="1">
        <f>SUM(J13:J18)</f>
        <v>21507488</v>
      </c>
      <c r="K19" s="1">
        <f>J19*0.7</f>
        <v>15055241.6</v>
      </c>
    </row>
    <row r="20" spans="2:11" ht="24.95" customHeight="1" x14ac:dyDescent="0.25">
      <c r="B20" s="4" t="s">
        <v>11</v>
      </c>
      <c r="C20" s="5">
        <f>C17+C18-C19</f>
        <v>297411677.39999998</v>
      </c>
      <c r="D20" s="5">
        <f>D17+D18-D19</f>
        <v>313999602</v>
      </c>
      <c r="E20" s="5">
        <f>E17+E18-E19</f>
        <v>237271945</v>
      </c>
      <c r="F20" s="5">
        <f>F17+F18-F19</f>
        <v>349288368.75</v>
      </c>
      <c r="G20" s="5">
        <f>G17+G18-G19</f>
        <v>350571144</v>
      </c>
      <c r="H20" s="5">
        <f>H17+H18+H19</f>
        <v>2950931837.75</v>
      </c>
    </row>
    <row r="21" spans="2:11" ht="24.95" customHeight="1" x14ac:dyDescent="0.25">
      <c r="B21" s="7" t="s">
        <v>13</v>
      </c>
      <c r="C21" s="20">
        <f>22887822.35+11361691</f>
        <v>34249513.350000001</v>
      </c>
      <c r="D21" s="20">
        <f>51111263+12835293</f>
        <v>63946556</v>
      </c>
      <c r="E21" s="20">
        <v>50649402</v>
      </c>
      <c r="F21" s="20">
        <f>47587850+6760760</f>
        <v>54348610</v>
      </c>
      <c r="G21" s="8">
        <f>15055241.6+6452246.4</f>
        <v>21507488</v>
      </c>
      <c r="H21" s="9">
        <f>G21+F21+E21+D21+C21</f>
        <v>224701569.34999999</v>
      </c>
    </row>
    <row r="22" spans="2:11" ht="24.95" customHeight="1" x14ac:dyDescent="0.25">
      <c r="B22" s="7" t="s">
        <v>24</v>
      </c>
      <c r="C22" s="20">
        <v>19465792</v>
      </c>
      <c r="D22" s="20">
        <v>14026325</v>
      </c>
      <c r="E22" s="20">
        <v>19068539</v>
      </c>
      <c r="F22" s="20">
        <v>12486638</v>
      </c>
      <c r="G22" s="8">
        <f>16435591+275000</f>
        <v>16710591</v>
      </c>
      <c r="H22" s="9">
        <f>C22</f>
        <v>19465792</v>
      </c>
      <c r="J22" s="1">
        <v>15465792</v>
      </c>
    </row>
    <row r="23" spans="2:11" ht="24.95" customHeight="1" x14ac:dyDescent="0.25">
      <c r="B23" s="7" t="s">
        <v>25</v>
      </c>
      <c r="C23" s="20">
        <v>16623990</v>
      </c>
      <c r="D23" s="20">
        <v>14431048</v>
      </c>
      <c r="E23" s="20">
        <v>11319115</v>
      </c>
      <c r="F23" s="20">
        <v>19727653</v>
      </c>
      <c r="G23" s="8">
        <v>26223204</v>
      </c>
      <c r="H23" s="9">
        <f>G23+F23+E23+D23+C23</f>
        <v>88325010</v>
      </c>
    </row>
    <row r="24" spans="2:11" ht="24.95" customHeight="1" x14ac:dyDescent="0.25">
      <c r="B24" s="4" t="s">
        <v>2</v>
      </c>
      <c r="C24" s="5">
        <f>C20+C21+C22+C23</f>
        <v>367750972.75</v>
      </c>
      <c r="D24" s="5">
        <f>D20+D21+D22+D23</f>
        <v>406403531</v>
      </c>
      <c r="E24" s="5">
        <f>E20+E21+E22+E23</f>
        <v>318309001</v>
      </c>
      <c r="F24" s="5">
        <f>F20+F21+F22+F23</f>
        <v>435851269.75</v>
      </c>
      <c r="G24" s="5">
        <f>G20+G21+G22+G23</f>
        <v>415012427</v>
      </c>
      <c r="H24" s="5">
        <f>H20+H21+H22</f>
        <v>3195099199.0999999</v>
      </c>
    </row>
    <row r="25" spans="2:11" ht="24.95" customHeight="1" x14ac:dyDescent="0.25">
      <c r="B25" s="2" t="s">
        <v>5</v>
      </c>
      <c r="C25" s="3">
        <f>C11-C24</f>
        <v>8435260.25</v>
      </c>
      <c r="D25" s="3">
        <f>D8-D24</f>
        <v>10986182</v>
      </c>
      <c r="E25" s="3">
        <f>E8-E24</f>
        <v>5195756</v>
      </c>
      <c r="F25" s="3">
        <f>F8-F24</f>
        <v>2928291.25</v>
      </c>
      <c r="G25" s="3">
        <f>G8-G24</f>
        <v>12827936</v>
      </c>
      <c r="H25" s="3">
        <f>G25+F25+E25+D25+C25</f>
        <v>40373425.5</v>
      </c>
    </row>
  </sheetData>
  <conditionalFormatting sqref="B4:B5">
    <cfRule type="duplicateValues" dxfId="2" priority="1"/>
  </conditionalFormatting>
  <pageMargins left="0.7" right="0.7" top="0.75" bottom="0.75" header="0.3" footer="0.3"/>
  <pageSetup scale="9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5:H27"/>
  <sheetViews>
    <sheetView showGridLines="0" topLeftCell="A23" workbookViewId="0">
      <selection activeCell="G42" sqref="G42"/>
    </sheetView>
  </sheetViews>
  <sheetFormatPr defaultRowHeight="15" x14ac:dyDescent="0.25"/>
  <cols>
    <col min="1" max="1" width="9.140625" style="1"/>
    <col min="2" max="2" width="29.85546875" style="1" bestFit="1" customWidth="1"/>
    <col min="3" max="3" width="18.85546875" style="1" customWidth="1"/>
    <col min="4" max="4" width="16.7109375" style="1" customWidth="1"/>
    <col min="5" max="5" width="19" style="1" customWidth="1"/>
    <col min="6" max="6" width="17.85546875" style="1" customWidth="1"/>
    <col min="7" max="7" width="17.5703125" style="1" customWidth="1"/>
    <col min="8" max="8" width="16.85546875" style="1" customWidth="1"/>
    <col min="9" max="16384" width="9.140625" style="1"/>
  </cols>
  <sheetData>
    <row r="5" spans="2:8" ht="18.75" x14ac:dyDescent="0.3">
      <c r="B5" s="18" t="s">
        <v>6</v>
      </c>
      <c r="C5" s="14"/>
      <c r="D5" s="14"/>
      <c r="E5" s="14"/>
      <c r="F5" s="14"/>
      <c r="G5" s="14"/>
      <c r="H5" s="15"/>
    </row>
    <row r="6" spans="2:8" x14ac:dyDescent="0.25">
      <c r="B6" s="19" t="s">
        <v>21</v>
      </c>
      <c r="C6" s="14"/>
      <c r="D6" s="14"/>
      <c r="E6" s="14"/>
      <c r="F6" s="14"/>
      <c r="G6" s="14"/>
      <c r="H6" s="14"/>
    </row>
    <row r="7" spans="2:8" x14ac:dyDescent="0.25">
      <c r="B7" s="6"/>
      <c r="C7" s="16"/>
      <c r="D7" s="16" t="s">
        <v>15</v>
      </c>
      <c r="E7" s="16"/>
      <c r="F7" s="16"/>
      <c r="G7" s="16"/>
      <c r="H7" s="16"/>
    </row>
    <row r="8" spans="2:8" x14ac:dyDescent="0.25">
      <c r="B8" s="6"/>
      <c r="C8" s="17">
        <v>2018</v>
      </c>
      <c r="D8" s="17">
        <v>2019</v>
      </c>
      <c r="E8" s="17">
        <v>2020</v>
      </c>
      <c r="F8" s="17">
        <v>2021</v>
      </c>
      <c r="G8" s="17" t="s">
        <v>23</v>
      </c>
      <c r="H8" s="17" t="s">
        <v>3</v>
      </c>
    </row>
    <row r="9" spans="2:8" ht="24.95" customHeight="1" x14ac:dyDescent="0.25">
      <c r="B9" s="7" t="s">
        <v>7</v>
      </c>
      <c r="C9" s="20">
        <v>62258266</v>
      </c>
      <c r="D9" s="20">
        <v>53613458</v>
      </c>
      <c r="E9" s="20">
        <v>40526884</v>
      </c>
      <c r="F9" s="20">
        <v>50389952</v>
      </c>
      <c r="G9" s="20">
        <v>24406442</v>
      </c>
      <c r="H9" s="9">
        <f>G9+F9+E9+D9+C9</f>
        <v>231195002</v>
      </c>
    </row>
    <row r="10" spans="2:8" ht="24.95" customHeight="1" x14ac:dyDescent="0.25">
      <c r="B10" s="7"/>
      <c r="C10" s="8"/>
      <c r="D10" s="8"/>
      <c r="E10" s="8"/>
      <c r="F10" s="8"/>
      <c r="G10" s="8"/>
      <c r="H10" s="9"/>
    </row>
    <row r="11" spans="2:8" ht="24.95" customHeight="1" x14ac:dyDescent="0.25">
      <c r="B11" s="7"/>
      <c r="C11" s="8"/>
      <c r="D11" s="8"/>
      <c r="E11" s="8"/>
      <c r="F11" s="8"/>
      <c r="G11" s="8"/>
      <c r="H11" s="9"/>
    </row>
    <row r="12" spans="2:8" ht="24.95" customHeight="1" x14ac:dyDescent="0.25">
      <c r="B12" s="10" t="s">
        <v>4</v>
      </c>
      <c r="C12" s="11">
        <f t="shared" ref="C12:G12" si="0">SUM(C9:C11)</f>
        <v>62258266</v>
      </c>
      <c r="D12" s="11">
        <f t="shared" si="0"/>
        <v>53613458</v>
      </c>
      <c r="E12" s="11">
        <f t="shared" si="0"/>
        <v>40526884</v>
      </c>
      <c r="F12" s="11">
        <f t="shared" si="0"/>
        <v>50389952</v>
      </c>
      <c r="G12" s="11">
        <f t="shared" si="0"/>
        <v>24406442</v>
      </c>
      <c r="H12" s="11">
        <f>SUM(H9:H11)</f>
        <v>231195002</v>
      </c>
    </row>
    <row r="13" spans="2:8" ht="24.95" customHeight="1" x14ac:dyDescent="0.25">
      <c r="B13" s="12"/>
      <c r="C13" s="13"/>
      <c r="D13" s="13"/>
      <c r="E13" s="13"/>
      <c r="F13" s="13"/>
      <c r="G13" s="13"/>
      <c r="H13" s="13"/>
    </row>
    <row r="14" spans="2:8" ht="24.95" customHeight="1" x14ac:dyDescent="0.25">
      <c r="B14" s="7" t="s">
        <v>0</v>
      </c>
      <c r="C14" s="8">
        <f>C21</f>
        <v>46370774</v>
      </c>
      <c r="D14" s="8">
        <f>D21</f>
        <v>40434646</v>
      </c>
      <c r="E14" s="8">
        <f>E21</f>
        <v>28478971</v>
      </c>
      <c r="F14" s="8">
        <f>F21</f>
        <v>36484351.57</v>
      </c>
      <c r="G14" s="8">
        <f>G21</f>
        <v>22508274</v>
      </c>
      <c r="H14" s="9">
        <f>G14+F14+E14+D14+C14</f>
        <v>174277016.56999999</v>
      </c>
    </row>
    <row r="15" spans="2:8" ht="24.95" customHeight="1" x14ac:dyDescent="0.25">
      <c r="B15" s="10" t="s">
        <v>1</v>
      </c>
      <c r="C15" s="11">
        <f t="shared" ref="C15" si="1">C12-C14</f>
        <v>15887492</v>
      </c>
      <c r="D15" s="11">
        <f>D12-D14</f>
        <v>13178812</v>
      </c>
      <c r="E15" s="11">
        <f>E12-E14</f>
        <v>12047913</v>
      </c>
      <c r="F15" s="11">
        <f>F12-F14</f>
        <v>13905600.43</v>
      </c>
      <c r="G15" s="11">
        <f>G12-G14</f>
        <v>1898168</v>
      </c>
      <c r="H15" s="11">
        <f>G15+F15+E15+D15+C15</f>
        <v>56917985.43</v>
      </c>
    </row>
    <row r="16" spans="2:8" ht="24.95" customHeight="1" x14ac:dyDescent="0.25">
      <c r="B16" s="7"/>
      <c r="C16" s="9"/>
      <c r="D16" s="9"/>
      <c r="E16" s="9"/>
      <c r="F16" s="9"/>
      <c r="G16" s="9"/>
      <c r="H16" s="9"/>
    </row>
    <row r="17" spans="2:8" ht="24.95" customHeight="1" x14ac:dyDescent="0.25">
      <c r="B17" s="12" t="s">
        <v>12</v>
      </c>
      <c r="C17" s="9"/>
      <c r="D17" s="9"/>
      <c r="E17" s="9"/>
      <c r="F17" s="9"/>
      <c r="G17" s="9"/>
      <c r="H17" s="9"/>
    </row>
    <row r="18" spans="2:8" ht="24.95" customHeight="1" x14ac:dyDescent="0.25">
      <c r="B18" s="7" t="s">
        <v>8</v>
      </c>
      <c r="C18" s="20">
        <v>14285647</v>
      </c>
      <c r="D18" s="20">
        <v>21680459</v>
      </c>
      <c r="E18" s="20">
        <v>14841790</v>
      </c>
      <c r="F18" s="20">
        <v>27141379.57</v>
      </c>
      <c r="G18" s="20">
        <v>9188742</v>
      </c>
      <c r="H18" s="9">
        <f>G18+F18+E18+D18+C18</f>
        <v>87138017.569999993</v>
      </c>
    </row>
    <row r="19" spans="2:8" ht="24.95" customHeight="1" x14ac:dyDescent="0.25">
      <c r="B19" s="7" t="s">
        <v>9</v>
      </c>
      <c r="C19" s="20">
        <v>45855043</v>
      </c>
      <c r="D19" s="20">
        <v>42147700</v>
      </c>
      <c r="E19" s="20">
        <v>29722923</v>
      </c>
      <c r="F19" s="20">
        <v>37536938</v>
      </c>
      <c r="G19" s="20">
        <v>19353413</v>
      </c>
      <c r="H19" s="9">
        <f t="shared" ref="H19:H20" si="2">G19+F19+E19+D19+C19</f>
        <v>174616017</v>
      </c>
    </row>
    <row r="20" spans="2:8" ht="24.95" customHeight="1" x14ac:dyDescent="0.25">
      <c r="B20" s="7" t="s">
        <v>10</v>
      </c>
      <c r="C20" s="20">
        <v>13769916</v>
      </c>
      <c r="D20" s="20">
        <v>23393513</v>
      </c>
      <c r="E20" s="20">
        <v>16085742</v>
      </c>
      <c r="F20" s="20">
        <v>28193966</v>
      </c>
      <c r="G20" s="20">
        <v>6033881</v>
      </c>
      <c r="H20" s="9">
        <f t="shared" si="2"/>
        <v>87477018</v>
      </c>
    </row>
    <row r="21" spans="2:8" ht="24.95" customHeight="1" x14ac:dyDescent="0.25">
      <c r="B21" s="4" t="s">
        <v>11</v>
      </c>
      <c r="C21" s="5">
        <f t="shared" ref="C21:H21" si="3">C18+C19-C20</f>
        <v>46370774</v>
      </c>
      <c r="D21" s="5">
        <f t="shared" si="3"/>
        <v>40434646</v>
      </c>
      <c r="E21" s="5">
        <f t="shared" si="3"/>
        <v>28478971</v>
      </c>
      <c r="F21" s="5">
        <f t="shared" si="3"/>
        <v>36484351.57</v>
      </c>
      <c r="G21" s="5">
        <f t="shared" si="3"/>
        <v>22508274</v>
      </c>
      <c r="H21" s="5">
        <f t="shared" si="3"/>
        <v>174277016.56999999</v>
      </c>
    </row>
    <row r="22" spans="2:8" ht="24.95" customHeight="1" x14ac:dyDescent="0.25">
      <c r="B22" s="7" t="s">
        <v>16</v>
      </c>
      <c r="C22" s="20">
        <v>11361691</v>
      </c>
      <c r="D22" s="20">
        <v>12835293</v>
      </c>
      <c r="E22" s="20">
        <v>10765081</v>
      </c>
      <c r="F22" s="20">
        <v>6760760</v>
      </c>
      <c r="G22" s="20">
        <v>6452246.4000000004</v>
      </c>
      <c r="H22" s="9">
        <f>G22+F22+E22+D22+C22</f>
        <v>48175071.399999999</v>
      </c>
    </row>
    <row r="23" spans="2:8" ht="24.95" customHeight="1" x14ac:dyDescent="0.25">
      <c r="B23" s="7" t="s">
        <v>17</v>
      </c>
      <c r="C23" s="8"/>
      <c r="D23" s="8"/>
      <c r="E23" s="8">
        <v>0</v>
      </c>
      <c r="F23" s="8">
        <v>0</v>
      </c>
      <c r="G23" s="8">
        <v>0</v>
      </c>
      <c r="H23" s="9">
        <f>D23+C23</f>
        <v>0</v>
      </c>
    </row>
    <row r="24" spans="2:8" ht="24.95" customHeight="1" x14ac:dyDescent="0.25">
      <c r="B24" s="7" t="s">
        <v>18</v>
      </c>
      <c r="C24" s="8"/>
      <c r="D24" s="8"/>
      <c r="E24" s="8"/>
      <c r="F24" s="8"/>
      <c r="G24" s="8"/>
      <c r="H24" s="9"/>
    </row>
    <row r="25" spans="2:8" ht="24.95" customHeight="1" x14ac:dyDescent="0.25">
      <c r="B25" s="7" t="s">
        <v>19</v>
      </c>
      <c r="C25" s="8"/>
      <c r="D25" s="8"/>
      <c r="E25" s="8"/>
      <c r="F25" s="8"/>
      <c r="G25" s="8"/>
      <c r="H25" s="9">
        <f>D25</f>
        <v>0</v>
      </c>
    </row>
    <row r="26" spans="2:8" ht="24.95" customHeight="1" x14ac:dyDescent="0.25">
      <c r="B26" s="4" t="s">
        <v>2</v>
      </c>
      <c r="C26" s="5">
        <f>C22+C21</f>
        <v>57732465</v>
      </c>
      <c r="D26" s="5">
        <f>D25+D24+D23+D22+D21</f>
        <v>53269939</v>
      </c>
      <c r="E26" s="5">
        <f>E21+E22</f>
        <v>39244052</v>
      </c>
      <c r="F26" s="5">
        <f>F22+F21</f>
        <v>43245111.57</v>
      </c>
      <c r="G26" s="5">
        <f>G21+G22</f>
        <v>28960520.399999999</v>
      </c>
      <c r="H26" s="5">
        <f>H21+H22+H23+H25</f>
        <v>222452087.97</v>
      </c>
    </row>
    <row r="27" spans="2:8" ht="24.95" customHeight="1" x14ac:dyDescent="0.25">
      <c r="B27" s="2" t="s">
        <v>20</v>
      </c>
      <c r="C27" s="3">
        <f>C9-C26</f>
        <v>4525801</v>
      </c>
      <c r="D27" s="3">
        <f>D9-D26</f>
        <v>343519</v>
      </c>
      <c r="E27" s="3">
        <f>E9-E26</f>
        <v>1282832</v>
      </c>
      <c r="F27" s="3">
        <f>F9-F26</f>
        <v>7144840.4299999997</v>
      </c>
      <c r="G27" s="3">
        <f>G9-G26</f>
        <v>-4554078.3999999985</v>
      </c>
      <c r="H27" s="3">
        <f>C27+D27+E27+F27+G27</f>
        <v>8742914.0300000012</v>
      </c>
    </row>
  </sheetData>
  <conditionalFormatting sqref="B5:B6">
    <cfRule type="duplicateValues" dxfId="1" priority="1"/>
  </conditionalFormatting>
  <pageMargins left="0.7" right="0.7" top="0.75" bottom="0.75" header="0.3" footer="0.3"/>
  <pageSetup scale="9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K27"/>
  <sheetViews>
    <sheetView showGridLines="0" topLeftCell="A10" workbookViewId="0">
      <selection activeCell="C35" sqref="C35"/>
    </sheetView>
  </sheetViews>
  <sheetFormatPr defaultRowHeight="15" x14ac:dyDescent="0.25"/>
  <cols>
    <col min="1" max="1" width="9.140625" style="1"/>
    <col min="2" max="2" width="29.85546875" style="1" bestFit="1" customWidth="1"/>
    <col min="3" max="3" width="18.85546875" style="1" customWidth="1"/>
    <col min="4" max="4" width="16.7109375" style="1" customWidth="1"/>
    <col min="5" max="5" width="18.7109375" style="1" customWidth="1"/>
    <col min="6" max="6" width="18" style="1" customWidth="1"/>
    <col min="7" max="7" width="19.5703125" style="1" customWidth="1"/>
    <col min="8" max="8" width="19.140625" style="1" customWidth="1"/>
    <col min="9" max="9" width="9.140625" style="1"/>
    <col min="10" max="11" width="10.140625" style="1" bestFit="1" customWidth="1"/>
    <col min="12" max="16384" width="9.140625" style="1"/>
  </cols>
  <sheetData>
    <row r="3" spans="2:10" ht="18.75" x14ac:dyDescent="0.3">
      <c r="B3" s="18" t="s">
        <v>6</v>
      </c>
      <c r="C3" s="14"/>
      <c r="D3" s="14"/>
      <c r="E3" s="14"/>
      <c r="F3" s="14"/>
      <c r="G3" s="14"/>
      <c r="H3" s="15"/>
    </row>
    <row r="4" spans="2:10" x14ac:dyDescent="0.25">
      <c r="B4" s="19" t="s">
        <v>22</v>
      </c>
      <c r="C4" s="14"/>
      <c r="D4" s="14"/>
      <c r="E4" s="14"/>
      <c r="F4" s="14"/>
      <c r="G4" s="14"/>
      <c r="H4" s="14"/>
    </row>
    <row r="5" spans="2:10" x14ac:dyDescent="0.25">
      <c r="B5" s="6"/>
      <c r="C5" s="16"/>
      <c r="D5" s="16" t="s">
        <v>14</v>
      </c>
      <c r="E5" s="16"/>
      <c r="F5" s="16"/>
      <c r="G5" s="16"/>
      <c r="H5" s="16"/>
    </row>
    <row r="6" spans="2:10" x14ac:dyDescent="0.25">
      <c r="B6" s="6"/>
      <c r="C6" s="17">
        <v>2018</v>
      </c>
      <c r="D6" s="17">
        <v>2019</v>
      </c>
      <c r="E6" s="17">
        <v>2020</v>
      </c>
      <c r="F6" s="17">
        <v>2021</v>
      </c>
      <c r="G6" s="17" t="s">
        <v>23</v>
      </c>
      <c r="H6" s="17" t="s">
        <v>3</v>
      </c>
    </row>
    <row r="7" spans="2:10" ht="24.95" customHeight="1" x14ac:dyDescent="0.25">
      <c r="B7" s="7" t="s">
        <v>7</v>
      </c>
      <c r="C7" s="20">
        <v>313927967</v>
      </c>
      <c r="D7" s="20">
        <f>43967871+29933700+52946104+29071628+35639045+10862350+20905155+34369375+10881100+45417893+23874480+22907554</f>
        <v>360776255</v>
      </c>
      <c r="E7" s="20">
        <v>282977873</v>
      </c>
      <c r="F7" s="20">
        <v>388389609</v>
      </c>
      <c r="G7" s="8">
        <v>403433921</v>
      </c>
      <c r="H7" s="9">
        <f>G7+F7+E7+D7+C7</f>
        <v>1749505625</v>
      </c>
    </row>
    <row r="8" spans="2:10" ht="24.95" customHeight="1" x14ac:dyDescent="0.25">
      <c r="B8" s="7"/>
      <c r="C8" s="8"/>
      <c r="D8" s="8"/>
      <c r="E8" s="8"/>
      <c r="F8" s="8"/>
      <c r="G8" s="8"/>
      <c r="H8" s="9"/>
    </row>
    <row r="9" spans="2:10" ht="24.95" customHeight="1" x14ac:dyDescent="0.25">
      <c r="B9" s="7"/>
      <c r="C9" s="8"/>
      <c r="D9" s="8"/>
      <c r="E9" s="8"/>
      <c r="F9" s="8"/>
      <c r="G9" s="8"/>
      <c r="H9" s="9"/>
    </row>
    <row r="10" spans="2:10" ht="24.95" customHeight="1" x14ac:dyDescent="0.25">
      <c r="B10" s="10" t="s">
        <v>4</v>
      </c>
      <c r="C10" s="11">
        <f t="shared" ref="C10:G10" si="0">SUM(C7:C9)</f>
        <v>313927967</v>
      </c>
      <c r="D10" s="11">
        <f t="shared" si="0"/>
        <v>360776255</v>
      </c>
      <c r="E10" s="11">
        <f t="shared" ref="E10" si="1">SUM(E7:E9)</f>
        <v>282977873</v>
      </c>
      <c r="F10" s="11">
        <f t="shared" si="0"/>
        <v>388389609</v>
      </c>
      <c r="G10" s="11">
        <f t="shared" si="0"/>
        <v>403433921</v>
      </c>
      <c r="H10" s="11">
        <f>SUM(H7:H9)</f>
        <v>1749505625</v>
      </c>
    </row>
    <row r="11" spans="2:10" ht="24.95" customHeight="1" x14ac:dyDescent="0.25">
      <c r="B11" s="12"/>
      <c r="C11" s="13"/>
      <c r="D11" s="13"/>
      <c r="E11" s="13"/>
      <c r="F11" s="13"/>
      <c r="G11" s="13"/>
      <c r="H11" s="13"/>
    </row>
    <row r="12" spans="2:10" ht="24.95" customHeight="1" x14ac:dyDescent="0.25">
      <c r="B12" s="7" t="s">
        <v>0</v>
      </c>
      <c r="C12" s="8">
        <f>C19</f>
        <v>251040903.39999998</v>
      </c>
      <c r="D12" s="8">
        <f>D19</f>
        <v>273564956</v>
      </c>
      <c r="E12" s="8">
        <f>E19</f>
        <v>208792974</v>
      </c>
      <c r="F12" s="8">
        <f>F19</f>
        <v>312804017.75</v>
      </c>
      <c r="G12" s="8">
        <f>G19</f>
        <v>328062870</v>
      </c>
      <c r="H12" s="9">
        <f>G12+F12+D12+E12+C12</f>
        <v>1374265721.1500001</v>
      </c>
      <c r="J12" s="1">
        <v>2422320</v>
      </c>
    </row>
    <row r="13" spans="2:10" ht="24.95" customHeight="1" x14ac:dyDescent="0.25">
      <c r="B13" s="10" t="s">
        <v>1</v>
      </c>
      <c r="C13" s="11">
        <f>C10+C12</f>
        <v>564968870.39999998</v>
      </c>
      <c r="D13" s="11">
        <f>D10-D12</f>
        <v>87211299</v>
      </c>
      <c r="E13" s="11">
        <f>E10-E12</f>
        <v>74184899</v>
      </c>
      <c r="F13" s="11">
        <f>F10-F12</f>
        <v>75585591.25</v>
      </c>
      <c r="G13" s="11">
        <f>G10-G12</f>
        <v>75371051</v>
      </c>
      <c r="H13" s="11">
        <f>H10-H12</f>
        <v>375239903.8499999</v>
      </c>
      <c r="J13" s="1">
        <v>2636943</v>
      </c>
    </row>
    <row r="14" spans="2:10" ht="24.95" customHeight="1" x14ac:dyDescent="0.25">
      <c r="B14" s="7"/>
      <c r="C14" s="9"/>
      <c r="D14" s="9"/>
      <c r="E14" s="9"/>
      <c r="F14" s="9"/>
      <c r="G14" s="9"/>
      <c r="H14" s="9"/>
      <c r="J14" s="1">
        <v>3138455</v>
      </c>
    </row>
    <row r="15" spans="2:10" ht="24.95" customHeight="1" x14ac:dyDescent="0.25">
      <c r="B15" s="12" t="s">
        <v>12</v>
      </c>
      <c r="C15" s="9"/>
      <c r="D15" s="9"/>
      <c r="E15" s="9"/>
      <c r="F15" s="9"/>
      <c r="G15" s="9"/>
      <c r="H15" s="9"/>
      <c r="J15" s="1">
        <v>6299668</v>
      </c>
    </row>
    <row r="16" spans="2:10" ht="24.95" customHeight="1" x14ac:dyDescent="0.25">
      <c r="B16" s="7" t="s">
        <v>8</v>
      </c>
      <c r="C16" s="20">
        <v>135935317.40000001</v>
      </c>
      <c r="D16" s="20">
        <v>267190289</v>
      </c>
      <c r="E16" s="20">
        <v>203556396</v>
      </c>
      <c r="F16" s="20">
        <v>126999164</v>
      </c>
      <c r="G16" s="8">
        <v>160298883</v>
      </c>
      <c r="H16" s="9">
        <f>G16+F16+D16+E16</f>
        <v>758044732</v>
      </c>
      <c r="J16" s="1">
        <v>3072516</v>
      </c>
    </row>
    <row r="17" spans="2:11" ht="24.95" customHeight="1" x14ac:dyDescent="0.25">
      <c r="B17" s="7" t="s">
        <v>9</v>
      </c>
      <c r="C17" s="20">
        <v>259947086</v>
      </c>
      <c r="D17" s="20">
        <v>259002574</v>
      </c>
      <c r="E17" s="20">
        <v>205228873</v>
      </c>
      <c r="F17" s="20">
        <v>316290992.75</v>
      </c>
      <c r="G17" s="8">
        <v>360850933</v>
      </c>
      <c r="H17" s="9">
        <f t="shared" ref="H17:H18" si="2">G17+F17+D17+E17</f>
        <v>1141373372.75</v>
      </c>
      <c r="J17" s="1">
        <v>3937586</v>
      </c>
    </row>
    <row r="18" spans="2:11" ht="24.95" customHeight="1" x14ac:dyDescent="0.25">
      <c r="B18" s="7" t="s">
        <v>10</v>
      </c>
      <c r="C18" s="20">
        <v>144841500</v>
      </c>
      <c r="D18" s="20">
        <v>252627907</v>
      </c>
      <c r="E18" s="20">
        <v>199992295</v>
      </c>
      <c r="F18" s="20">
        <v>130486139</v>
      </c>
      <c r="G18" s="8">
        <v>193086946</v>
      </c>
      <c r="H18" s="9">
        <f t="shared" si="2"/>
        <v>776193287</v>
      </c>
      <c r="J18" s="1">
        <f>SUM(J12:J17)</f>
        <v>21507488</v>
      </c>
      <c r="K18" s="1">
        <f>J18*0.7</f>
        <v>15055241.6</v>
      </c>
    </row>
    <row r="19" spans="2:11" ht="24.95" customHeight="1" x14ac:dyDescent="0.25">
      <c r="B19" s="4" t="s">
        <v>11</v>
      </c>
      <c r="C19" s="5">
        <f>C16+C17-C18</f>
        <v>251040903.39999998</v>
      </c>
      <c r="D19" s="5">
        <f>D16+D17-D18</f>
        <v>273564956</v>
      </c>
      <c r="E19" s="5">
        <f>E16+E17-E18</f>
        <v>208792974</v>
      </c>
      <c r="F19" s="5">
        <f>F16+F17-F18</f>
        <v>312804017.75</v>
      </c>
      <c r="G19" s="5">
        <f>G16+G17-G18</f>
        <v>328062870</v>
      </c>
      <c r="H19" s="5">
        <f>H16+H17+H18</f>
        <v>2675611391.75</v>
      </c>
    </row>
    <row r="20" spans="2:11" ht="24.95" customHeight="1" x14ac:dyDescent="0.25">
      <c r="B20" s="7" t="s">
        <v>13</v>
      </c>
      <c r="C20" s="20">
        <v>22887822.350000001</v>
      </c>
      <c r="D20" s="20">
        <v>51111263</v>
      </c>
      <c r="E20" s="20">
        <v>50649402</v>
      </c>
      <c r="F20" s="20">
        <v>47587850</v>
      </c>
      <c r="G20" s="8">
        <v>15055241.6</v>
      </c>
      <c r="H20" s="9">
        <f>G20+F20+E20+D20+C20</f>
        <v>187291578.94999999</v>
      </c>
    </row>
    <row r="21" spans="2:11" ht="24.95" customHeight="1" x14ac:dyDescent="0.25">
      <c r="B21" s="7" t="s">
        <v>24</v>
      </c>
      <c r="C21" s="20">
        <v>19465792</v>
      </c>
      <c r="D21" s="20">
        <v>14026325</v>
      </c>
      <c r="E21" s="20">
        <v>19068539</v>
      </c>
      <c r="F21" s="20">
        <v>12486638</v>
      </c>
      <c r="G21" s="8">
        <f>16435591+275000</f>
        <v>16710591</v>
      </c>
      <c r="H21" s="9">
        <f>C21</f>
        <v>19465792</v>
      </c>
      <c r="J21" s="1">
        <v>15465792</v>
      </c>
    </row>
    <row r="22" spans="2:11" ht="24.95" customHeight="1" x14ac:dyDescent="0.25">
      <c r="B22" s="7" t="s">
        <v>25</v>
      </c>
      <c r="C22" s="20">
        <v>16623990</v>
      </c>
      <c r="D22" s="20">
        <v>14431048</v>
      </c>
      <c r="E22" s="20">
        <v>11319115</v>
      </c>
      <c r="F22" s="20">
        <v>19727653</v>
      </c>
      <c r="G22" s="8">
        <v>26223204</v>
      </c>
      <c r="H22" s="9">
        <f>G22+F22+E22+D22+C22</f>
        <v>88325010</v>
      </c>
    </row>
    <row r="23" spans="2:11" ht="24.95" customHeight="1" x14ac:dyDescent="0.25">
      <c r="B23" s="4" t="s">
        <v>2</v>
      </c>
      <c r="C23" s="5">
        <f>C19+C20+C21+C22</f>
        <v>310018507.75</v>
      </c>
      <c r="D23" s="5">
        <f>D19+D20+D21+D22</f>
        <v>353133592</v>
      </c>
      <c r="E23" s="5">
        <f>E19+E20+E21+E22</f>
        <v>289830030</v>
      </c>
      <c r="F23" s="5">
        <f>F19+F20+F21+F22</f>
        <v>392606158.75</v>
      </c>
      <c r="G23" s="5">
        <f>G19+G20+G21+G22</f>
        <v>386051906.60000002</v>
      </c>
      <c r="H23" s="5">
        <f>H19+H20+H21</f>
        <v>2882368762.6999998</v>
      </c>
    </row>
    <row r="24" spans="2:11" ht="24.95" customHeight="1" x14ac:dyDescent="0.25">
      <c r="B24" s="2" t="s">
        <v>5</v>
      </c>
      <c r="C24" s="3">
        <f>C10-C23</f>
        <v>3909459.25</v>
      </c>
      <c r="D24" s="3">
        <f>D7-D23</f>
        <v>7642663</v>
      </c>
      <c r="E24" s="3">
        <f>E7-E23</f>
        <v>-6852157</v>
      </c>
      <c r="F24" s="3">
        <f>F7-F23</f>
        <v>-4216549.75</v>
      </c>
      <c r="G24" s="3">
        <f>G7-G23</f>
        <v>17382014.399999976</v>
      </c>
      <c r="H24" s="3">
        <f>G24+F24+E24+D24+C24</f>
        <v>17865429.899999976</v>
      </c>
    </row>
    <row r="27" spans="2:11" x14ac:dyDescent="0.25">
      <c r="H27" s="1" t="s">
        <v>197</v>
      </c>
    </row>
  </sheetData>
  <sortState xmlns:xlrd2="http://schemas.microsoft.com/office/spreadsheetml/2017/richdata2" ref="B14:O23">
    <sortCondition ref="B14:B23"/>
  </sortState>
  <conditionalFormatting sqref="B3:B4">
    <cfRule type="duplicateValues" dxfId="0" priority="1"/>
  </conditionalFormatting>
  <pageMargins left="0.7" right="0.7" top="0.75" bottom="0.7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Assets +Liability-23  Explain</vt:lpstr>
      <vt:lpstr>Profit Ratio (2)</vt:lpstr>
      <vt:lpstr>Trading +Production (2)</vt:lpstr>
      <vt:lpstr>Retained Earning</vt:lpstr>
      <vt:lpstr>Working Capital</vt:lpstr>
      <vt:lpstr>unreal note</vt:lpstr>
      <vt:lpstr>Trading +Production</vt:lpstr>
      <vt:lpstr>Income Statement (Production)</vt:lpstr>
      <vt:lpstr>Income Statement (Trading)</vt:lpstr>
      <vt:lpstr>Sheet1</vt:lpstr>
      <vt:lpstr>Depriciation</vt:lpstr>
      <vt:lpstr>Notes</vt:lpstr>
      <vt:lpstr>Assets +Liability-23</vt:lpstr>
      <vt:lpstr>DATA &amp; SOURCE</vt:lpstr>
      <vt:lpstr>'Assets +Liability-23'!Print_Area</vt:lpstr>
      <vt:lpstr>'Assets +Liability-23  Explain'!Print_Area</vt:lpstr>
      <vt:lpstr>Depriciation!Print_Area</vt:lpstr>
      <vt:lpstr>'Income Statement (Production)'!Print_Area</vt:lpstr>
      <vt:lpstr>'Income Statement (Trading)'!Print_Area</vt:lpstr>
      <vt:lpstr>Notes!Print_Area</vt:lpstr>
      <vt:lpstr>'Profit Ratio (2)'!Print_Area</vt:lpstr>
      <vt:lpstr>'Retained Earning'!Print_Area</vt:lpstr>
      <vt:lpstr>'Trading +Production'!Print_Area</vt:lpstr>
      <vt:lpstr>'Trading +Production (2)'!Print_Area</vt:lpstr>
      <vt:lpstr>'unreal note'!Print_Area</vt:lpstr>
      <vt:lpstr>'Working Capital'!Print_Area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User</cp:lastModifiedBy>
  <cp:lastPrinted>2023-12-26T09:22:29Z</cp:lastPrinted>
  <dcterms:created xsi:type="dcterms:W3CDTF">2017-12-03T17:36:59Z</dcterms:created>
  <dcterms:modified xsi:type="dcterms:W3CDTF">2023-12-26T10:58:40Z</dcterms:modified>
</cp:coreProperties>
</file>