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495" windowHeight="8325" activeTab="4"/>
  </bookViews>
  <sheets>
    <sheet name="SUMMARY" sheetId="15" r:id="rId1"/>
    <sheet name="staff" sheetId="6" r:id="rId2"/>
    <sheet name="vehicle" sheetId="16" r:id="rId3"/>
    <sheet name="kpi" sheetId="17" r:id="rId4"/>
    <sheet name="log" sheetId="18" r:id="rId5"/>
    <sheet name="ENUMs" sheetId="12" r:id="rId6"/>
  </sheets>
  <definedNames>
    <definedName name="base_currency">SUMMARY!$D$9</definedName>
    <definedName name="duration">SUMMARY!$D$17</definedName>
    <definedName name="investment">SUMMARY!$D$13</definedName>
    <definedName name="scenario">SUMMARY!$D$19</definedName>
  </definedNames>
  <calcPr calcId="125725"/>
</workbook>
</file>

<file path=xl/calcChain.xml><?xml version="1.0" encoding="utf-8"?>
<calcChain xmlns="http://schemas.openxmlformats.org/spreadsheetml/2006/main">
  <c r="H30" i="15"/>
  <c r="F22" i="18"/>
  <c r="F28" s="1"/>
  <c r="F34" s="1"/>
  <c r="F40" s="1"/>
  <c r="F21"/>
  <c r="F27" s="1"/>
  <c r="F33" s="1"/>
  <c r="F39" s="1"/>
  <c r="F20"/>
  <c r="F26" s="1"/>
  <c r="F32" s="1"/>
  <c r="F38" s="1"/>
  <c r="F19"/>
  <c r="F25" s="1"/>
  <c r="F31" s="1"/>
  <c r="F37" s="1"/>
  <c r="F18"/>
  <c r="F24" s="1"/>
  <c r="F30" s="1"/>
  <c r="F36" s="1"/>
  <c r="F17"/>
  <c r="F23" s="1"/>
  <c r="F29" s="1"/>
  <c r="F35" s="1"/>
  <c r="C36"/>
  <c r="C37" s="1"/>
  <c r="C38" s="1"/>
  <c r="C39" s="1"/>
  <c r="C40" s="1"/>
  <c r="C30"/>
  <c r="C31" s="1"/>
  <c r="C32" s="1"/>
  <c r="C33" s="1"/>
  <c r="C34" s="1"/>
  <c r="C24"/>
  <c r="C25" s="1"/>
  <c r="C26" s="1"/>
  <c r="C27" s="1"/>
  <c r="C28" s="1"/>
  <c r="C18"/>
  <c r="C19" s="1"/>
  <c r="C20" s="1"/>
  <c r="C21" s="1"/>
  <c r="C22" s="1"/>
  <c r="K16" i="17" l="1"/>
  <c r="L16"/>
  <c r="K15"/>
  <c r="L15" s="1"/>
  <c r="C12" i="18"/>
  <c r="C13" s="1"/>
  <c r="C14" s="1"/>
  <c r="C15" s="1"/>
  <c r="C16" s="1"/>
  <c r="C12" i="17"/>
  <c r="C13" s="1"/>
  <c r="C14" s="1"/>
  <c r="C15" s="1"/>
  <c r="C16" s="1"/>
  <c r="D46" i="15"/>
  <c r="D44"/>
  <c r="D43"/>
  <c r="D42"/>
  <c r="E51"/>
  <c r="F51"/>
  <c r="G51"/>
  <c r="H51"/>
  <c r="I51"/>
  <c r="J51"/>
  <c r="K51"/>
  <c r="L51"/>
  <c r="M51"/>
  <c r="D51"/>
  <c r="E46"/>
  <c r="F46" s="1"/>
  <c r="G46" s="1"/>
  <c r="H46" s="1"/>
  <c r="I46" s="1"/>
  <c r="J46" s="1"/>
  <c r="K46" s="1"/>
  <c r="L46" s="1"/>
  <c r="M46" s="1"/>
  <c r="E44"/>
  <c r="F44" s="1"/>
  <c r="G44" s="1"/>
  <c r="H44" s="1"/>
  <c r="I44" s="1"/>
  <c r="J44" s="1"/>
  <c r="K44" s="1"/>
  <c r="L44" s="1"/>
  <c r="M44" s="1"/>
  <c r="E43"/>
  <c r="F43" s="1"/>
  <c r="G43" s="1"/>
  <c r="H43" s="1"/>
  <c r="I43" s="1"/>
  <c r="J43" s="1"/>
  <c r="K43" s="1"/>
  <c r="L43" s="1"/>
  <c r="M43" s="1"/>
  <c r="D40"/>
  <c r="E40" s="1"/>
  <c r="F40" s="1"/>
  <c r="G40" s="1"/>
  <c r="H40" s="1"/>
  <c r="I40" s="1"/>
  <c r="J40" s="1"/>
  <c r="K40" s="1"/>
  <c r="L40" s="1"/>
  <c r="M40" s="1"/>
  <c r="I23"/>
  <c r="I24"/>
  <c r="I22"/>
  <c r="J22"/>
  <c r="J23"/>
  <c r="J24"/>
  <c r="K22"/>
  <c r="K23"/>
  <c r="K24"/>
  <c r="E13"/>
  <c r="E36"/>
  <c r="E35"/>
  <c r="E34"/>
  <c r="F12" i="6"/>
  <c r="F13"/>
  <c r="F14"/>
  <c r="F15"/>
  <c r="F16"/>
  <c r="F11"/>
  <c r="D31" i="15" s="1"/>
  <c r="D34"/>
  <c r="J11" i="6"/>
  <c r="J12"/>
  <c r="J13"/>
  <c r="J14"/>
  <c r="J15"/>
  <c r="J16"/>
  <c r="K11"/>
  <c r="K12"/>
  <c r="K13"/>
  <c r="K14"/>
  <c r="K15"/>
  <c r="K16"/>
  <c r="D30" i="15"/>
  <c r="J1"/>
  <c r="D48" l="1"/>
  <c r="D54" s="1"/>
  <c r="E42"/>
  <c r="D35"/>
  <c r="D36"/>
  <c r="E48" l="1"/>
  <c r="E54" s="1"/>
  <c r="F42"/>
  <c r="F48" l="1"/>
  <c r="F54" s="1"/>
  <c r="G42"/>
  <c r="G48" l="1"/>
  <c r="G54" s="1"/>
  <c r="H42"/>
  <c r="H48" l="1"/>
  <c r="H54" s="1"/>
  <c r="I42"/>
  <c r="I48" l="1"/>
  <c r="I54" s="1"/>
  <c r="J42"/>
  <c r="J48" l="1"/>
  <c r="J54" s="1"/>
  <c r="K42"/>
  <c r="K48" l="1"/>
  <c r="K54" s="1"/>
  <c r="L42"/>
  <c r="L48" l="1"/>
  <c r="L54" s="1"/>
  <c r="M42"/>
  <c r="M48" s="1"/>
  <c r="M54" s="1"/>
</calcChain>
</file>

<file path=xl/sharedStrings.xml><?xml version="1.0" encoding="utf-8"?>
<sst xmlns="http://schemas.openxmlformats.org/spreadsheetml/2006/main" count="279" uniqueCount="124">
  <si>
    <t>A</t>
  </si>
  <si>
    <t>C</t>
  </si>
  <si>
    <t>B</t>
  </si>
  <si>
    <t>name</t>
  </si>
  <si>
    <t>id</t>
  </si>
  <si>
    <t>str</t>
  </si>
  <si>
    <t>int</t>
  </si>
  <si>
    <t>type</t>
  </si>
  <si>
    <t>length</t>
  </si>
  <si>
    <t>pk</t>
  </si>
  <si>
    <t>index</t>
  </si>
  <si>
    <t>required</t>
  </si>
  <si>
    <t>default</t>
  </si>
  <si>
    <t>constraint</t>
  </si>
  <si>
    <t>category</t>
  </si>
  <si>
    <t>description</t>
  </si>
  <si>
    <t>action</t>
  </si>
  <si>
    <t>model</t>
  </si>
  <si>
    <t>person_id</t>
  </si>
  <si>
    <t>fk</t>
  </si>
  <si>
    <t>age</t>
  </si>
  <si>
    <t>float</t>
  </si>
  <si>
    <t>sam</t>
  </si>
  <si>
    <t>jon</t>
  </si>
  <si>
    <t>bo</t>
  </si>
  <si>
    <t>sue</t>
  </si>
  <si>
    <t>lara</t>
  </si>
  <si>
    <t>pod</t>
  </si>
  <si>
    <t>brand</t>
  </si>
  <si>
    <t>price</t>
  </si>
  <si>
    <t>ford</t>
  </si>
  <si>
    <t>gmc</t>
  </si>
  <si>
    <t>toyota</t>
  </si>
  <si>
    <t>nissan</t>
  </si>
  <si>
    <t>renault</t>
  </si>
  <si>
    <t>tesla</t>
  </si>
  <si>
    <t>F100</t>
  </si>
  <si>
    <t>G100</t>
  </si>
  <si>
    <t>T100</t>
  </si>
  <si>
    <t>N100</t>
  </si>
  <si>
    <t>R100</t>
  </si>
  <si>
    <t>TS100</t>
  </si>
  <si>
    <t>4 door</t>
  </si>
  <si>
    <t>USD</t>
  </si>
  <si>
    <t>overtime_m</t>
  </si>
  <si>
    <t>total_maint_cost</t>
  </si>
  <si>
    <t>OUTPUT</t>
  </si>
  <si>
    <t>People</t>
  </si>
  <si>
    <t>Financials</t>
  </si>
  <si>
    <t>Demographic</t>
  </si>
  <si>
    <t>age_avg</t>
  </si>
  <si>
    <t>Years</t>
  </si>
  <si>
    <t>salary_m</t>
  </si>
  <si>
    <t>avg overtime hrs / month</t>
  </si>
  <si>
    <t>ot_cost_m</t>
  </si>
  <si>
    <t>cost_hr</t>
  </si>
  <si>
    <t>doj</t>
  </si>
  <si>
    <t>date</t>
  </si>
  <si>
    <t>service_yrs</t>
  </si>
  <si>
    <t>service_avg</t>
  </si>
  <si>
    <t>scenario</t>
  </si>
  <si>
    <t>ot_m</t>
  </si>
  <si>
    <t>labor_cost_m</t>
  </si>
  <si>
    <t>base_currency</t>
  </si>
  <si>
    <t>inflation</t>
  </si>
  <si>
    <t>Assumptions</t>
  </si>
  <si>
    <t>Financial</t>
  </si>
  <si>
    <t>investment</t>
  </si>
  <si>
    <t>mkt_size</t>
  </si>
  <si>
    <t>sceniarios</t>
  </si>
  <si>
    <t>revenue</t>
  </si>
  <si>
    <t>costs</t>
  </si>
  <si>
    <t>profit</t>
  </si>
  <si>
    <t>duration</t>
  </si>
  <si>
    <t>Year(s)</t>
  </si>
  <si>
    <t>mkt_growth</t>
  </si>
  <si>
    <t>by rez.appdev</t>
  </si>
  <si>
    <t>BASIC DASHBOARD v0.1</t>
  </si>
  <si>
    <t>years</t>
  </si>
  <si>
    <t>mkt_capture</t>
  </si>
  <si>
    <t>discount_rate</t>
  </si>
  <si>
    <t>Common</t>
  </si>
  <si>
    <t>d_salaries</t>
  </si>
  <si>
    <t>d_materials</t>
  </si>
  <si>
    <t>costs_overhead</t>
  </si>
  <si>
    <t>oh_salaries</t>
  </si>
  <si>
    <t>oh_rent</t>
  </si>
  <si>
    <t>d</t>
  </si>
  <si>
    <t>o</t>
  </si>
  <si>
    <t>gross_profit</t>
  </si>
  <si>
    <t>EBITDA</t>
  </si>
  <si>
    <t>operating_costs</t>
  </si>
  <si>
    <t>timestamp</t>
  </si>
  <si>
    <t>ot_hrs_m</t>
  </si>
  <si>
    <t>utilization</t>
  </si>
  <si>
    <t>hse_incidents</t>
  </si>
  <si>
    <t>saudization</t>
  </si>
  <si>
    <t>kpi_id</t>
  </si>
  <si>
    <t>kpi_value</t>
  </si>
  <si>
    <t>kpi_name</t>
  </si>
  <si>
    <t>hurdle</t>
  </si>
  <si>
    <t>target</t>
  </si>
  <si>
    <t>stretch</t>
  </si>
  <si>
    <t>hr</t>
  </si>
  <si>
    <t>asset</t>
  </si>
  <si>
    <t>hse</t>
  </si>
  <si>
    <t>pct</t>
  </si>
  <si>
    <t>mode</t>
  </si>
  <si>
    <t>absolute</t>
  </si>
  <si>
    <t>unit</t>
  </si>
  <si>
    <t>SAR</t>
  </si>
  <si>
    <t>percent</t>
  </si>
  <si>
    <t>max</t>
  </si>
  <si>
    <t>min</t>
  </si>
  <si>
    <t>min(overtime sar/m)</t>
  </si>
  <si>
    <t>min(overtime hrs/m)</t>
  </si>
  <si>
    <t>max(asset utilization)</t>
  </si>
  <si>
    <t>min(accidents)</t>
  </si>
  <si>
    <t>max(saudization)</t>
  </si>
  <si>
    <t>profit_employee</t>
  </si>
  <si>
    <t>fin</t>
  </si>
  <si>
    <t>event</t>
  </si>
  <si>
    <t>max(profit per employee)</t>
  </si>
  <si>
    <t>CONFIG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</si>
</sst>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;@"/>
  </numFmts>
  <fonts count="14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inden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3" borderId="10" xfId="0" applyFont="1" applyFill="1" applyBorder="1"/>
    <xf numFmtId="0" fontId="4" fillId="0" borderId="10" xfId="0" applyFont="1" applyBorder="1"/>
    <xf numFmtId="0" fontId="7" fillId="0" borderId="0" xfId="0" applyFont="1"/>
    <xf numFmtId="0" fontId="4" fillId="0" borderId="0" xfId="0" applyFont="1" applyAlignment="1">
      <alignment horizontal="right" indent="1"/>
    </xf>
    <xf numFmtId="3" fontId="8" fillId="0" borderId="1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3" fontId="8" fillId="0" borderId="12" xfId="0" applyNumberFormat="1" applyFont="1" applyBorder="1"/>
    <xf numFmtId="3" fontId="4" fillId="0" borderId="0" xfId="0" applyNumberFormat="1" applyFont="1"/>
    <xf numFmtId="3" fontId="9" fillId="0" borderId="0" xfId="0" applyNumberFormat="1" applyFont="1" applyBorder="1"/>
    <xf numFmtId="38" fontId="9" fillId="0" borderId="0" xfId="0" applyNumberFormat="1" applyFont="1" applyBorder="1"/>
    <xf numFmtId="0" fontId="4" fillId="0" borderId="0" xfId="0" applyFont="1" applyAlignment="1">
      <alignment horizontal="center"/>
    </xf>
    <xf numFmtId="9" fontId="4" fillId="0" borderId="0" xfId="0" applyNumberFormat="1" applyFont="1"/>
    <xf numFmtId="0" fontId="7" fillId="4" borderId="10" xfId="0" applyFont="1" applyFill="1" applyBorder="1"/>
    <xf numFmtId="0" fontId="4" fillId="0" borderId="0" xfId="0" applyFont="1" applyAlignment="1">
      <alignment horizontal="left" indent="1"/>
    </xf>
    <xf numFmtId="3" fontId="9" fillId="0" borderId="10" xfId="0" applyNumberFormat="1" applyFont="1" applyBorder="1"/>
    <xf numFmtId="3" fontId="4" fillId="0" borderId="10" xfId="0" applyNumberFormat="1" applyFont="1" applyBorder="1" applyAlignment="1">
      <alignment horizontal="left" indent="1"/>
    </xf>
    <xf numFmtId="0" fontId="4" fillId="0" borderId="0" xfId="0" applyFont="1" applyFill="1" applyBorder="1" applyAlignment="1">
      <alignment horizontal="right" indent="1"/>
    </xf>
    <xf numFmtId="0" fontId="4" fillId="3" borderId="10" xfId="0" applyFont="1" applyFill="1" applyBorder="1"/>
    <xf numFmtId="0" fontId="4" fillId="4" borderId="10" xfId="0" applyFont="1" applyFill="1" applyBorder="1"/>
    <xf numFmtId="0" fontId="10" fillId="0" borderId="0" xfId="0" applyFont="1"/>
    <xf numFmtId="0" fontId="11" fillId="0" borderId="0" xfId="0" applyFont="1"/>
    <xf numFmtId="3" fontId="12" fillId="5" borderId="11" xfId="0" applyNumberFormat="1" applyFont="1" applyFill="1" applyBorder="1" applyAlignment="1">
      <alignment horizontal="center"/>
    </xf>
    <xf numFmtId="9" fontId="4" fillId="0" borderId="0" xfId="8" applyFont="1"/>
    <xf numFmtId="22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3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8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9" fontId="1" fillId="0" borderId="1" xfId="8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right"/>
    </xf>
  </cellXfs>
  <cellStyles count="9">
    <cellStyle name="Comma 2" xfId="1"/>
    <cellStyle name="Excel Built-in Normal" xfId="2"/>
    <cellStyle name="Normal" xfId="0" builtinId="0"/>
    <cellStyle name="Normal 13" xfId="3"/>
    <cellStyle name="Normal 2" xfId="4"/>
    <cellStyle name="Normal 2 2" xfId="5"/>
    <cellStyle name="Normal 3" xfId="6"/>
    <cellStyle name="Normal 4" xfId="7"/>
    <cellStyle name="Percent" xfId="8" builtinId="5"/>
  </cellStyles>
  <dxfs count="63"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" formatCode="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6" formatCode="#,##0_);[Red]\(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" formatCode="#,##0"/>
      <border diagonalUp="0" diagonalDown="0" outline="0">
        <left style="thin">
          <color theme="0" tint="-0.24994659260841701"/>
        </left>
        <right/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scheme val="minor"/>
      </font>
      <numFmt numFmtId="13" formatCode="0%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enarios" displayName="scenarios" ref="D21:K24" totalsRowShown="0" headerRowDxfId="62" dataDxfId="61">
  <tableColumns count="8">
    <tableColumn id="2" name="scenario" dataDxfId="60"/>
    <tableColumn id="3" name="inflation" dataDxfId="59"/>
    <tableColumn id="4" name="mkt_size" dataDxfId="58"/>
    <tableColumn id="9" name="mkt_growth" dataDxfId="57"/>
    <tableColumn id="5" name="mkt_capture" dataDxfId="56"/>
    <tableColumn id="6" name="revenue" dataDxfId="55">
      <calculatedColumnFormula>[mkt_size]*(1+[mkt_growth])^duration * [mkt_capture]</calculatedColumnFormula>
    </tableColumn>
    <tableColumn id="7" name="costs" dataDxfId="54">
      <calculatedColumnFormula>SUM(staffTable[salary_m])*(1+[inflation])^duration * 12</calculatedColumnFormula>
    </tableColumn>
    <tableColumn id="8" name="profit" dataDxfId="53" dataCellStyle="Percent">
      <calculatedColumnFormula>[revenue]-[costs]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staffTable" displayName="staffTable" ref="B10:K16" totalsRowShown="0" headerRowDxfId="52" headerRowBorderDxfId="51" tableBorderDxfId="50" totalsRowBorderDxfId="49">
  <autoFilter ref="B10:K16">
    <filterColumn colId="2"/>
    <filterColumn colId="3"/>
    <filterColumn colId="4"/>
    <filterColumn colId="6"/>
    <filterColumn colId="7"/>
    <filterColumn colId="8"/>
    <filterColumn colId="9"/>
  </autoFilter>
  <tableColumns count="10">
    <tableColumn id="1" name="id" dataDxfId="48"/>
    <tableColumn id="2" name="name" dataDxfId="47"/>
    <tableColumn id="9" name="doj" dataDxfId="46"/>
    <tableColumn id="4" name="type" dataDxfId="45"/>
    <tableColumn id="10" name="service_yrs" dataDxfId="44">
      <calculatedColumnFormula>YEARFRAC(staffTable[[#This Row],[doj]],NOW())</calculatedColumnFormula>
    </tableColumn>
    <tableColumn id="3" name="age" dataDxfId="43"/>
    <tableColumn id="5" name="overtime_m" dataDxfId="42"/>
    <tableColumn id="6" name="salary_m" dataDxfId="41"/>
    <tableColumn id="8" name="cost_hr" dataDxfId="40">
      <calculatedColumnFormula>[salary_m]/240</calculatedColumnFormula>
    </tableColumn>
    <tableColumn id="7" name="ot_cost_m" dataDxfId="39">
      <calculatedColumnFormula>[cost_hr]*1.5*[overtime_m]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2" name="vehicleTable" displayName="vehicleTable" ref="B10:H16" totalsRowShown="0" headerRowDxfId="38" dataDxfId="36" headerRowBorderDxfId="37" tableBorderDxfId="35" totalsRowBorderDxfId="34">
  <tableColumns count="7">
    <tableColumn id="1" name="id" dataDxfId="33"/>
    <tableColumn id="2" name="person_id" dataDxfId="32"/>
    <tableColumn id="3" name="brand" dataDxfId="31"/>
    <tableColumn id="4" name="model" dataDxfId="30"/>
    <tableColumn id="5" name="description" dataDxfId="29"/>
    <tableColumn id="7" name="total_maint_cost" dataDxfId="28"/>
    <tableColumn id="6" name="price" dataDxfId="2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kpiTable" displayName="kpiTable" ref="B10:M16" totalsRowShown="0" headerRowDxfId="22" dataDxfId="21" headerRowBorderDxfId="19" tableBorderDxfId="20" totalsRowBorderDxfId="18">
  <tableColumns count="12">
    <tableColumn id="1" name="id" dataDxfId="17"/>
    <tableColumn id="2" name="timestamp" dataDxfId="15"/>
    <tableColumn id="3" name="name" dataDxfId="13"/>
    <tableColumn id="11" name="category" dataDxfId="14"/>
    <tableColumn id="10" name="type" dataDxfId="16"/>
    <tableColumn id="12" name="mode" dataDxfId="12"/>
    <tableColumn id="13" name="unit" dataDxfId="11"/>
    <tableColumn id="14" name="action" dataDxfId="10"/>
    <tableColumn id="4" name="hurdle" dataDxfId="26"/>
    <tableColumn id="5" name="target" dataDxfId="25"/>
    <tableColumn id="7" name="stretch" dataDxfId="24"/>
    <tableColumn id="6" name="description" dataDxfId="23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logTable" displayName="logTable" ref="B10:F40" totalsRowShown="0" headerRowDxfId="4" dataDxfId="3" headerRowBorderDxfId="1" tableBorderDxfId="2" totalsRowBorderDxfId="0">
  <tableColumns count="5">
    <tableColumn id="1" name="id" dataDxfId="9"/>
    <tableColumn id="2" name="timestamp" dataDxfId="8"/>
    <tableColumn id="3" name="kpi_id" dataDxfId="7"/>
    <tableColumn id="4" name="kpi_name" dataDxfId="6"/>
    <tableColumn id="5" name="kpi_value" dataDxfId="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showGridLines="0" topLeftCell="A13" workbookViewId="0">
      <selection activeCell="H31" sqref="H31"/>
    </sheetView>
  </sheetViews>
  <sheetFormatPr defaultRowHeight="12"/>
  <cols>
    <col min="1" max="1" width="5.140625" style="4" customWidth="1"/>
    <col min="2" max="2" width="4.28515625" style="4" customWidth="1"/>
    <col min="3" max="3" width="11.85546875" style="4" customWidth="1"/>
    <col min="4" max="4" width="11.42578125" style="4" customWidth="1"/>
    <col min="5" max="5" width="10.5703125" style="4" customWidth="1"/>
    <col min="6" max="6" width="12.5703125" style="4" customWidth="1"/>
    <col min="7" max="7" width="11.7109375" style="4" bestFit="1" customWidth="1"/>
    <col min="8" max="8" width="9.85546875" style="4" customWidth="1"/>
    <col min="9" max="9" width="9.5703125" style="4" bestFit="1" customWidth="1"/>
    <col min="10" max="10" width="10.5703125" style="4" bestFit="1" customWidth="1"/>
    <col min="11" max="13" width="9.5703125" style="4" bestFit="1" customWidth="1"/>
    <col min="14" max="16384" width="9.140625" style="4"/>
  </cols>
  <sheetData>
    <row r="1" spans="1:11" ht="15" customHeight="1">
      <c r="A1" s="40" t="s">
        <v>77</v>
      </c>
      <c r="J1" s="44">
        <f ca="1">NOW()</f>
        <v>42617.857402314818</v>
      </c>
      <c r="K1" s="44"/>
    </row>
    <row r="2" spans="1:11" ht="12.75">
      <c r="A2" s="41" t="s">
        <v>76</v>
      </c>
    </row>
    <row r="5" spans="1:11">
      <c r="A5" s="17" t="s">
        <v>123</v>
      </c>
      <c r="B5" s="38"/>
      <c r="C5" s="38"/>
      <c r="D5" s="18"/>
      <c r="E5" s="18"/>
      <c r="F5" s="18"/>
      <c r="G5" s="18"/>
      <c r="H5" s="18"/>
      <c r="I5" s="18"/>
      <c r="J5" s="18"/>
      <c r="K5" s="18"/>
    </row>
    <row r="7" spans="1:11">
      <c r="A7" s="19" t="s">
        <v>65</v>
      </c>
    </row>
    <row r="8" spans="1:11">
      <c r="A8" s="19"/>
      <c r="B8" s="19" t="s">
        <v>81</v>
      </c>
    </row>
    <row r="9" spans="1:11">
      <c r="C9" s="20" t="s">
        <v>63</v>
      </c>
      <c r="D9" s="21" t="s">
        <v>43</v>
      </c>
    </row>
    <row r="12" spans="1:11">
      <c r="B12" s="19" t="s">
        <v>66</v>
      </c>
    </row>
    <row r="13" spans="1:11">
      <c r="C13" s="20" t="s">
        <v>67</v>
      </c>
      <c r="D13" s="21">
        <v>5000000</v>
      </c>
      <c r="E13" s="22" t="str">
        <f>base_currency</f>
        <v>USD</v>
      </c>
    </row>
    <row r="14" spans="1:11">
      <c r="C14" s="20"/>
    </row>
    <row r="15" spans="1:11">
      <c r="C15" s="4" t="s">
        <v>80</v>
      </c>
      <c r="D15" s="26">
        <v>0.05</v>
      </c>
    </row>
    <row r="16" spans="1:11">
      <c r="C16" s="20"/>
    </row>
    <row r="17" spans="1:13">
      <c r="C17" s="20" t="s">
        <v>73</v>
      </c>
      <c r="D17" s="21">
        <v>10</v>
      </c>
      <c r="E17" s="22" t="s">
        <v>74</v>
      </c>
    </row>
    <row r="18" spans="1:13">
      <c r="C18" s="20"/>
    </row>
    <row r="19" spans="1:13">
      <c r="C19" s="20" t="s">
        <v>60</v>
      </c>
      <c r="D19" s="42" t="s">
        <v>0</v>
      </c>
    </row>
    <row r="20" spans="1:13">
      <c r="C20" s="20"/>
    </row>
    <row r="21" spans="1:13">
      <c r="C21" s="20" t="s">
        <v>69</v>
      </c>
      <c r="D21" s="23" t="s">
        <v>60</v>
      </c>
      <c r="E21" s="23" t="s">
        <v>64</v>
      </c>
      <c r="F21" s="23" t="s">
        <v>68</v>
      </c>
      <c r="G21" s="23" t="s">
        <v>75</v>
      </c>
      <c r="H21" s="23" t="s">
        <v>79</v>
      </c>
      <c r="I21" s="24" t="s">
        <v>70</v>
      </c>
      <c r="J21" s="24" t="s">
        <v>71</v>
      </c>
      <c r="K21" s="24" t="s">
        <v>72</v>
      </c>
    </row>
    <row r="22" spans="1:13">
      <c r="D22" s="25" t="s">
        <v>0</v>
      </c>
      <c r="E22" s="26">
        <v>0.05</v>
      </c>
      <c r="F22" s="27">
        <v>100000000</v>
      </c>
      <c r="G22" s="26">
        <v>0.02</v>
      </c>
      <c r="H22" s="26">
        <v>0.02</v>
      </c>
      <c r="I22" s="28">
        <f>[mkt_size]*(1+[mkt_growth])^duration * [mkt_capture]</f>
        <v>2437988.8399895146</v>
      </c>
      <c r="J22" s="29">
        <f>SUM(staffTable[salary_m])*(1+[inflation])^duration * 12</f>
        <v>1394307.7382074615</v>
      </c>
      <c r="K22" s="30">
        <f>[revenue]-[costs]</f>
        <v>1043681.101782053</v>
      </c>
    </row>
    <row r="23" spans="1:13">
      <c r="D23" s="25" t="s">
        <v>2</v>
      </c>
      <c r="E23" s="26">
        <v>0.1</v>
      </c>
      <c r="F23" s="27">
        <v>100000000</v>
      </c>
      <c r="G23" s="26">
        <v>0.02</v>
      </c>
      <c r="H23" s="26">
        <v>0.03</v>
      </c>
      <c r="I23" s="28">
        <f>[mkt_size]*(1+[mkt_growth])^duration * [mkt_capture]</f>
        <v>3656983.2599842716</v>
      </c>
      <c r="J23" s="29">
        <f>SUM(staffTable[salary_m])*(1+[inflation])^duration * 12</f>
        <v>2220202.0459662401</v>
      </c>
      <c r="K23" s="30">
        <f>[revenue]-[costs]</f>
        <v>1436781.2140180315</v>
      </c>
    </row>
    <row r="24" spans="1:13">
      <c r="D24" s="25" t="s">
        <v>1</v>
      </c>
      <c r="E24" s="26">
        <v>0.2</v>
      </c>
      <c r="F24" s="27">
        <v>100000000</v>
      </c>
      <c r="G24" s="26">
        <v>0.02</v>
      </c>
      <c r="H24" s="26">
        <v>0.04</v>
      </c>
      <c r="I24" s="28">
        <f>[mkt_size]*(1+[mkt_growth])^duration * [mkt_capture]</f>
        <v>4875977.6799790291</v>
      </c>
      <c r="J24" s="29">
        <f>SUM(staffTable[salary_m])*(1+[inflation])^duration * 12</f>
        <v>5300027.3097916404</v>
      </c>
      <c r="K24" s="30">
        <f>[revenue]-[costs]</f>
        <v>-424049.62981261127</v>
      </c>
    </row>
    <row r="25" spans="1:13">
      <c r="D25" s="31"/>
      <c r="E25" s="32"/>
      <c r="G25" s="32"/>
    </row>
    <row r="26" spans="1:13">
      <c r="A26" s="33" t="s">
        <v>46</v>
      </c>
      <c r="B26" s="39"/>
      <c r="C26" s="39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8" spans="1:13">
      <c r="A28" s="19" t="s">
        <v>47</v>
      </c>
    </row>
    <row r="29" spans="1:13">
      <c r="B29" s="19" t="s">
        <v>49</v>
      </c>
      <c r="C29" s="19"/>
    </row>
    <row r="30" spans="1:13">
      <c r="C30" s="20" t="s">
        <v>50</v>
      </c>
      <c r="D30" s="29">
        <f>AVERAGE(staffTable[age])</f>
        <v>27.166666666666668</v>
      </c>
      <c r="E30" s="34" t="s">
        <v>51</v>
      </c>
      <c r="G30" s="55" t="s">
        <v>93</v>
      </c>
      <c r="H30" s="4">
        <f>MIN(logTable[timestamp])</f>
        <v>42653</v>
      </c>
    </row>
    <row r="31" spans="1:13">
      <c r="C31" s="20" t="s">
        <v>59</v>
      </c>
      <c r="D31" s="29">
        <f ca="1">AVERAGE(staffTable[service_yrs])</f>
        <v>23.979629629629628</v>
      </c>
      <c r="E31" s="34" t="s">
        <v>51</v>
      </c>
      <c r="G31" s="55" t="s">
        <v>54</v>
      </c>
    </row>
    <row r="32" spans="1:13">
      <c r="G32" s="55" t="s">
        <v>94</v>
      </c>
    </row>
    <row r="33" spans="2:13">
      <c r="B33" s="19" t="s">
        <v>48</v>
      </c>
      <c r="G33" s="55" t="s">
        <v>95</v>
      </c>
    </row>
    <row r="34" spans="2:13">
      <c r="C34" s="20" t="s">
        <v>52</v>
      </c>
      <c r="D34" s="29">
        <f>SUM(staffTable[salary_m])</f>
        <v>71332</v>
      </c>
      <c r="E34" s="22" t="str">
        <f>base_currency</f>
        <v>USD</v>
      </c>
      <c r="G34" s="55" t="s">
        <v>96</v>
      </c>
    </row>
    <row r="35" spans="2:13">
      <c r="C35" s="20" t="s">
        <v>61</v>
      </c>
      <c r="D35" s="35">
        <f>SUM(staffTable[ot_cost_m])</f>
        <v>116676.875</v>
      </c>
      <c r="E35" s="36" t="str">
        <f>base_currency</f>
        <v>USD</v>
      </c>
      <c r="G35" s="55" t="s">
        <v>119</v>
      </c>
    </row>
    <row r="36" spans="2:13">
      <c r="C36" s="37" t="s">
        <v>62</v>
      </c>
      <c r="D36" s="28">
        <f>D34+D35</f>
        <v>188008.875</v>
      </c>
      <c r="E36" s="22" t="str">
        <f>base_currency</f>
        <v>USD</v>
      </c>
    </row>
    <row r="39" spans="2:13"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</row>
    <row r="40" spans="2:13">
      <c r="C40" s="19" t="s">
        <v>78</v>
      </c>
      <c r="D40" s="19">
        <f ca="1">YEAR(NOW())</f>
        <v>2016</v>
      </c>
      <c r="E40" s="19">
        <f ca="1">D40+1</f>
        <v>2017</v>
      </c>
      <c r="F40" s="19">
        <f t="shared" ref="F40:M40" ca="1" si="0">E40+1</f>
        <v>2018</v>
      </c>
      <c r="G40" s="19">
        <f t="shared" ca="1" si="0"/>
        <v>2019</v>
      </c>
      <c r="H40" s="19">
        <f t="shared" ca="1" si="0"/>
        <v>2020</v>
      </c>
      <c r="I40" s="19">
        <f t="shared" ca="1" si="0"/>
        <v>2021</v>
      </c>
      <c r="J40" s="19">
        <f t="shared" ca="1" si="0"/>
        <v>2022</v>
      </c>
      <c r="K40" s="19">
        <f t="shared" ca="1" si="0"/>
        <v>2023</v>
      </c>
      <c r="L40" s="19">
        <f t="shared" ca="1" si="0"/>
        <v>2024</v>
      </c>
      <c r="M40" s="19">
        <f t="shared" ca="1" si="0"/>
        <v>2025</v>
      </c>
    </row>
    <row r="41" spans="2:13">
      <c r="C41" s="19"/>
    </row>
    <row r="42" spans="2:13">
      <c r="C42" s="19" t="s">
        <v>68</v>
      </c>
      <c r="D42" s="28">
        <f>VLOOKUP(scenario, scenarios[], MATCH($C42, scenarios[#Headers],0),FALSE)</f>
        <v>100000000</v>
      </c>
      <c r="E42" s="28">
        <f>D42*(1+D43)</f>
        <v>102000000</v>
      </c>
      <c r="F42" s="28">
        <f t="shared" ref="F42:M42" si="1">E42*(1+E43)</f>
        <v>104040000</v>
      </c>
      <c r="G42" s="28">
        <f t="shared" si="1"/>
        <v>106120800</v>
      </c>
      <c r="H42" s="28">
        <f t="shared" si="1"/>
        <v>108243216</v>
      </c>
      <c r="I42" s="28">
        <f t="shared" si="1"/>
        <v>110408080.32000001</v>
      </c>
      <c r="J42" s="28">
        <f t="shared" si="1"/>
        <v>112616241.92640001</v>
      </c>
      <c r="K42" s="28">
        <f t="shared" si="1"/>
        <v>114868566.76492801</v>
      </c>
      <c r="L42" s="28">
        <f t="shared" si="1"/>
        <v>117165938.10022658</v>
      </c>
      <c r="M42" s="28">
        <f t="shared" si="1"/>
        <v>119509256.86223112</v>
      </c>
    </row>
    <row r="43" spans="2:13">
      <c r="C43" s="19" t="s">
        <v>75</v>
      </c>
      <c r="D43" s="43">
        <f>VLOOKUP(scenario, scenarios[], MATCH($C43, scenarios[#Headers],0),FALSE)</f>
        <v>0.02</v>
      </c>
      <c r="E43" s="32">
        <f>D43</f>
        <v>0.02</v>
      </c>
      <c r="F43" s="32">
        <f t="shared" ref="F43:M43" si="2">E43</f>
        <v>0.02</v>
      </c>
      <c r="G43" s="32">
        <f t="shared" si="2"/>
        <v>0.02</v>
      </c>
      <c r="H43" s="32">
        <f t="shared" si="2"/>
        <v>0.02</v>
      </c>
      <c r="I43" s="32">
        <f t="shared" si="2"/>
        <v>0.02</v>
      </c>
      <c r="J43" s="32">
        <f t="shared" si="2"/>
        <v>0.02</v>
      </c>
      <c r="K43" s="32">
        <f t="shared" si="2"/>
        <v>0.02</v>
      </c>
      <c r="L43" s="32">
        <f t="shared" si="2"/>
        <v>0.02</v>
      </c>
      <c r="M43" s="32">
        <f t="shared" si="2"/>
        <v>0.02</v>
      </c>
    </row>
    <row r="44" spans="2:13">
      <c r="C44" s="19" t="s">
        <v>79</v>
      </c>
      <c r="D44" s="43">
        <f>VLOOKUP(scenario, scenarios[], MATCH($C44, scenarios[#Headers],0),FALSE)</f>
        <v>0.02</v>
      </c>
      <c r="E44" s="32">
        <f>D44</f>
        <v>0.02</v>
      </c>
      <c r="F44" s="32">
        <f t="shared" ref="F44:M44" si="3">E44</f>
        <v>0.02</v>
      </c>
      <c r="G44" s="32">
        <f t="shared" si="3"/>
        <v>0.02</v>
      </c>
      <c r="H44" s="32">
        <f t="shared" si="3"/>
        <v>0.02</v>
      </c>
      <c r="I44" s="32">
        <f t="shared" si="3"/>
        <v>0.02</v>
      </c>
      <c r="J44" s="32">
        <f t="shared" si="3"/>
        <v>0.02</v>
      </c>
      <c r="K44" s="32">
        <f t="shared" si="3"/>
        <v>0.02</v>
      </c>
      <c r="L44" s="32">
        <f t="shared" si="3"/>
        <v>0.02</v>
      </c>
      <c r="M44" s="32">
        <f t="shared" si="3"/>
        <v>0.02</v>
      </c>
    </row>
    <row r="45" spans="2:13">
      <c r="C45" s="19"/>
    </row>
    <row r="46" spans="2:13">
      <c r="C46" s="19" t="s">
        <v>64</v>
      </c>
      <c r="D46" s="43">
        <f>VLOOKUP(scenario, scenarios[], MATCH($C46, scenarios[#Headers],0),FALSE)</f>
        <v>0.05</v>
      </c>
      <c r="E46" s="43">
        <f>D46</f>
        <v>0.05</v>
      </c>
      <c r="F46" s="43">
        <f t="shared" ref="F46:M46" si="4">E46</f>
        <v>0.05</v>
      </c>
      <c r="G46" s="43">
        <f t="shared" si="4"/>
        <v>0.05</v>
      </c>
      <c r="H46" s="43">
        <f t="shared" si="4"/>
        <v>0.05</v>
      </c>
      <c r="I46" s="43">
        <f t="shared" si="4"/>
        <v>0.05</v>
      </c>
      <c r="J46" s="43">
        <f t="shared" si="4"/>
        <v>0.05</v>
      </c>
      <c r="K46" s="43">
        <f t="shared" si="4"/>
        <v>0.05</v>
      </c>
      <c r="L46" s="43">
        <f t="shared" si="4"/>
        <v>0.05</v>
      </c>
      <c r="M46" s="43">
        <f t="shared" si="4"/>
        <v>0.05</v>
      </c>
    </row>
    <row r="47" spans="2:13">
      <c r="C47" s="19"/>
    </row>
    <row r="48" spans="2:13">
      <c r="C48" s="19" t="s">
        <v>70</v>
      </c>
      <c r="D48" s="28">
        <f>D44*D42</f>
        <v>2000000</v>
      </c>
      <c r="E48" s="28">
        <f t="shared" ref="E48:M48" si="5">E42*E44</f>
        <v>2040000</v>
      </c>
      <c r="F48" s="28">
        <f t="shared" si="5"/>
        <v>2080800</v>
      </c>
      <c r="G48" s="28">
        <f t="shared" si="5"/>
        <v>2122416</v>
      </c>
      <c r="H48" s="28">
        <f t="shared" si="5"/>
        <v>2164864.3199999998</v>
      </c>
      <c r="I48" s="28">
        <f t="shared" si="5"/>
        <v>2208161.6064000004</v>
      </c>
      <c r="J48" s="28">
        <f t="shared" si="5"/>
        <v>2252324.8385280003</v>
      </c>
      <c r="K48" s="28">
        <f t="shared" si="5"/>
        <v>2297371.3352985601</v>
      </c>
      <c r="L48" s="28">
        <f t="shared" si="5"/>
        <v>2343318.7620045315</v>
      </c>
      <c r="M48" s="28">
        <f t="shared" si="5"/>
        <v>2390185.1372446227</v>
      </c>
    </row>
    <row r="49" spans="3:13">
      <c r="C49" s="19"/>
    </row>
    <row r="50" spans="3:13">
      <c r="C50" s="19" t="s">
        <v>91</v>
      </c>
    </row>
    <row r="51" spans="3:13">
      <c r="C51" s="34" t="s">
        <v>82</v>
      </c>
      <c r="D51" s="28">
        <f>SUM(staffTable[salary_m])*12</f>
        <v>855984</v>
      </c>
      <c r="E51" s="28">
        <f>SUM(staffTable[salary_m])*12</f>
        <v>855984</v>
      </c>
      <c r="F51" s="28">
        <f>SUM(staffTable[salary_m])*12</f>
        <v>855984</v>
      </c>
      <c r="G51" s="28">
        <f>SUM(staffTable[salary_m])*12</f>
        <v>855984</v>
      </c>
      <c r="H51" s="28">
        <f>SUM(staffTable[salary_m])*12</f>
        <v>855984</v>
      </c>
      <c r="I51" s="28">
        <f>SUM(staffTable[salary_m])*12</f>
        <v>855984</v>
      </c>
      <c r="J51" s="28">
        <f>SUM(staffTable[salary_m])*12</f>
        <v>855984</v>
      </c>
      <c r="K51" s="28">
        <f>SUM(staffTable[salary_m])*12</f>
        <v>855984</v>
      </c>
      <c r="L51" s="28">
        <f>SUM(staffTable[salary_m])*12</f>
        <v>855984</v>
      </c>
      <c r="M51" s="28">
        <f>SUM(staffTable[salary_m])*12</f>
        <v>855984</v>
      </c>
    </row>
    <row r="52" spans="3:13">
      <c r="C52" s="34" t="s">
        <v>83</v>
      </c>
    </row>
    <row r="53" spans="3:13">
      <c r="C53" s="34"/>
    </row>
    <row r="54" spans="3:13">
      <c r="C54" s="19" t="s">
        <v>89</v>
      </c>
      <c r="D54" s="28">
        <f>D48-D51</f>
        <v>1144016</v>
      </c>
      <c r="E54" s="28">
        <f t="shared" ref="E54:M54" si="6">E48-E51</f>
        <v>1184016</v>
      </c>
      <c r="F54" s="28">
        <f t="shared" si="6"/>
        <v>1224816</v>
      </c>
      <c r="G54" s="28">
        <f t="shared" si="6"/>
        <v>1266432</v>
      </c>
      <c r="H54" s="28">
        <f t="shared" si="6"/>
        <v>1308880.3199999998</v>
      </c>
      <c r="I54" s="28">
        <f t="shared" si="6"/>
        <v>1352177.6064000004</v>
      </c>
      <c r="J54" s="28">
        <f t="shared" si="6"/>
        <v>1396340.8385280003</v>
      </c>
      <c r="K54" s="28">
        <f t="shared" si="6"/>
        <v>1441387.3352985601</v>
      </c>
      <c r="L54" s="28">
        <f t="shared" si="6"/>
        <v>1487334.7620045315</v>
      </c>
      <c r="M54" s="28">
        <f t="shared" si="6"/>
        <v>1534201.1372446227</v>
      </c>
    </row>
    <row r="55" spans="3:13">
      <c r="C55" s="34"/>
    </row>
    <row r="56" spans="3:13">
      <c r="C56" s="19" t="s">
        <v>84</v>
      </c>
    </row>
    <row r="57" spans="3:13">
      <c r="C57" s="34" t="s">
        <v>85</v>
      </c>
    </row>
    <row r="58" spans="3:13">
      <c r="C58" s="34" t="s">
        <v>86</v>
      </c>
    </row>
    <row r="60" spans="3:13">
      <c r="C60" s="4" t="s">
        <v>90</v>
      </c>
    </row>
  </sheetData>
  <mergeCells count="1">
    <mergeCell ref="J1:K1"/>
  </mergeCells>
  <dataValidations count="1">
    <dataValidation type="list" allowBlank="1" showInputMessage="1" showErrorMessage="1" sqref="D19">
      <formula1>INDIRECT("scenarios[scenario]")</formula1>
    </dataValidation>
  </dataValidation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>
      <pane xSplit="1" topLeftCell="B1" activePane="topRight" state="frozen"/>
      <selection pane="topRight" activeCell="D13" sqref="D13"/>
    </sheetView>
  </sheetViews>
  <sheetFormatPr defaultColWidth="11.42578125" defaultRowHeight="12" outlineLevelRow="1"/>
  <cols>
    <col min="1" max="1" width="11.42578125" style="4"/>
    <col min="2" max="2" width="8.42578125" style="4" bestFit="1" customWidth="1"/>
    <col min="3" max="3" width="11.28515625" style="4" bestFit="1" customWidth="1"/>
    <col min="4" max="6" width="11.28515625" style="4" customWidth="1"/>
    <col min="7" max="7" width="13.28515625" style="4" bestFit="1" customWidth="1"/>
    <col min="8" max="11" width="13.28515625" style="4" customWidth="1"/>
    <col min="12" max="16384" width="11.42578125" style="4"/>
  </cols>
  <sheetData>
    <row r="1" spans="1:11" hidden="1" outlineLevel="1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idden="1" outlineLevel="1">
      <c r="A2" s="2" t="s">
        <v>15</v>
      </c>
      <c r="B2" s="1"/>
      <c r="C2" s="1"/>
      <c r="D2" s="1"/>
      <c r="E2" s="1"/>
      <c r="F2" s="1"/>
      <c r="G2" s="1"/>
      <c r="H2" s="1" t="s">
        <v>53</v>
      </c>
      <c r="I2" s="1"/>
      <c r="J2" s="1"/>
      <c r="K2" s="1"/>
    </row>
    <row r="3" spans="1:11" hidden="1" outlineLevel="1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idden="1" outlineLevel="1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idden="1" outlineLevel="1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idden="1" outlineLevel="1">
      <c r="A6" s="2" t="s">
        <v>11</v>
      </c>
      <c r="B6" s="1">
        <v>1</v>
      </c>
      <c r="C6" s="1">
        <v>1</v>
      </c>
      <c r="D6" s="1">
        <v>1</v>
      </c>
      <c r="E6" s="1"/>
      <c r="F6" s="1"/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hidden="1" outlineLevel="1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</row>
    <row r="8" spans="1:11" hidden="1" outlineLevel="1">
      <c r="A8" s="2" t="s">
        <v>8</v>
      </c>
      <c r="B8" s="1"/>
      <c r="C8" s="1">
        <v>10</v>
      </c>
      <c r="D8" s="1"/>
      <c r="E8" s="1"/>
      <c r="F8" s="1"/>
      <c r="G8" s="1"/>
      <c r="H8" s="1"/>
      <c r="I8" s="1"/>
      <c r="J8" s="1"/>
      <c r="K8" s="1"/>
    </row>
    <row r="9" spans="1:11" hidden="1" outlineLevel="1">
      <c r="A9" s="2" t="s">
        <v>7</v>
      </c>
      <c r="B9" s="1" t="s">
        <v>6</v>
      </c>
      <c r="C9" s="1" t="s">
        <v>5</v>
      </c>
      <c r="D9" s="1" t="s">
        <v>57</v>
      </c>
      <c r="E9" s="1"/>
      <c r="F9" s="1" t="s">
        <v>6</v>
      </c>
      <c r="G9" s="1" t="s">
        <v>6</v>
      </c>
      <c r="H9" s="1" t="s">
        <v>6</v>
      </c>
      <c r="I9" s="1" t="s">
        <v>21</v>
      </c>
      <c r="J9" s="1" t="s">
        <v>21</v>
      </c>
      <c r="K9" s="1" t="s">
        <v>21</v>
      </c>
    </row>
    <row r="10" spans="1:11" collapsed="1">
      <c r="A10" s="2" t="s">
        <v>3</v>
      </c>
      <c r="B10" s="7" t="s">
        <v>4</v>
      </c>
      <c r="C10" s="8" t="s">
        <v>3</v>
      </c>
      <c r="D10" s="8" t="s">
        <v>56</v>
      </c>
      <c r="E10" s="8" t="s">
        <v>7</v>
      </c>
      <c r="F10" s="8" t="s">
        <v>58</v>
      </c>
      <c r="G10" s="8" t="s">
        <v>20</v>
      </c>
      <c r="H10" s="9" t="s">
        <v>44</v>
      </c>
      <c r="I10" s="9" t="s">
        <v>52</v>
      </c>
      <c r="J10" s="9" t="s">
        <v>55</v>
      </c>
      <c r="K10" s="9" t="s">
        <v>54</v>
      </c>
    </row>
    <row r="11" spans="1:11">
      <c r="B11" s="5">
        <v>1</v>
      </c>
      <c r="C11" s="1" t="s">
        <v>22</v>
      </c>
      <c r="D11" s="14">
        <v>36456</v>
      </c>
      <c r="E11" s="14" t="s">
        <v>88</v>
      </c>
      <c r="F11" s="16">
        <f ca="1">YEARFRAC(staffTable[[#This Row],[doj]],NOW())</f>
        <v>16.863888888888887</v>
      </c>
      <c r="G11" s="1">
        <v>21</v>
      </c>
      <c r="H11" s="6">
        <v>250</v>
      </c>
      <c r="I11" s="12">
        <v>10000</v>
      </c>
      <c r="J11" s="12">
        <f>[salary_m]/240</f>
        <v>41.666666666666664</v>
      </c>
      <c r="K11" s="12">
        <f>[cost_hr]*1.5*[overtime_m]</f>
        <v>15625</v>
      </c>
    </row>
    <row r="12" spans="1:11">
      <c r="B12" s="5">
        <v>2</v>
      </c>
      <c r="C12" s="1" t="s">
        <v>23</v>
      </c>
      <c r="D12" s="14">
        <v>29221</v>
      </c>
      <c r="E12" s="14" t="s">
        <v>87</v>
      </c>
      <c r="F12" s="16">
        <f ca="1">YEARFRAC(staffTable[[#This Row],[doj]],NOW())</f>
        <v>36.674999999999997</v>
      </c>
      <c r="G12" s="1">
        <v>22</v>
      </c>
      <c r="H12" s="6">
        <v>255</v>
      </c>
      <c r="I12" s="12">
        <v>13400</v>
      </c>
      <c r="J12" s="12">
        <f>[salary_m]/240</f>
        <v>55.833333333333336</v>
      </c>
      <c r="K12" s="12">
        <f>[cost_hr]*1.5*[overtime_m]</f>
        <v>21356.25</v>
      </c>
    </row>
    <row r="13" spans="1:11">
      <c r="B13" s="5">
        <v>3</v>
      </c>
      <c r="C13" s="1" t="s">
        <v>24</v>
      </c>
      <c r="D13" s="14">
        <v>27129</v>
      </c>
      <c r="E13" s="14" t="s">
        <v>87</v>
      </c>
      <c r="F13" s="16">
        <f ca="1">YEARFRAC(staffTable[[#This Row],[doj]],NOW())</f>
        <v>42.4</v>
      </c>
      <c r="G13" s="1">
        <v>23</v>
      </c>
      <c r="H13" s="6">
        <v>260</v>
      </c>
      <c r="I13" s="12">
        <v>20100</v>
      </c>
      <c r="J13" s="12">
        <f>[salary_m]/240</f>
        <v>83.75</v>
      </c>
      <c r="K13" s="12">
        <f>[cost_hr]*1.5*[overtime_m]</f>
        <v>32662.5</v>
      </c>
    </row>
    <row r="14" spans="1:11">
      <c r="B14" s="5">
        <v>4</v>
      </c>
      <c r="C14" s="1" t="s">
        <v>25</v>
      </c>
      <c r="D14" s="14">
        <v>36892</v>
      </c>
      <c r="E14" s="14" t="s">
        <v>87</v>
      </c>
      <c r="F14" s="16">
        <f ca="1">YEARFRAC(staffTable[[#This Row],[doj]],NOW())</f>
        <v>15.675000000000001</v>
      </c>
      <c r="G14" s="1">
        <v>34</v>
      </c>
      <c r="H14" s="6">
        <v>265</v>
      </c>
      <c r="I14" s="12">
        <v>8900</v>
      </c>
      <c r="J14" s="12">
        <f>[salary_m]/240</f>
        <v>37.083333333333336</v>
      </c>
      <c r="K14" s="12">
        <f>[cost_hr]*1.5*[overtime_m]</f>
        <v>14740.625</v>
      </c>
    </row>
    <row r="15" spans="1:11">
      <c r="B15" s="5">
        <v>5</v>
      </c>
      <c r="C15" s="1" t="s">
        <v>26</v>
      </c>
      <c r="D15" s="14">
        <v>37289</v>
      </c>
      <c r="E15" s="14" t="s">
        <v>87</v>
      </c>
      <c r="F15" s="16">
        <f ca="1">YEARFRAC(staffTable[[#This Row],[doj]],NOW())</f>
        <v>14.588888888888889</v>
      </c>
      <c r="G15" s="1">
        <v>22</v>
      </c>
      <c r="H15" s="6">
        <v>270</v>
      </c>
      <c r="I15" s="12">
        <v>7900</v>
      </c>
      <c r="J15" s="12">
        <f>[salary_m]/240</f>
        <v>32.916666666666664</v>
      </c>
      <c r="K15" s="12">
        <f>[cost_hr]*1.5*[overtime_m]</f>
        <v>13331.25</v>
      </c>
    </row>
    <row r="16" spans="1:11">
      <c r="B16" s="10">
        <v>6</v>
      </c>
      <c r="C16" s="11" t="s">
        <v>27</v>
      </c>
      <c r="D16" s="15">
        <v>36161</v>
      </c>
      <c r="E16" s="15" t="s">
        <v>88</v>
      </c>
      <c r="F16" s="16">
        <f ca="1">YEARFRAC(staffTable[[#This Row],[doj]],NOW())</f>
        <v>17.675000000000001</v>
      </c>
      <c r="G16" s="11">
        <v>41</v>
      </c>
      <c r="H16" s="6">
        <v>275</v>
      </c>
      <c r="I16" s="12">
        <v>11032</v>
      </c>
      <c r="J16" s="12">
        <f>[salary_m]/240</f>
        <v>45.966666666666669</v>
      </c>
      <c r="K16" s="12">
        <f>[cost_hr]*1.5*[overtime_m]</f>
        <v>18961.25</v>
      </c>
    </row>
  </sheetData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pane xSplit="1" topLeftCell="B1" activePane="topRight" state="frozen"/>
      <selection pane="topRight" activeCell="H10" sqref="H10"/>
    </sheetView>
  </sheetViews>
  <sheetFormatPr defaultColWidth="11.42578125" defaultRowHeight="12" outlineLevelRow="1"/>
  <cols>
    <col min="1" max="1" width="11.42578125" style="4"/>
    <col min="2" max="2" width="8.42578125" style="4" bestFit="1" customWidth="1"/>
    <col min="3" max="3" width="11.28515625" style="4" bestFit="1" customWidth="1"/>
    <col min="4" max="4" width="13.28515625" style="4" bestFit="1" customWidth="1"/>
    <col min="5" max="7" width="13.28515625" style="4" customWidth="1"/>
    <col min="8" max="8" width="11.42578125" style="4" bestFit="1" customWidth="1"/>
    <col min="9" max="16384" width="11.42578125" style="4"/>
  </cols>
  <sheetData>
    <row r="1" spans="1:8" hidden="1" outlineLevel="1">
      <c r="A1" s="2" t="s">
        <v>16</v>
      </c>
      <c r="B1" s="1"/>
      <c r="C1" s="1"/>
      <c r="D1" s="1"/>
      <c r="E1" s="1"/>
      <c r="F1" s="1"/>
      <c r="G1" s="1"/>
      <c r="H1" s="1"/>
    </row>
    <row r="2" spans="1:8" hidden="1" outlineLevel="1">
      <c r="A2" s="2" t="s">
        <v>15</v>
      </c>
      <c r="B2" s="1"/>
      <c r="C2" s="1"/>
      <c r="D2" s="1"/>
      <c r="E2" s="1"/>
      <c r="F2" s="1"/>
      <c r="G2" s="1"/>
      <c r="H2" s="1"/>
    </row>
    <row r="3" spans="1:8" hidden="1" outlineLevel="1">
      <c r="A3" s="2" t="s">
        <v>14</v>
      </c>
      <c r="B3" s="1"/>
      <c r="C3" s="1"/>
      <c r="D3" s="1"/>
      <c r="E3" s="1"/>
      <c r="F3" s="1"/>
      <c r="G3" s="1"/>
      <c r="H3" s="1"/>
    </row>
    <row r="4" spans="1:8" hidden="1" outlineLevel="1">
      <c r="A4" s="2" t="s">
        <v>13</v>
      </c>
      <c r="B4" s="1"/>
      <c r="C4" s="1"/>
      <c r="D4" s="1"/>
      <c r="E4" s="1"/>
      <c r="F4" s="1"/>
      <c r="G4" s="1"/>
      <c r="H4" s="1"/>
    </row>
    <row r="5" spans="1:8" hidden="1" outlineLevel="1">
      <c r="A5" s="2" t="s">
        <v>12</v>
      </c>
      <c r="B5" s="1"/>
      <c r="C5" s="1"/>
      <c r="D5" s="1"/>
      <c r="E5" s="1"/>
      <c r="F5" s="1"/>
      <c r="G5" s="1"/>
      <c r="H5" s="1"/>
    </row>
    <row r="6" spans="1:8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/>
      <c r="H6" s="1">
        <v>1</v>
      </c>
    </row>
    <row r="7" spans="1:8" hidden="1" outlineLevel="1">
      <c r="A7" s="2" t="s">
        <v>10</v>
      </c>
      <c r="B7" s="1" t="s">
        <v>9</v>
      </c>
      <c r="C7" s="1" t="s">
        <v>19</v>
      </c>
      <c r="D7" s="1"/>
      <c r="E7" s="1"/>
      <c r="F7" s="1"/>
      <c r="G7" s="1"/>
      <c r="H7" s="1"/>
    </row>
    <row r="8" spans="1:8" hidden="1" outlineLevel="1">
      <c r="A8" s="2" t="s">
        <v>8</v>
      </c>
      <c r="B8" s="1"/>
      <c r="C8" s="1"/>
      <c r="D8" s="1"/>
      <c r="E8" s="1"/>
      <c r="F8" s="1"/>
      <c r="G8" s="1"/>
      <c r="H8" s="1"/>
    </row>
    <row r="9" spans="1:8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/>
      <c r="H9" s="1" t="s">
        <v>21</v>
      </c>
    </row>
    <row r="10" spans="1:8" collapsed="1">
      <c r="A10" s="2" t="s">
        <v>3</v>
      </c>
      <c r="B10" s="7" t="s">
        <v>4</v>
      </c>
      <c r="C10" s="8" t="s">
        <v>18</v>
      </c>
      <c r="D10" s="8" t="s">
        <v>28</v>
      </c>
      <c r="E10" s="8" t="s">
        <v>17</v>
      </c>
      <c r="F10" s="8" t="s">
        <v>15</v>
      </c>
      <c r="G10" s="9" t="s">
        <v>45</v>
      </c>
      <c r="H10" s="9" t="s">
        <v>29</v>
      </c>
    </row>
    <row r="11" spans="1:8">
      <c r="B11" s="5">
        <v>1</v>
      </c>
      <c r="C11" s="1">
        <v>1</v>
      </c>
      <c r="D11" s="1" t="s">
        <v>30</v>
      </c>
      <c r="E11" s="1" t="s">
        <v>36</v>
      </c>
      <c r="F11" s="1" t="s">
        <v>42</v>
      </c>
      <c r="G11" s="12">
        <v>10500</v>
      </c>
      <c r="H11" s="12">
        <v>50000</v>
      </c>
    </row>
    <row r="12" spans="1:8">
      <c r="B12" s="5">
        <v>2</v>
      </c>
      <c r="C12" s="1">
        <v>2</v>
      </c>
      <c r="D12" s="1" t="s">
        <v>31</v>
      </c>
      <c r="E12" s="1" t="s">
        <v>37</v>
      </c>
      <c r="F12" s="1" t="s">
        <v>42</v>
      </c>
      <c r="G12" s="12">
        <v>15000</v>
      </c>
      <c r="H12" s="12">
        <v>50000</v>
      </c>
    </row>
    <row r="13" spans="1:8">
      <c r="B13" s="5">
        <v>3</v>
      </c>
      <c r="C13" s="1">
        <v>3</v>
      </c>
      <c r="D13" s="1" t="s">
        <v>32</v>
      </c>
      <c r="E13" s="1" t="s">
        <v>38</v>
      </c>
      <c r="F13" s="1" t="s">
        <v>42</v>
      </c>
      <c r="G13" s="12">
        <v>50000</v>
      </c>
      <c r="H13" s="12">
        <v>150000</v>
      </c>
    </row>
    <row r="14" spans="1:8">
      <c r="B14" s="5">
        <v>4</v>
      </c>
      <c r="C14" s="1">
        <v>4</v>
      </c>
      <c r="D14" s="1" t="s">
        <v>33</v>
      </c>
      <c r="E14" s="1" t="s">
        <v>39</v>
      </c>
      <c r="F14" s="1" t="s">
        <v>42</v>
      </c>
      <c r="G14" s="12">
        <v>30000</v>
      </c>
      <c r="H14" s="12">
        <v>250000</v>
      </c>
    </row>
    <row r="15" spans="1:8">
      <c r="B15" s="5">
        <v>5</v>
      </c>
      <c r="C15" s="1">
        <v>5</v>
      </c>
      <c r="D15" s="1" t="s">
        <v>34</v>
      </c>
      <c r="E15" s="1" t="s">
        <v>40</v>
      </c>
      <c r="F15" s="1" t="s">
        <v>42</v>
      </c>
      <c r="G15" s="12">
        <v>150000</v>
      </c>
      <c r="H15" s="12">
        <v>350000</v>
      </c>
    </row>
    <row r="16" spans="1:8">
      <c r="B16" s="10">
        <v>6</v>
      </c>
      <c r="C16" s="11">
        <v>6</v>
      </c>
      <c r="D16" s="11" t="s">
        <v>35</v>
      </c>
      <c r="E16" s="11" t="s">
        <v>41</v>
      </c>
      <c r="F16" s="11" t="s">
        <v>42</v>
      </c>
      <c r="G16" s="13">
        <v>100000</v>
      </c>
      <c r="H16" s="12">
        <v>450000</v>
      </c>
    </row>
  </sheetData>
  <dataValidations disablePrompts="1" count="1">
    <dataValidation type="list" showInputMessage="1" showErrorMessage="1" errorTitle="Invalid Entry" error="Your entry is not in the list." sqref="B9:H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showGridLines="0" workbookViewId="0">
      <pane xSplit="1" topLeftCell="C1" activePane="topRight" state="frozen"/>
      <selection pane="topRight" activeCell="D23" sqref="D23"/>
    </sheetView>
  </sheetViews>
  <sheetFormatPr defaultColWidth="11.42578125" defaultRowHeight="12" outlineLevelRow="1"/>
  <cols>
    <col min="1" max="1" width="11.42578125" style="4"/>
    <col min="2" max="2" width="4.28515625" style="4" customWidth="1"/>
    <col min="3" max="3" width="9" style="4" bestFit="1" customWidth="1"/>
    <col min="4" max="4" width="12" style="4" bestFit="1" customWidth="1"/>
    <col min="5" max="5" width="7.140625" style="4" bestFit="1" customWidth="1"/>
    <col min="6" max="6" width="6.7109375" style="4" customWidth="1"/>
    <col min="7" max="7" width="8" style="4" bestFit="1" customWidth="1"/>
    <col min="8" max="8" width="6.140625" style="4" bestFit="1" customWidth="1"/>
    <col min="9" max="9" width="5.28515625" style="4" bestFit="1" customWidth="1"/>
    <col min="10" max="12" width="6.5703125" style="4" bestFit="1" customWidth="1"/>
    <col min="13" max="13" width="20.85546875" style="4" bestFit="1" customWidth="1"/>
    <col min="14" max="16384" width="11.42578125" style="4"/>
  </cols>
  <sheetData>
    <row r="1" spans="1:13" hidden="1" outlineLevel="1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idden="1" outlineLevel="1">
      <c r="A2" s="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idden="1" outlineLevel="1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idden="1" outlineLevel="1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idden="1" outlineLevel="1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hidden="1" outlineLevel="1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idden="1" outlineLevel="1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21</v>
      </c>
    </row>
    <row r="10" spans="1:13" collapsed="1">
      <c r="A10" s="2" t="s">
        <v>3</v>
      </c>
      <c r="B10" s="7" t="s">
        <v>4</v>
      </c>
      <c r="C10" s="8" t="s">
        <v>92</v>
      </c>
      <c r="D10" s="50" t="s">
        <v>3</v>
      </c>
      <c r="E10" s="8" t="s">
        <v>14</v>
      </c>
      <c r="F10" s="8" t="s">
        <v>7</v>
      </c>
      <c r="G10" s="8" t="s">
        <v>107</v>
      </c>
      <c r="H10" s="8" t="s">
        <v>109</v>
      </c>
      <c r="I10" s="8" t="s">
        <v>16</v>
      </c>
      <c r="J10" s="8" t="s">
        <v>100</v>
      </c>
      <c r="K10" s="8" t="s">
        <v>101</v>
      </c>
      <c r="L10" s="9" t="s">
        <v>102</v>
      </c>
      <c r="M10" s="9" t="s">
        <v>15</v>
      </c>
    </row>
    <row r="11" spans="1:13">
      <c r="B11" s="5">
        <v>1</v>
      </c>
      <c r="C11" s="14">
        <v>42653</v>
      </c>
      <c r="D11" s="51" t="s">
        <v>93</v>
      </c>
      <c r="E11" s="47" t="s">
        <v>103</v>
      </c>
      <c r="F11" s="47" t="s">
        <v>6</v>
      </c>
      <c r="G11" s="47" t="s">
        <v>108</v>
      </c>
      <c r="H11" s="47" t="s">
        <v>103</v>
      </c>
      <c r="I11" s="47" t="s">
        <v>113</v>
      </c>
      <c r="J11" s="47">
        <v>200</v>
      </c>
      <c r="K11" s="47">
        <v>150</v>
      </c>
      <c r="L11" s="47">
        <v>130</v>
      </c>
      <c r="M11" s="49" t="s">
        <v>115</v>
      </c>
    </row>
    <row r="12" spans="1:13">
      <c r="B12" s="5">
        <v>2</v>
      </c>
      <c r="C12" s="14">
        <f>C11+30</f>
        <v>42683</v>
      </c>
      <c r="D12" s="51" t="s">
        <v>54</v>
      </c>
      <c r="E12" s="47" t="s">
        <v>103</v>
      </c>
      <c r="F12" s="47" t="s">
        <v>6</v>
      </c>
      <c r="G12" s="47" t="s">
        <v>108</v>
      </c>
      <c r="H12" s="47" t="s">
        <v>110</v>
      </c>
      <c r="I12" s="47" t="s">
        <v>113</v>
      </c>
      <c r="J12" s="47">
        <v>150000</v>
      </c>
      <c r="K12" s="47">
        <v>150000</v>
      </c>
      <c r="L12" s="47">
        <v>150000</v>
      </c>
      <c r="M12" s="49" t="s">
        <v>114</v>
      </c>
    </row>
    <row r="13" spans="1:13">
      <c r="B13" s="5">
        <v>3</v>
      </c>
      <c r="C13" s="14">
        <f t="shared" ref="C13:C16" si="0">C12+30</f>
        <v>42713</v>
      </c>
      <c r="D13" s="51" t="s">
        <v>94</v>
      </c>
      <c r="E13" s="47" t="s">
        <v>104</v>
      </c>
      <c r="F13" s="47" t="s">
        <v>21</v>
      </c>
      <c r="G13" s="47" t="s">
        <v>111</v>
      </c>
      <c r="H13" s="47" t="s">
        <v>106</v>
      </c>
      <c r="I13" s="47" t="s">
        <v>112</v>
      </c>
      <c r="J13" s="52">
        <v>0.75</v>
      </c>
      <c r="K13" s="52">
        <v>0.8</v>
      </c>
      <c r="L13" s="52">
        <v>0.85</v>
      </c>
      <c r="M13" s="49" t="s">
        <v>116</v>
      </c>
    </row>
    <row r="14" spans="1:13">
      <c r="B14" s="5">
        <v>4</v>
      </c>
      <c r="C14" s="14">
        <f t="shared" si="0"/>
        <v>42743</v>
      </c>
      <c r="D14" s="51" t="s">
        <v>95</v>
      </c>
      <c r="E14" s="47" t="s">
        <v>105</v>
      </c>
      <c r="F14" s="47" t="s">
        <v>6</v>
      </c>
      <c r="G14" s="47" t="s">
        <v>108</v>
      </c>
      <c r="H14" s="47" t="s">
        <v>121</v>
      </c>
      <c r="I14" s="47" t="s">
        <v>113</v>
      </c>
      <c r="J14" s="47">
        <v>100</v>
      </c>
      <c r="K14" s="47">
        <v>100</v>
      </c>
      <c r="L14" s="47">
        <v>100</v>
      </c>
      <c r="M14" s="49" t="s">
        <v>117</v>
      </c>
    </row>
    <row r="15" spans="1:13">
      <c r="B15" s="5">
        <v>5</v>
      </c>
      <c r="C15" s="14">
        <f t="shared" si="0"/>
        <v>42773</v>
      </c>
      <c r="D15" s="51" t="s">
        <v>96</v>
      </c>
      <c r="E15" s="47" t="s">
        <v>103</v>
      </c>
      <c r="F15" s="47" t="s">
        <v>21</v>
      </c>
      <c r="G15" s="47" t="s">
        <v>111</v>
      </c>
      <c r="H15" s="47" t="s">
        <v>106</v>
      </c>
      <c r="I15" s="47" t="s">
        <v>112</v>
      </c>
      <c r="J15" s="52">
        <v>0.35</v>
      </c>
      <c r="K15" s="52">
        <f>kpiTable[[#This Row],[hurdle]]+0.1</f>
        <v>0.44999999999999996</v>
      </c>
      <c r="L15" s="52">
        <f>kpiTable[[#This Row],[target]]+0.1</f>
        <v>0.54999999999999993</v>
      </c>
      <c r="M15" s="49" t="s">
        <v>118</v>
      </c>
    </row>
    <row r="16" spans="1:13">
      <c r="B16" s="10">
        <v>6</v>
      </c>
      <c r="C16" s="14">
        <f t="shared" si="0"/>
        <v>42803</v>
      </c>
      <c r="D16" s="51" t="s">
        <v>119</v>
      </c>
      <c r="E16" s="47" t="s">
        <v>120</v>
      </c>
      <c r="F16" s="47" t="s">
        <v>21</v>
      </c>
      <c r="G16" s="47" t="s">
        <v>108</v>
      </c>
      <c r="H16" s="47" t="s">
        <v>110</v>
      </c>
      <c r="I16" s="47" t="s">
        <v>112</v>
      </c>
      <c r="J16" s="52">
        <v>0.35</v>
      </c>
      <c r="K16" s="52">
        <f>kpiTable[[#This Row],[hurdle]]+0.1</f>
        <v>0.44999999999999996</v>
      </c>
      <c r="L16" s="52">
        <f>kpiTable[[#This Row],[target]]+0.1</f>
        <v>0.54999999999999993</v>
      </c>
      <c r="M16" s="49" t="s">
        <v>122</v>
      </c>
    </row>
  </sheetData>
  <dataValidations disablePrompts="1" count="3">
    <dataValidation type="list" showInputMessage="1" showErrorMessage="1" errorTitle="Invalid Entry" error="Your entry is not in the list." sqref="B9:M9">
      <formula1>"str,txt,date,bool,int,dec,float,double,numeric,serial"</formula1>
    </dataValidation>
    <dataValidation type="list" allowBlank="1" showInputMessage="1" showErrorMessage="1" sqref="G11:G16">
      <formula1>"absolute, percent"</formula1>
    </dataValidation>
    <dataValidation type="list" allowBlank="1" showInputMessage="1" showErrorMessage="1" sqref="I11:I16">
      <formula1>"max, min, maint"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0"/>
  <sheetViews>
    <sheetView showGridLines="0" tabSelected="1" topLeftCell="A10" workbookViewId="0">
      <pane xSplit="1" topLeftCell="B1" activePane="topRight" state="frozen"/>
      <selection pane="topRight" activeCell="F12" sqref="F12"/>
    </sheetView>
  </sheetViews>
  <sheetFormatPr defaultColWidth="11.42578125" defaultRowHeight="12" outlineLevelRow="1"/>
  <cols>
    <col min="1" max="1" width="0" style="4" hidden="1" customWidth="1"/>
    <col min="2" max="2" width="7" style="4" customWidth="1"/>
    <col min="3" max="3" width="12.7109375" style="4" bestFit="1" customWidth="1"/>
    <col min="4" max="4" width="11.5703125" style="4" customWidth="1"/>
    <col min="5" max="5" width="14" style="4" bestFit="1" customWidth="1"/>
    <col min="6" max="6" width="12" style="4" customWidth="1"/>
    <col min="7" max="16384" width="11.42578125" style="4"/>
  </cols>
  <sheetData>
    <row r="1" spans="1:9" hidden="1" outlineLevel="1">
      <c r="A1" s="2" t="s">
        <v>16</v>
      </c>
      <c r="B1" s="1"/>
      <c r="C1" s="1"/>
      <c r="D1" s="1"/>
      <c r="E1" s="1"/>
      <c r="F1" s="1"/>
    </row>
    <row r="2" spans="1:9" hidden="1" outlineLevel="1">
      <c r="A2" s="2" t="s">
        <v>15</v>
      </c>
      <c r="B2" s="1"/>
      <c r="C2" s="1"/>
      <c r="D2" s="1"/>
      <c r="E2" s="1"/>
      <c r="F2" s="1"/>
    </row>
    <row r="3" spans="1:9" hidden="1" outlineLevel="1">
      <c r="A3" s="2" t="s">
        <v>14</v>
      </c>
      <c r="B3" s="1"/>
      <c r="C3" s="1"/>
      <c r="D3" s="1"/>
      <c r="E3" s="1"/>
      <c r="F3" s="1"/>
    </row>
    <row r="4" spans="1:9" hidden="1" outlineLevel="1">
      <c r="A4" s="2" t="s">
        <v>13</v>
      </c>
      <c r="B4" s="1"/>
      <c r="C4" s="1"/>
      <c r="D4" s="1"/>
      <c r="E4" s="1"/>
      <c r="F4" s="1"/>
    </row>
    <row r="5" spans="1:9" hidden="1" outlineLevel="1">
      <c r="A5" s="2" t="s">
        <v>12</v>
      </c>
      <c r="B5" s="1"/>
      <c r="C5" s="1"/>
      <c r="D5" s="1"/>
      <c r="E5" s="1"/>
      <c r="F5" s="1"/>
    </row>
    <row r="6" spans="1:9" hidden="1" outlineLevel="1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9" hidden="1" outlineLevel="1">
      <c r="A7" s="2" t="s">
        <v>10</v>
      </c>
      <c r="B7" s="1" t="s">
        <v>9</v>
      </c>
      <c r="C7" s="1" t="s">
        <v>19</v>
      </c>
      <c r="D7" s="1"/>
      <c r="E7" s="1"/>
      <c r="F7" s="1"/>
    </row>
    <row r="8" spans="1:9" hidden="1" outlineLevel="1">
      <c r="A8" s="2" t="s">
        <v>8</v>
      </c>
      <c r="B8" s="1"/>
      <c r="C8" s="1"/>
      <c r="D8" s="1"/>
      <c r="E8" s="1"/>
      <c r="F8" s="1"/>
    </row>
    <row r="9" spans="1:9" hidden="1" outlineLevel="1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</row>
    <row r="10" spans="1:9" collapsed="1">
      <c r="A10" s="2" t="s">
        <v>3</v>
      </c>
      <c r="B10" s="7" t="s">
        <v>4</v>
      </c>
      <c r="C10" s="8" t="s">
        <v>92</v>
      </c>
      <c r="D10" s="8" t="s">
        <v>97</v>
      </c>
      <c r="E10" s="50" t="s">
        <v>99</v>
      </c>
      <c r="F10" s="8" t="s">
        <v>98</v>
      </c>
    </row>
    <row r="11" spans="1:9">
      <c r="B11" s="5">
        <v>1</v>
      </c>
      <c r="C11" s="14">
        <v>42653</v>
      </c>
      <c r="D11" s="5">
        <v>1</v>
      </c>
      <c r="E11" s="51" t="s">
        <v>93</v>
      </c>
      <c r="F11" s="53">
        <v>10</v>
      </c>
      <c r="I11" s="4">
        <v>1</v>
      </c>
    </row>
    <row r="12" spans="1:9">
      <c r="B12" s="5">
        <v>2</v>
      </c>
      <c r="C12" s="14">
        <f>C11+30</f>
        <v>42683</v>
      </c>
      <c r="D12" s="5">
        <v>2</v>
      </c>
      <c r="E12" s="51" t="s">
        <v>54</v>
      </c>
      <c r="F12" s="53">
        <v>20</v>
      </c>
    </row>
    <row r="13" spans="1:9">
      <c r="B13" s="5">
        <v>3</v>
      </c>
      <c r="C13" s="14">
        <f t="shared" ref="C13:C16" si="0">C12+30</f>
        <v>42713</v>
      </c>
      <c r="D13" s="5">
        <v>3</v>
      </c>
      <c r="E13" s="51" t="s">
        <v>94</v>
      </c>
      <c r="F13" s="54">
        <v>0.6</v>
      </c>
    </row>
    <row r="14" spans="1:9">
      <c r="B14" s="5">
        <v>4</v>
      </c>
      <c r="C14" s="14">
        <f t="shared" si="0"/>
        <v>42743</v>
      </c>
      <c r="D14" s="5">
        <v>4</v>
      </c>
      <c r="E14" s="51" t="s">
        <v>95</v>
      </c>
      <c r="F14" s="53">
        <v>33</v>
      </c>
    </row>
    <row r="15" spans="1:9">
      <c r="B15" s="5">
        <v>5</v>
      </c>
      <c r="C15" s="14">
        <f t="shared" si="0"/>
        <v>42773</v>
      </c>
      <c r="D15" s="5">
        <v>5</v>
      </c>
      <c r="E15" s="51" t="s">
        <v>96</v>
      </c>
      <c r="F15" s="54">
        <v>0.3</v>
      </c>
    </row>
    <row r="16" spans="1:9">
      <c r="B16" s="10">
        <v>6</v>
      </c>
      <c r="C16" s="14">
        <f t="shared" si="0"/>
        <v>42803</v>
      </c>
      <c r="D16" s="10">
        <v>6</v>
      </c>
      <c r="E16" s="51" t="s">
        <v>119</v>
      </c>
      <c r="F16" s="53">
        <v>50000</v>
      </c>
    </row>
    <row r="17" spans="2:6">
      <c r="B17" s="5">
        <v>7</v>
      </c>
      <c r="C17" s="14">
        <v>42653</v>
      </c>
      <c r="D17" s="5">
        <v>1</v>
      </c>
      <c r="E17" s="51" t="s">
        <v>93</v>
      </c>
      <c r="F17" s="47">
        <f>F11+10</f>
        <v>20</v>
      </c>
    </row>
    <row r="18" spans="2:6">
      <c r="B18" s="10">
        <v>8</v>
      </c>
      <c r="C18" s="14">
        <f>C17+30</f>
        <v>42683</v>
      </c>
      <c r="D18" s="5">
        <v>2</v>
      </c>
      <c r="E18" s="51" t="s">
        <v>54</v>
      </c>
      <c r="F18" s="47">
        <f>F12+10</f>
        <v>30</v>
      </c>
    </row>
    <row r="19" spans="2:6">
      <c r="B19" s="5">
        <v>9</v>
      </c>
      <c r="C19" s="14">
        <f t="shared" ref="C19:C22" si="1">C18+30</f>
        <v>42713</v>
      </c>
      <c r="D19" s="5">
        <v>3</v>
      </c>
      <c r="E19" s="51" t="s">
        <v>94</v>
      </c>
      <c r="F19" s="48">
        <f>F13+0.05</f>
        <v>0.65</v>
      </c>
    </row>
    <row r="20" spans="2:6">
      <c r="B20" s="10">
        <v>10</v>
      </c>
      <c r="C20" s="14">
        <f t="shared" si="1"/>
        <v>42743</v>
      </c>
      <c r="D20" s="5">
        <v>4</v>
      </c>
      <c r="E20" s="51" t="s">
        <v>95</v>
      </c>
      <c r="F20" s="47">
        <f>F14-2</f>
        <v>31</v>
      </c>
    </row>
    <row r="21" spans="2:6">
      <c r="B21" s="5">
        <v>11</v>
      </c>
      <c r="C21" s="14">
        <f t="shared" si="1"/>
        <v>42773</v>
      </c>
      <c r="D21" s="5">
        <v>5</v>
      </c>
      <c r="E21" s="51" t="s">
        <v>96</v>
      </c>
      <c r="F21" s="48">
        <f>F15+0.01</f>
        <v>0.31</v>
      </c>
    </row>
    <row r="22" spans="2:6">
      <c r="B22" s="10">
        <v>12</v>
      </c>
      <c r="C22" s="14">
        <f t="shared" si="1"/>
        <v>42803</v>
      </c>
      <c r="D22" s="10">
        <v>6</v>
      </c>
      <c r="E22" s="51" t="s">
        <v>119</v>
      </c>
      <c r="F22" s="47">
        <f>F16+5000</f>
        <v>55000</v>
      </c>
    </row>
    <row r="23" spans="2:6">
      <c r="B23" s="5">
        <v>13</v>
      </c>
      <c r="C23" s="14">
        <v>42653</v>
      </c>
      <c r="D23" s="5">
        <v>1</v>
      </c>
      <c r="E23" s="51" t="s">
        <v>93</v>
      </c>
      <c r="F23" s="47">
        <f>F17+10</f>
        <v>30</v>
      </c>
    </row>
    <row r="24" spans="2:6">
      <c r="B24" s="10">
        <v>14</v>
      </c>
      <c r="C24" s="14">
        <f>C23+30</f>
        <v>42683</v>
      </c>
      <c r="D24" s="5">
        <v>2</v>
      </c>
      <c r="E24" s="51" t="s">
        <v>54</v>
      </c>
      <c r="F24" s="47">
        <f>F18+10</f>
        <v>40</v>
      </c>
    </row>
    <row r="25" spans="2:6">
      <c r="B25" s="5">
        <v>15</v>
      </c>
      <c r="C25" s="14">
        <f t="shared" ref="C25:C28" si="2">C24+30</f>
        <v>42713</v>
      </c>
      <c r="D25" s="5">
        <v>3</v>
      </c>
      <c r="E25" s="51" t="s">
        <v>94</v>
      </c>
      <c r="F25" s="48">
        <f>F19+0.05</f>
        <v>0.70000000000000007</v>
      </c>
    </row>
    <row r="26" spans="2:6">
      <c r="B26" s="10">
        <v>16</v>
      </c>
      <c r="C26" s="14">
        <f t="shared" si="2"/>
        <v>42743</v>
      </c>
      <c r="D26" s="5">
        <v>4</v>
      </c>
      <c r="E26" s="51" t="s">
        <v>95</v>
      </c>
      <c r="F26" s="47">
        <f>F20-2</f>
        <v>29</v>
      </c>
    </row>
    <row r="27" spans="2:6">
      <c r="B27" s="5">
        <v>17</v>
      </c>
      <c r="C27" s="14">
        <f t="shared" si="2"/>
        <v>42773</v>
      </c>
      <c r="D27" s="5">
        <v>5</v>
      </c>
      <c r="E27" s="51" t="s">
        <v>96</v>
      </c>
      <c r="F27" s="48">
        <f>F21+0.01</f>
        <v>0.32</v>
      </c>
    </row>
    <row r="28" spans="2:6">
      <c r="B28" s="10">
        <v>18</v>
      </c>
      <c r="C28" s="14">
        <f t="shared" si="2"/>
        <v>42803</v>
      </c>
      <c r="D28" s="10">
        <v>6</v>
      </c>
      <c r="E28" s="51" t="s">
        <v>119</v>
      </c>
      <c r="F28" s="47">
        <f>F22+5000</f>
        <v>60000</v>
      </c>
    </row>
    <row r="29" spans="2:6">
      <c r="B29" s="5">
        <v>19</v>
      </c>
      <c r="C29" s="14">
        <v>42653</v>
      </c>
      <c r="D29" s="5">
        <v>1</v>
      </c>
      <c r="E29" s="51" t="s">
        <v>93</v>
      </c>
      <c r="F29" s="47">
        <f>F23+10</f>
        <v>40</v>
      </c>
    </row>
    <row r="30" spans="2:6">
      <c r="B30" s="10">
        <v>20</v>
      </c>
      <c r="C30" s="14">
        <f>C29+30</f>
        <v>42683</v>
      </c>
      <c r="D30" s="5">
        <v>2</v>
      </c>
      <c r="E30" s="51" t="s">
        <v>54</v>
      </c>
      <c r="F30" s="47">
        <f>F24+10</f>
        <v>50</v>
      </c>
    </row>
    <row r="31" spans="2:6">
      <c r="B31" s="5">
        <v>21</v>
      </c>
      <c r="C31" s="14">
        <f t="shared" ref="C31:C34" si="3">C30+30</f>
        <v>42713</v>
      </c>
      <c r="D31" s="5">
        <v>3</v>
      </c>
      <c r="E31" s="51" t="s">
        <v>94</v>
      </c>
      <c r="F31" s="48">
        <f>F25+0.05</f>
        <v>0.75000000000000011</v>
      </c>
    </row>
    <row r="32" spans="2:6">
      <c r="B32" s="10">
        <v>22</v>
      </c>
      <c r="C32" s="14">
        <f t="shared" si="3"/>
        <v>42743</v>
      </c>
      <c r="D32" s="5">
        <v>4</v>
      </c>
      <c r="E32" s="51" t="s">
        <v>95</v>
      </c>
      <c r="F32" s="47">
        <f>F26-2</f>
        <v>27</v>
      </c>
    </row>
    <row r="33" spans="2:6">
      <c r="B33" s="5">
        <v>23</v>
      </c>
      <c r="C33" s="14">
        <f t="shared" si="3"/>
        <v>42773</v>
      </c>
      <c r="D33" s="5">
        <v>5</v>
      </c>
      <c r="E33" s="51" t="s">
        <v>96</v>
      </c>
      <c r="F33" s="48">
        <f>F27+0.01</f>
        <v>0.33</v>
      </c>
    </row>
    <row r="34" spans="2:6">
      <c r="B34" s="10">
        <v>24</v>
      </c>
      <c r="C34" s="14">
        <f t="shared" si="3"/>
        <v>42803</v>
      </c>
      <c r="D34" s="10">
        <v>6</v>
      </c>
      <c r="E34" s="51" t="s">
        <v>119</v>
      </c>
      <c r="F34" s="47">
        <f>F28+5000</f>
        <v>65000</v>
      </c>
    </row>
    <row r="35" spans="2:6">
      <c r="B35" s="5">
        <v>25</v>
      </c>
      <c r="C35" s="14">
        <v>42653</v>
      </c>
      <c r="D35" s="5">
        <v>1</v>
      </c>
      <c r="E35" s="51" t="s">
        <v>93</v>
      </c>
      <c r="F35" s="47">
        <f>F29+10</f>
        <v>50</v>
      </c>
    </row>
    <row r="36" spans="2:6">
      <c r="B36" s="10">
        <v>26</v>
      </c>
      <c r="C36" s="14">
        <f>C35+30</f>
        <v>42683</v>
      </c>
      <c r="D36" s="5">
        <v>2</v>
      </c>
      <c r="E36" s="51" t="s">
        <v>54</v>
      </c>
      <c r="F36" s="47">
        <f>F30+10</f>
        <v>60</v>
      </c>
    </row>
    <row r="37" spans="2:6">
      <c r="B37" s="5">
        <v>27</v>
      </c>
      <c r="C37" s="14">
        <f t="shared" ref="C37:C40" si="4">C36+30</f>
        <v>42713</v>
      </c>
      <c r="D37" s="5">
        <v>3</v>
      </c>
      <c r="E37" s="51" t="s">
        <v>94</v>
      </c>
      <c r="F37" s="48">
        <f>F31+0.05</f>
        <v>0.80000000000000016</v>
      </c>
    </row>
    <row r="38" spans="2:6">
      <c r="B38" s="10">
        <v>28</v>
      </c>
      <c r="C38" s="14">
        <f t="shared" si="4"/>
        <v>42743</v>
      </c>
      <c r="D38" s="5">
        <v>4</v>
      </c>
      <c r="E38" s="51" t="s">
        <v>95</v>
      </c>
      <c r="F38" s="47">
        <f>F32-2</f>
        <v>25</v>
      </c>
    </row>
    <row r="39" spans="2:6">
      <c r="B39" s="5">
        <v>29</v>
      </c>
      <c r="C39" s="14">
        <f t="shared" si="4"/>
        <v>42773</v>
      </c>
      <c r="D39" s="5">
        <v>5</v>
      </c>
      <c r="E39" s="51" t="s">
        <v>96</v>
      </c>
      <c r="F39" s="48">
        <f>F33+0.01</f>
        <v>0.34</v>
      </c>
    </row>
    <row r="40" spans="2:6">
      <c r="B40" s="10">
        <v>30</v>
      </c>
      <c r="C40" s="14">
        <f t="shared" si="4"/>
        <v>42803</v>
      </c>
      <c r="D40" s="10">
        <v>6</v>
      </c>
      <c r="E40" s="51" t="s">
        <v>119</v>
      </c>
      <c r="F40" s="47">
        <f>F34+5000</f>
        <v>70000</v>
      </c>
    </row>
  </sheetData>
  <dataValidations count="1"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showGridLines="0" workbookViewId="0">
      <selection activeCell="D8" sqref="D8"/>
    </sheetView>
  </sheetViews>
  <sheetFormatPr defaultColWidth="11.42578125" defaultRowHeight="15"/>
  <cols>
    <col min="2" max="2" width="12.85546875" bestFit="1" customWidth="1"/>
  </cols>
  <sheetData>
    <row r="1" spans="1:2">
      <c r="A1" s="45" t="s">
        <v>14</v>
      </c>
      <c r="B1" s="46"/>
    </row>
    <row r="2" spans="1:2">
      <c r="A2" s="3" t="s">
        <v>0</v>
      </c>
      <c r="B2" s="3" t="s">
        <v>0</v>
      </c>
    </row>
    <row r="3" spans="1:2">
      <c r="A3" s="3" t="s">
        <v>2</v>
      </c>
      <c r="B3" s="3" t="s">
        <v>2</v>
      </c>
    </row>
    <row r="4" spans="1:2">
      <c r="A4" s="3" t="s">
        <v>1</v>
      </c>
      <c r="B4" s="3" t="s">
        <v>1</v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staff</vt:lpstr>
      <vt:lpstr>vehicle</vt:lpstr>
      <vt:lpstr>kpi</vt:lpstr>
      <vt:lpstr>log</vt:lpstr>
      <vt:lpstr>ENUMs</vt:lpstr>
      <vt:lpstr>base_currency</vt:lpstr>
      <vt:lpstr>duration</vt:lpstr>
      <vt:lpstr>investment</vt:lpstr>
      <vt:lpstr>scenario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2016-03-13T05:22:32Z</dcterms:created>
  <dcterms:modified xsi:type="dcterms:W3CDTF">2016-09-04T17:34:43Z</dcterms:modified>
</cp:coreProperties>
</file>