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01129F5A-B8E3-4AC7-A947-B60E4601D5D9}" xr6:coauthVersionLast="47" xr6:coauthVersionMax="47" xr10:uidLastSave="{00000000-0000-0000-0000-000000000000}"/>
  <bookViews>
    <workbookView xWindow="-120" yWindow="-120" windowWidth="20730" windowHeight="11310" firstSheet="292" activeTab="296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  <sheet name="01.10.24  (224)" sheetId="235" r:id="rId225"/>
    <sheet name="02.10.24  (225)" sheetId="236" r:id="rId226"/>
    <sheet name="03.10.24  (226)" sheetId="237" r:id="rId227"/>
    <sheet name="05.10.24  (227)" sheetId="238" r:id="rId228"/>
    <sheet name="06.10.24  (228)" sheetId="239" r:id="rId229"/>
    <sheet name="07.10.24  (229)" sheetId="240" r:id="rId230"/>
    <sheet name="08.10.24  (230)" sheetId="241" r:id="rId231"/>
    <sheet name="09.10.24  (231)" sheetId="242" r:id="rId232"/>
    <sheet name="10.10.24  (232)" sheetId="243" r:id="rId233"/>
    <sheet name="12.10.24  (233)" sheetId="244" r:id="rId234"/>
    <sheet name="14.10.24  (234)" sheetId="245" r:id="rId235"/>
    <sheet name="15.10.24  (235)" sheetId="246" r:id="rId236"/>
    <sheet name="16.10.24  (236)" sheetId="247" r:id="rId237"/>
    <sheet name="17.10.24  (237)" sheetId="248" r:id="rId238"/>
    <sheet name="19.10.24  (238)" sheetId="249" r:id="rId239"/>
    <sheet name="20.10.24  (239)" sheetId="250" r:id="rId240"/>
    <sheet name="21.10.24  (240)" sheetId="251" r:id="rId241"/>
    <sheet name="22.10.24  (241)" sheetId="252" r:id="rId242"/>
    <sheet name="23.10.24  (242)" sheetId="253" r:id="rId243"/>
    <sheet name="24.10.24  (243)" sheetId="254" r:id="rId244"/>
    <sheet name="26.10.24  (244)" sheetId="255" r:id="rId245"/>
    <sheet name="27.10.24  (245)" sheetId="256" r:id="rId246"/>
    <sheet name="28.10.24  (246)" sheetId="257" r:id="rId247"/>
    <sheet name="29.10.24  (247)" sheetId="258" r:id="rId248"/>
    <sheet name="30.10.24  (248)" sheetId="259" r:id="rId249"/>
    <sheet name="31.10.24  (249)" sheetId="260" r:id="rId250"/>
    <sheet name="02.11.24  (250)" sheetId="261" r:id="rId251"/>
    <sheet name="03.11.24  (251)" sheetId="262" r:id="rId252"/>
    <sheet name="04.11.24  (252)" sheetId="263" r:id="rId253"/>
    <sheet name="05.11.24  (253)" sheetId="264" r:id="rId254"/>
    <sheet name="06.11.24  (254)" sheetId="265" r:id="rId255"/>
    <sheet name="07.11.24  (255)" sheetId="266" r:id="rId256"/>
    <sheet name="09.11.24  (256)" sheetId="267" r:id="rId257"/>
    <sheet name="10.11.24  (257)" sheetId="268" r:id="rId258"/>
    <sheet name="11.11.24  (258)" sheetId="269" r:id="rId259"/>
    <sheet name="12.11.24  (259)" sheetId="270" r:id="rId260"/>
    <sheet name="13.11.24  (260)" sheetId="271" r:id="rId261"/>
    <sheet name="14.11.24  (261)" sheetId="272" r:id="rId262"/>
    <sheet name="16.11.24  (262)" sheetId="273" r:id="rId263"/>
    <sheet name="17.11.24  (263)" sheetId="274" r:id="rId264"/>
    <sheet name="18.11.24  (264)" sheetId="275" r:id="rId265"/>
    <sheet name="19.11.24  (265)" sheetId="276" r:id="rId266"/>
    <sheet name="20.11.24  (266)" sheetId="278" r:id="rId267"/>
    <sheet name="21.11.24  (267)" sheetId="279" r:id="rId268"/>
    <sheet name="23.11.24  (268)" sheetId="280" r:id="rId269"/>
    <sheet name="24.11.24  (269)" sheetId="281" r:id="rId270"/>
    <sheet name="25.11.24  (270)" sheetId="282" r:id="rId271"/>
    <sheet name="26.11.24  (271)" sheetId="283" r:id="rId272"/>
    <sheet name="27.11.24  (272)" sheetId="284" r:id="rId273"/>
    <sheet name="28.11.24  (273)" sheetId="285" r:id="rId274"/>
    <sheet name="30.11.24  (274)" sheetId="286" r:id="rId275"/>
    <sheet name="01.12.24  (275)" sheetId="287" r:id="rId276"/>
    <sheet name="02.12.24  (276)" sheetId="288" r:id="rId277"/>
    <sheet name="03.12.24  (277)" sheetId="289" r:id="rId278"/>
    <sheet name="04.12.24  (278)" sheetId="290" r:id="rId279"/>
    <sheet name="05.12.24  (279)" sheetId="291" r:id="rId280"/>
    <sheet name="07.12.24  (280)" sheetId="292" r:id="rId281"/>
    <sheet name="08.12.24  (281)" sheetId="293" r:id="rId282"/>
    <sheet name="09.12.24  (282)" sheetId="294" r:id="rId283"/>
    <sheet name="10.12.24  (283)" sheetId="295" r:id="rId284"/>
    <sheet name="11.12.24  (284)" sheetId="296" r:id="rId285"/>
    <sheet name="12.12.24  (285)" sheetId="297" r:id="rId286"/>
    <sheet name="14.12.24  (286)" sheetId="298" r:id="rId287"/>
    <sheet name="15.12.24  (287)" sheetId="299" r:id="rId288"/>
    <sheet name="16.12.24  (288)" sheetId="300" r:id="rId289"/>
    <sheet name="17.12.24  (289)" sheetId="301" r:id="rId290"/>
    <sheet name="18.12.24  (290)" sheetId="302" r:id="rId291"/>
    <sheet name="19.12.24  (291)" sheetId="303" r:id="rId292"/>
    <sheet name="21.12.24  (292)" sheetId="304" r:id="rId293"/>
    <sheet name="22.12.24  (293)" sheetId="305" r:id="rId294"/>
    <sheet name="23.12.24  (294)" sheetId="306" r:id="rId295"/>
    <sheet name="24.12.24  (295)" sheetId="307" r:id="rId296"/>
    <sheet name="25.12.24  (296)" sheetId="308" r:id="rId29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" i="308" l="1"/>
  <c r="F22" i="308"/>
  <c r="S19" i="308"/>
  <c r="S20" i="308" s="1"/>
  <c r="Q19" i="308"/>
  <c r="Q20" i="308" s="1"/>
  <c r="P19" i="308"/>
  <c r="P20" i="308" s="1"/>
  <c r="L19" i="308"/>
  <c r="L20" i="308" s="1"/>
  <c r="J19" i="308"/>
  <c r="J20" i="308" s="1"/>
  <c r="H19" i="308"/>
  <c r="H20" i="308" s="1"/>
  <c r="O18" i="308"/>
  <c r="O19" i="308" s="1"/>
  <c r="O20" i="308" s="1"/>
  <c r="E18" i="308"/>
  <c r="E19" i="308" s="1"/>
  <c r="E20" i="308" s="1"/>
  <c r="D18" i="308"/>
  <c r="D19" i="308" s="1"/>
  <c r="D20" i="308" s="1"/>
  <c r="W12" i="308"/>
  <c r="K18" i="308" s="1"/>
  <c r="K19" i="308" s="1"/>
  <c r="K20" i="308" s="1"/>
  <c r="U12" i="308"/>
  <c r="I18" i="308" s="1"/>
  <c r="I19" i="308" s="1"/>
  <c r="I20" i="308" s="1"/>
  <c r="T12" i="308"/>
  <c r="S12" i="308"/>
  <c r="Q12" i="308"/>
  <c r="P12" i="308"/>
  <c r="O12" i="308"/>
  <c r="N18" i="308" s="1"/>
  <c r="N19" i="308" s="1"/>
  <c r="N20" i="308" s="1"/>
  <c r="M12" i="308"/>
  <c r="M18" i="308" s="1"/>
  <c r="M19" i="308" s="1"/>
  <c r="M20" i="308" s="1"/>
  <c r="L12" i="308"/>
  <c r="K12" i="308"/>
  <c r="G18" i="308" s="1"/>
  <c r="G19" i="308" s="1"/>
  <c r="G20" i="308" s="1"/>
  <c r="I12" i="308"/>
  <c r="F18" i="308" s="1"/>
  <c r="F19" i="308" s="1"/>
  <c r="F20" i="308" s="1"/>
  <c r="H12" i="308"/>
  <c r="G12" i="308"/>
  <c r="E12" i="308"/>
  <c r="C12" i="308"/>
  <c r="B18" i="308" s="1"/>
  <c r="B19" i="308" s="1"/>
  <c r="B20" i="308" s="1"/>
  <c r="X11" i="308"/>
  <c r="V11" i="308"/>
  <c r="T11" i="308"/>
  <c r="R11" i="308"/>
  <c r="P11" i="308"/>
  <c r="N11" i="308"/>
  <c r="L11" i="308"/>
  <c r="J11" i="308"/>
  <c r="H11" i="308"/>
  <c r="F11" i="308"/>
  <c r="Y11" i="308" s="1"/>
  <c r="D11" i="308"/>
  <c r="X10" i="308"/>
  <c r="V10" i="308"/>
  <c r="T10" i="308"/>
  <c r="R10" i="308"/>
  <c r="P10" i="308"/>
  <c r="N10" i="308"/>
  <c r="L10" i="308"/>
  <c r="J10" i="308"/>
  <c r="H10" i="308"/>
  <c r="F10" i="308"/>
  <c r="D10" i="308"/>
  <c r="X9" i="308"/>
  <c r="V9" i="308"/>
  <c r="T9" i="308"/>
  <c r="R9" i="308"/>
  <c r="P9" i="308"/>
  <c r="N9" i="308"/>
  <c r="L9" i="308"/>
  <c r="J9" i="308"/>
  <c r="H9" i="308"/>
  <c r="F9" i="308"/>
  <c r="D9" i="308"/>
  <c r="X8" i="308"/>
  <c r="V8" i="308"/>
  <c r="T8" i="308"/>
  <c r="R8" i="308"/>
  <c r="P8" i="308"/>
  <c r="N8" i="308"/>
  <c r="L8" i="308"/>
  <c r="J8" i="308"/>
  <c r="H8" i="308"/>
  <c r="F8" i="308"/>
  <c r="D8" i="308"/>
  <c r="X7" i="308"/>
  <c r="X12" i="308" s="1"/>
  <c r="V7" i="308"/>
  <c r="T7" i="308"/>
  <c r="R7" i="308"/>
  <c r="P7" i="308"/>
  <c r="N7" i="308"/>
  <c r="L7" i="308"/>
  <c r="J7" i="308"/>
  <c r="H7" i="308"/>
  <c r="F7" i="308"/>
  <c r="D7" i="308"/>
  <c r="X6" i="308"/>
  <c r="V6" i="308"/>
  <c r="T6" i="308"/>
  <c r="R6" i="308"/>
  <c r="R12" i="308" s="1"/>
  <c r="P6" i="308"/>
  <c r="N6" i="308"/>
  <c r="N12" i="308" s="1"/>
  <c r="L6" i="308"/>
  <c r="J6" i="308"/>
  <c r="J12" i="308" s="1"/>
  <c r="H6" i="308"/>
  <c r="F6" i="308"/>
  <c r="F12" i="308" s="1"/>
  <c r="D6" i="308"/>
  <c r="M20" i="307"/>
  <c r="V12" i="308" l="1"/>
  <c r="D12" i="308"/>
  <c r="Y12" i="308" s="1"/>
  <c r="V16" i="308" s="1"/>
  <c r="V24" i="308" s="1"/>
  <c r="Y7" i="308"/>
  <c r="Y9" i="308"/>
  <c r="Y10" i="308"/>
  <c r="Y8" i="308"/>
  <c r="B21" i="308"/>
  <c r="Y6" i="308"/>
  <c r="V25" i="307"/>
  <c r="F22" i="307"/>
  <c r="S19" i="307"/>
  <c r="S20" i="307" s="1"/>
  <c r="Q19" i="307"/>
  <c r="Q20" i="307" s="1"/>
  <c r="P19" i="307"/>
  <c r="P20" i="307" s="1"/>
  <c r="L19" i="307"/>
  <c r="L20" i="307" s="1"/>
  <c r="J19" i="307"/>
  <c r="J20" i="307" s="1"/>
  <c r="H19" i="307"/>
  <c r="H20" i="307" s="1"/>
  <c r="O18" i="307"/>
  <c r="O19" i="307" s="1"/>
  <c r="O20" i="307" s="1"/>
  <c r="I18" i="307"/>
  <c r="I19" i="307" s="1"/>
  <c r="I20" i="307" s="1"/>
  <c r="E18" i="307"/>
  <c r="E19" i="307" s="1"/>
  <c r="E20" i="307" s="1"/>
  <c r="D18" i="307"/>
  <c r="D19" i="307" s="1"/>
  <c r="D20" i="307" s="1"/>
  <c r="W12" i="307"/>
  <c r="K18" i="307" s="1"/>
  <c r="K19" i="307" s="1"/>
  <c r="K20" i="307" s="1"/>
  <c r="U12" i="307"/>
  <c r="T12" i="307"/>
  <c r="S12" i="307"/>
  <c r="Q12" i="307"/>
  <c r="P12" i="307"/>
  <c r="O12" i="307"/>
  <c r="N18" i="307" s="1"/>
  <c r="N19" i="307" s="1"/>
  <c r="N20" i="307" s="1"/>
  <c r="M12" i="307"/>
  <c r="M18" i="307" s="1"/>
  <c r="M19" i="307" s="1"/>
  <c r="L12" i="307"/>
  <c r="K12" i="307"/>
  <c r="G18" i="307" s="1"/>
  <c r="G19" i="307" s="1"/>
  <c r="G20" i="307" s="1"/>
  <c r="I12" i="307"/>
  <c r="F18" i="307" s="1"/>
  <c r="F19" i="307" s="1"/>
  <c r="F20" i="307" s="1"/>
  <c r="G12" i="307"/>
  <c r="E12" i="307"/>
  <c r="C12" i="307"/>
  <c r="B18" i="307" s="1"/>
  <c r="B19" i="307" s="1"/>
  <c r="B20" i="307" s="1"/>
  <c r="X11" i="307"/>
  <c r="V11" i="307"/>
  <c r="T11" i="307"/>
  <c r="R11" i="307"/>
  <c r="P11" i="307"/>
  <c r="N11" i="307"/>
  <c r="L11" i="307"/>
  <c r="J11" i="307"/>
  <c r="H11" i="307"/>
  <c r="F11" i="307"/>
  <c r="D11" i="307"/>
  <c r="Y11" i="307" s="1"/>
  <c r="X10" i="307"/>
  <c r="V10" i="307"/>
  <c r="T10" i="307"/>
  <c r="R10" i="307"/>
  <c r="P10" i="307"/>
  <c r="N10" i="307"/>
  <c r="L10" i="307"/>
  <c r="J10" i="307"/>
  <c r="H10" i="307"/>
  <c r="F10" i="307"/>
  <c r="D10" i="307"/>
  <c r="Y10" i="307" s="1"/>
  <c r="X9" i="307"/>
  <c r="V9" i="307"/>
  <c r="T9" i="307"/>
  <c r="R9" i="307"/>
  <c r="P9" i="307"/>
  <c r="N9" i="307"/>
  <c r="L9" i="307"/>
  <c r="J9" i="307"/>
  <c r="H9" i="307"/>
  <c r="F9" i="307"/>
  <c r="D9" i="307"/>
  <c r="Y9" i="307" s="1"/>
  <c r="X8" i="307"/>
  <c r="V8" i="307"/>
  <c r="T8" i="307"/>
  <c r="R8" i="307"/>
  <c r="P8" i="307"/>
  <c r="N8" i="307"/>
  <c r="L8" i="307"/>
  <c r="J8" i="307"/>
  <c r="H8" i="307"/>
  <c r="F8" i="307"/>
  <c r="D8" i="307"/>
  <c r="X7" i="307"/>
  <c r="X12" i="307" s="1"/>
  <c r="V7" i="307"/>
  <c r="T7" i="307"/>
  <c r="R7" i="307"/>
  <c r="P7" i="307"/>
  <c r="N7" i="307"/>
  <c r="L7" i="307"/>
  <c r="J7" i="307"/>
  <c r="H7" i="307"/>
  <c r="F7" i="307"/>
  <c r="D7" i="307"/>
  <c r="X6" i="307"/>
  <c r="V6" i="307"/>
  <c r="V12" i="307" s="1"/>
  <c r="T6" i="307"/>
  <c r="R6" i="307"/>
  <c r="R12" i="307" s="1"/>
  <c r="P6" i="307"/>
  <c r="N6" i="307"/>
  <c r="N12" i="307" s="1"/>
  <c r="L6" i="307"/>
  <c r="J6" i="307"/>
  <c r="H6" i="307"/>
  <c r="H12" i="307" s="1"/>
  <c r="F6" i="307"/>
  <c r="F12" i="307" s="1"/>
  <c r="D6" i="307"/>
  <c r="Y7" i="307" l="1"/>
  <c r="Y6" i="307"/>
  <c r="J12" i="307"/>
  <c r="Y8" i="307"/>
  <c r="D12" i="307"/>
  <c r="B21" i="307"/>
  <c r="Y12" i="307"/>
  <c r="V16" i="307" s="1"/>
  <c r="V24" i="307" s="1"/>
  <c r="V25" i="306" l="1"/>
  <c r="F22" i="306"/>
  <c r="S19" i="306"/>
  <c r="S20" i="306" s="1"/>
  <c r="Q19" i="306"/>
  <c r="Q20" i="306" s="1"/>
  <c r="P19" i="306"/>
  <c r="P20" i="306" s="1"/>
  <c r="L19" i="306"/>
  <c r="L20" i="306" s="1"/>
  <c r="J19" i="306"/>
  <c r="J20" i="306" s="1"/>
  <c r="H19" i="306"/>
  <c r="H20" i="306" s="1"/>
  <c r="W12" i="306"/>
  <c r="K18" i="306" s="1"/>
  <c r="K19" i="306" s="1"/>
  <c r="K20" i="306" s="1"/>
  <c r="U12" i="306"/>
  <c r="I18" i="306" s="1"/>
  <c r="I19" i="306" s="1"/>
  <c r="I20" i="306" s="1"/>
  <c r="S12" i="306"/>
  <c r="Q12" i="306"/>
  <c r="O18" i="306" s="1"/>
  <c r="O19" i="306" s="1"/>
  <c r="O20" i="306" s="1"/>
  <c r="O12" i="306"/>
  <c r="N18" i="306" s="1"/>
  <c r="N19" i="306" s="1"/>
  <c r="N20" i="306" s="1"/>
  <c r="M12" i="306"/>
  <c r="M18" i="306" s="1"/>
  <c r="M19" i="306" s="1"/>
  <c r="M20" i="306" s="1"/>
  <c r="K12" i="306"/>
  <c r="G18" i="306" s="1"/>
  <c r="G19" i="306" s="1"/>
  <c r="G20" i="306" s="1"/>
  <c r="I12" i="306"/>
  <c r="F18" i="306" s="1"/>
  <c r="F19" i="306" s="1"/>
  <c r="F20" i="306" s="1"/>
  <c r="G12" i="306"/>
  <c r="E18" i="306" s="1"/>
  <c r="E19" i="306" s="1"/>
  <c r="E20" i="306" s="1"/>
  <c r="E12" i="306"/>
  <c r="D18" i="306" s="1"/>
  <c r="D19" i="306" s="1"/>
  <c r="D20" i="306" s="1"/>
  <c r="C12" i="306"/>
  <c r="B18" i="306" s="1"/>
  <c r="B19" i="306" s="1"/>
  <c r="B20" i="306" s="1"/>
  <c r="X11" i="306"/>
  <c r="V11" i="306"/>
  <c r="T11" i="306"/>
  <c r="R11" i="306"/>
  <c r="P11" i="306"/>
  <c r="N11" i="306"/>
  <c r="L11" i="306"/>
  <c r="J11" i="306"/>
  <c r="H11" i="306"/>
  <c r="F11" i="306"/>
  <c r="D11" i="306"/>
  <c r="Y11" i="306" s="1"/>
  <c r="X10" i="306"/>
  <c r="V10" i="306"/>
  <c r="T10" i="306"/>
  <c r="R10" i="306"/>
  <c r="P10" i="306"/>
  <c r="N10" i="306"/>
  <c r="L10" i="306"/>
  <c r="J10" i="306"/>
  <c r="H10" i="306"/>
  <c r="F10" i="306"/>
  <c r="D10" i="306"/>
  <c r="Y10" i="306" s="1"/>
  <c r="X9" i="306"/>
  <c r="V9" i="306"/>
  <c r="T9" i="306"/>
  <c r="R9" i="306"/>
  <c r="P9" i="306"/>
  <c r="N9" i="306"/>
  <c r="L9" i="306"/>
  <c r="J9" i="306"/>
  <c r="H9" i="306"/>
  <c r="F9" i="306"/>
  <c r="D9" i="306"/>
  <c r="Y9" i="306" s="1"/>
  <c r="X8" i="306"/>
  <c r="V8" i="306"/>
  <c r="T8" i="306"/>
  <c r="R8" i="306"/>
  <c r="P8" i="306"/>
  <c r="N8" i="306"/>
  <c r="L8" i="306"/>
  <c r="J8" i="306"/>
  <c r="H8" i="306"/>
  <c r="F8" i="306"/>
  <c r="D8" i="306"/>
  <c r="X7" i="306"/>
  <c r="V7" i="306"/>
  <c r="T7" i="306"/>
  <c r="R7" i="306"/>
  <c r="P7" i="306"/>
  <c r="N7" i="306"/>
  <c r="L7" i="306"/>
  <c r="J7" i="306"/>
  <c r="H7" i="306"/>
  <c r="F7" i="306"/>
  <c r="D7" i="306"/>
  <c r="X6" i="306"/>
  <c r="X12" i="306" s="1"/>
  <c r="V6" i="306"/>
  <c r="V12" i="306" s="1"/>
  <c r="T6" i="306"/>
  <c r="T12" i="306" s="1"/>
  <c r="R6" i="306"/>
  <c r="R12" i="306" s="1"/>
  <c r="P6" i="306"/>
  <c r="P12" i="306" s="1"/>
  <c r="N6" i="306"/>
  <c r="N12" i="306" s="1"/>
  <c r="L6" i="306"/>
  <c r="L12" i="306" s="1"/>
  <c r="J6" i="306"/>
  <c r="H6" i="306"/>
  <c r="F6" i="306"/>
  <c r="F12" i="306" s="1"/>
  <c r="D6" i="306"/>
  <c r="V25" i="305"/>
  <c r="F22" i="305"/>
  <c r="S19" i="305"/>
  <c r="S20" i="305" s="1"/>
  <c r="Q19" i="305"/>
  <c r="Q20" i="305" s="1"/>
  <c r="P19" i="305"/>
  <c r="P20" i="305" s="1"/>
  <c r="L19" i="305"/>
  <c r="L20" i="305" s="1"/>
  <c r="J19" i="305"/>
  <c r="J20" i="305" s="1"/>
  <c r="H19" i="305"/>
  <c r="H20" i="305" s="1"/>
  <c r="W12" i="305"/>
  <c r="K18" i="305" s="1"/>
  <c r="K19" i="305" s="1"/>
  <c r="K20" i="305" s="1"/>
  <c r="U12" i="305"/>
  <c r="I18" i="305" s="1"/>
  <c r="I19" i="305" s="1"/>
  <c r="I20" i="305" s="1"/>
  <c r="S12" i="305"/>
  <c r="Q12" i="305"/>
  <c r="O18" i="305" s="1"/>
  <c r="O19" i="305" s="1"/>
  <c r="O20" i="305" s="1"/>
  <c r="O12" i="305"/>
  <c r="N18" i="305" s="1"/>
  <c r="N19" i="305" s="1"/>
  <c r="N20" i="305" s="1"/>
  <c r="M12" i="305"/>
  <c r="M18" i="305" s="1"/>
  <c r="M19" i="305" s="1"/>
  <c r="M20" i="305" s="1"/>
  <c r="K12" i="305"/>
  <c r="G18" i="305" s="1"/>
  <c r="G19" i="305" s="1"/>
  <c r="G20" i="305" s="1"/>
  <c r="I12" i="305"/>
  <c r="F18" i="305" s="1"/>
  <c r="F19" i="305" s="1"/>
  <c r="F20" i="305" s="1"/>
  <c r="G12" i="305"/>
  <c r="E18" i="305" s="1"/>
  <c r="E19" i="305" s="1"/>
  <c r="E20" i="305" s="1"/>
  <c r="E12" i="305"/>
  <c r="D18" i="305" s="1"/>
  <c r="D19" i="305" s="1"/>
  <c r="D20" i="305" s="1"/>
  <c r="C12" i="305"/>
  <c r="B18" i="305" s="1"/>
  <c r="B19" i="305" s="1"/>
  <c r="B20" i="305" s="1"/>
  <c r="X11" i="305"/>
  <c r="V11" i="305"/>
  <c r="T11" i="305"/>
  <c r="R11" i="305"/>
  <c r="P11" i="305"/>
  <c r="N11" i="305"/>
  <c r="L11" i="305"/>
  <c r="J11" i="305"/>
  <c r="H11" i="305"/>
  <c r="Y11" i="305" s="1"/>
  <c r="F11" i="305"/>
  <c r="D11" i="305"/>
  <c r="X10" i="305"/>
  <c r="V10" i="305"/>
  <c r="T10" i="305"/>
  <c r="R10" i="305"/>
  <c r="P10" i="305"/>
  <c r="N10" i="305"/>
  <c r="L10" i="305"/>
  <c r="J10" i="305"/>
  <c r="H10" i="305"/>
  <c r="Y10" i="305" s="1"/>
  <c r="F10" i="305"/>
  <c r="D10" i="305"/>
  <c r="X9" i="305"/>
  <c r="V9" i="305"/>
  <c r="T9" i="305"/>
  <c r="R9" i="305"/>
  <c r="P9" i="305"/>
  <c r="N9" i="305"/>
  <c r="L9" i="305"/>
  <c r="J9" i="305"/>
  <c r="H9" i="305"/>
  <c r="F9" i="305"/>
  <c r="D9" i="305"/>
  <c r="X8" i="305"/>
  <c r="V8" i="305"/>
  <c r="T8" i="305"/>
  <c r="R8" i="305"/>
  <c r="P8" i="305"/>
  <c r="N8" i="305"/>
  <c r="L8" i="305"/>
  <c r="J8" i="305"/>
  <c r="H8" i="305"/>
  <c r="F8" i="305"/>
  <c r="D8" i="305"/>
  <c r="X7" i="305"/>
  <c r="V7" i="305"/>
  <c r="T7" i="305"/>
  <c r="R7" i="305"/>
  <c r="P7" i="305"/>
  <c r="N7" i="305"/>
  <c r="L7" i="305"/>
  <c r="J7" i="305"/>
  <c r="H7" i="305"/>
  <c r="F7" i="305"/>
  <c r="D7" i="305"/>
  <c r="X6" i="305"/>
  <c r="X12" i="305" s="1"/>
  <c r="V6" i="305"/>
  <c r="V12" i="305" s="1"/>
  <c r="T6" i="305"/>
  <c r="T12" i="305" s="1"/>
  <c r="R6" i="305"/>
  <c r="R12" i="305" s="1"/>
  <c r="P6" i="305"/>
  <c r="P12" i="305" s="1"/>
  <c r="N6" i="305"/>
  <c r="N12" i="305" s="1"/>
  <c r="L6" i="305"/>
  <c r="L12" i="305" s="1"/>
  <c r="J6" i="305"/>
  <c r="H6" i="305"/>
  <c r="F6" i="305"/>
  <c r="F12" i="305" s="1"/>
  <c r="D6" i="305"/>
  <c r="J12" i="306" l="1"/>
  <c r="H12" i="306"/>
  <c r="Y8" i="306"/>
  <c r="Y7" i="306"/>
  <c r="D12" i="306"/>
  <c r="B21" i="306"/>
  <c r="Y6" i="306"/>
  <c r="Y9" i="305"/>
  <c r="Y8" i="305"/>
  <c r="J12" i="305"/>
  <c r="H12" i="305"/>
  <c r="Y7" i="305"/>
  <c r="D12" i="305"/>
  <c r="B21" i="305"/>
  <c r="Y6" i="305"/>
  <c r="Y12" i="306" l="1"/>
  <c r="V16" i="306" s="1"/>
  <c r="V24" i="306" s="1"/>
  <c r="Y12" i="305"/>
  <c r="V16" i="305" s="1"/>
  <c r="V24" i="305" s="1"/>
  <c r="V25" i="304" l="1"/>
  <c r="F22" i="304"/>
  <c r="S19" i="304"/>
  <c r="S20" i="304" s="1"/>
  <c r="Q19" i="304"/>
  <c r="Q20" i="304" s="1"/>
  <c r="P19" i="304"/>
  <c r="P20" i="304" s="1"/>
  <c r="L19" i="304"/>
  <c r="L20" i="304" s="1"/>
  <c r="J19" i="304"/>
  <c r="J20" i="304" s="1"/>
  <c r="H19" i="304"/>
  <c r="H20" i="304" s="1"/>
  <c r="M18" i="304"/>
  <c r="M19" i="304" s="1"/>
  <c r="M20" i="304" s="1"/>
  <c r="K18" i="304"/>
  <c r="K19" i="304" s="1"/>
  <c r="K20" i="304" s="1"/>
  <c r="E18" i="304"/>
  <c r="E19" i="304" s="1"/>
  <c r="E20" i="304" s="1"/>
  <c r="W12" i="304"/>
  <c r="V12" i="304"/>
  <c r="U12" i="304"/>
  <c r="I18" i="304" s="1"/>
  <c r="I19" i="304" s="1"/>
  <c r="I20" i="304" s="1"/>
  <c r="S12" i="304"/>
  <c r="Q12" i="304"/>
  <c r="O18" i="304" s="1"/>
  <c r="O19" i="304" s="1"/>
  <c r="O20" i="304" s="1"/>
  <c r="P12" i="304"/>
  <c r="O12" i="304"/>
  <c r="N18" i="304" s="1"/>
  <c r="N19" i="304" s="1"/>
  <c r="N20" i="304" s="1"/>
  <c r="N12" i="304"/>
  <c r="M12" i="304"/>
  <c r="K12" i="304"/>
  <c r="G18" i="304" s="1"/>
  <c r="G19" i="304" s="1"/>
  <c r="G20" i="304" s="1"/>
  <c r="I12" i="304"/>
  <c r="F18" i="304" s="1"/>
  <c r="F19" i="304" s="1"/>
  <c r="F20" i="304" s="1"/>
  <c r="H12" i="304"/>
  <c r="G12" i="304"/>
  <c r="F12" i="304"/>
  <c r="E12" i="304"/>
  <c r="D18" i="304" s="1"/>
  <c r="D19" i="304" s="1"/>
  <c r="D20" i="304" s="1"/>
  <c r="C12" i="304"/>
  <c r="B18" i="304" s="1"/>
  <c r="X11" i="304"/>
  <c r="V11" i="304"/>
  <c r="T11" i="304"/>
  <c r="R11" i="304"/>
  <c r="P11" i="304"/>
  <c r="N11" i="304"/>
  <c r="L11" i="304"/>
  <c r="J11" i="304"/>
  <c r="Y11" i="304" s="1"/>
  <c r="H11" i="304"/>
  <c r="F11" i="304"/>
  <c r="D11" i="304"/>
  <c r="X10" i="304"/>
  <c r="V10" i="304"/>
  <c r="T10" i="304"/>
  <c r="R10" i="304"/>
  <c r="P10" i="304"/>
  <c r="N10" i="304"/>
  <c r="L10" i="304"/>
  <c r="J10" i="304"/>
  <c r="Y10" i="304" s="1"/>
  <c r="H10" i="304"/>
  <c r="F10" i="304"/>
  <c r="D10" i="304"/>
  <c r="X9" i="304"/>
  <c r="V9" i="304"/>
  <c r="T9" i="304"/>
  <c r="R9" i="304"/>
  <c r="P9" i="304"/>
  <c r="N9" i="304"/>
  <c r="L9" i="304"/>
  <c r="J9" i="304"/>
  <c r="H9" i="304"/>
  <c r="F9" i="304"/>
  <c r="D9" i="304"/>
  <c r="X8" i="304"/>
  <c r="V8" i="304"/>
  <c r="T8" i="304"/>
  <c r="R8" i="304"/>
  <c r="P8" i="304"/>
  <c r="N8" i="304"/>
  <c r="L8" i="304"/>
  <c r="J8" i="304"/>
  <c r="H8" i="304"/>
  <c r="F8" i="304"/>
  <c r="D8" i="304"/>
  <c r="X7" i="304"/>
  <c r="V7" i="304"/>
  <c r="T7" i="304"/>
  <c r="R7" i="304"/>
  <c r="P7" i="304"/>
  <c r="N7" i="304"/>
  <c r="L7" i="304"/>
  <c r="J7" i="304"/>
  <c r="H7" i="304"/>
  <c r="F7" i="304"/>
  <c r="D7" i="304"/>
  <c r="X6" i="304"/>
  <c r="X12" i="304" s="1"/>
  <c r="V6" i="304"/>
  <c r="T6" i="304"/>
  <c r="T12" i="304" s="1"/>
  <c r="R6" i="304"/>
  <c r="R12" i="304" s="1"/>
  <c r="P6" i="304"/>
  <c r="N6" i="304"/>
  <c r="L6" i="304"/>
  <c r="L12" i="304" s="1"/>
  <c r="J6" i="304"/>
  <c r="H6" i="304"/>
  <c r="F6" i="304"/>
  <c r="D6" i="304"/>
  <c r="D20" i="303"/>
  <c r="F22" i="303"/>
  <c r="B16" i="303"/>
  <c r="J12" i="304" l="1"/>
  <c r="Y9" i="304"/>
  <c r="Y7" i="304"/>
  <c r="D12" i="304"/>
  <c r="Y8" i="304"/>
  <c r="B19" i="304"/>
  <c r="B20" i="304" s="1"/>
  <c r="B21" i="304" s="1"/>
  <c r="Y6" i="304"/>
  <c r="V25" i="303"/>
  <c r="S19" i="303"/>
  <c r="S20" i="303" s="1"/>
  <c r="Q19" i="303"/>
  <c r="Q20" i="303" s="1"/>
  <c r="P19" i="303"/>
  <c r="P20" i="303" s="1"/>
  <c r="L19" i="303"/>
  <c r="L20" i="303" s="1"/>
  <c r="J19" i="303"/>
  <c r="J20" i="303" s="1"/>
  <c r="I19" i="303"/>
  <c r="I20" i="303" s="1"/>
  <c r="H19" i="303"/>
  <c r="H20" i="303" s="1"/>
  <c r="O18" i="303"/>
  <c r="O19" i="303" s="1"/>
  <c r="O20" i="303" s="1"/>
  <c r="I18" i="303"/>
  <c r="D18" i="303"/>
  <c r="D19" i="303" s="1"/>
  <c r="X12" i="303"/>
  <c r="W12" i="303"/>
  <c r="K18" i="303" s="1"/>
  <c r="K19" i="303" s="1"/>
  <c r="K20" i="303" s="1"/>
  <c r="U12" i="303"/>
  <c r="S12" i="303"/>
  <c r="Q12" i="303"/>
  <c r="P12" i="303"/>
  <c r="O12" i="303"/>
  <c r="N18" i="303" s="1"/>
  <c r="N19" i="303" s="1"/>
  <c r="N20" i="303" s="1"/>
  <c r="M12" i="303"/>
  <c r="M18" i="303" s="1"/>
  <c r="M19" i="303" s="1"/>
  <c r="M20" i="303" s="1"/>
  <c r="K12" i="303"/>
  <c r="G18" i="303" s="1"/>
  <c r="G19" i="303" s="1"/>
  <c r="G20" i="303" s="1"/>
  <c r="I12" i="303"/>
  <c r="F18" i="303" s="1"/>
  <c r="F19" i="303" s="1"/>
  <c r="F20" i="303" s="1"/>
  <c r="H12" i="303"/>
  <c r="G12" i="303"/>
  <c r="E18" i="303" s="1"/>
  <c r="E19" i="303" s="1"/>
  <c r="E20" i="303" s="1"/>
  <c r="E12" i="303"/>
  <c r="C12" i="303"/>
  <c r="B18" i="303" s="1"/>
  <c r="B19" i="303" s="1"/>
  <c r="B20" i="303" s="1"/>
  <c r="X11" i="303"/>
  <c r="V11" i="303"/>
  <c r="T11" i="303"/>
  <c r="R11" i="303"/>
  <c r="P11" i="303"/>
  <c r="N11" i="303"/>
  <c r="L11" i="303"/>
  <c r="J11" i="303"/>
  <c r="H11" i="303"/>
  <c r="F11" i="303"/>
  <c r="D11" i="303"/>
  <c r="Y11" i="303" s="1"/>
  <c r="X10" i="303"/>
  <c r="V10" i="303"/>
  <c r="T10" i="303"/>
  <c r="R10" i="303"/>
  <c r="P10" i="303"/>
  <c r="N10" i="303"/>
  <c r="L10" i="303"/>
  <c r="J10" i="303"/>
  <c r="H10" i="303"/>
  <c r="F10" i="303"/>
  <c r="D10" i="303"/>
  <c r="Y10" i="303" s="1"/>
  <c r="X9" i="303"/>
  <c r="V9" i="303"/>
  <c r="T9" i="303"/>
  <c r="R9" i="303"/>
  <c r="P9" i="303"/>
  <c r="N9" i="303"/>
  <c r="L9" i="303"/>
  <c r="J9" i="303"/>
  <c r="H9" i="303"/>
  <c r="F9" i="303"/>
  <c r="D9" i="303"/>
  <c r="Y9" i="303" s="1"/>
  <c r="X8" i="303"/>
  <c r="V8" i="303"/>
  <c r="T8" i="303"/>
  <c r="R8" i="303"/>
  <c r="P8" i="303"/>
  <c r="N8" i="303"/>
  <c r="L8" i="303"/>
  <c r="J8" i="303"/>
  <c r="H8" i="303"/>
  <c r="F8" i="303"/>
  <c r="D8" i="303"/>
  <c r="Y8" i="303" s="1"/>
  <c r="X7" i="303"/>
  <c r="V7" i="303"/>
  <c r="T7" i="303"/>
  <c r="R7" i="303"/>
  <c r="P7" i="303"/>
  <c r="N7" i="303"/>
  <c r="L7" i="303"/>
  <c r="J7" i="303"/>
  <c r="H7" i="303"/>
  <c r="F7" i="303"/>
  <c r="D7" i="303"/>
  <c r="Y7" i="303" s="1"/>
  <c r="X6" i="303"/>
  <c r="V6" i="303"/>
  <c r="V12" i="303" s="1"/>
  <c r="T6" i="303"/>
  <c r="T12" i="303" s="1"/>
  <c r="R6" i="303"/>
  <c r="R12" i="303" s="1"/>
  <c r="P6" i="303"/>
  <c r="N6" i="303"/>
  <c r="N12" i="303" s="1"/>
  <c r="L6" i="303"/>
  <c r="L12" i="303" s="1"/>
  <c r="J6" i="303"/>
  <c r="J12" i="303" s="1"/>
  <c r="H6" i="303"/>
  <c r="F6" i="303"/>
  <c r="F12" i="303" s="1"/>
  <c r="D6" i="303"/>
  <c r="Y6" i="303" s="1"/>
  <c r="V25" i="302"/>
  <c r="F22" i="302"/>
  <c r="S19" i="302"/>
  <c r="S20" i="302" s="1"/>
  <c r="Q19" i="302"/>
  <c r="Q20" i="302" s="1"/>
  <c r="P19" i="302"/>
  <c r="P20" i="302" s="1"/>
  <c r="L19" i="302"/>
  <c r="L20" i="302" s="1"/>
  <c r="J19" i="302"/>
  <c r="J20" i="302" s="1"/>
  <c r="I19" i="302"/>
  <c r="I20" i="302" s="1"/>
  <c r="H19" i="302"/>
  <c r="H20" i="302" s="1"/>
  <c r="O18" i="302"/>
  <c r="O19" i="302" s="1"/>
  <c r="O20" i="302" s="1"/>
  <c r="I18" i="302"/>
  <c r="D18" i="302"/>
  <c r="D19" i="302" s="1"/>
  <c r="D20" i="302" s="1"/>
  <c r="X12" i="302"/>
  <c r="W12" i="302"/>
  <c r="K18" i="302" s="1"/>
  <c r="K19" i="302" s="1"/>
  <c r="K20" i="302" s="1"/>
  <c r="U12" i="302"/>
  <c r="S12" i="302"/>
  <c r="Q12" i="302"/>
  <c r="P12" i="302"/>
  <c r="O12" i="302"/>
  <c r="N18" i="302" s="1"/>
  <c r="N19" i="302" s="1"/>
  <c r="N20" i="302" s="1"/>
  <c r="M12" i="302"/>
  <c r="M18" i="302" s="1"/>
  <c r="M19" i="302" s="1"/>
  <c r="M20" i="302" s="1"/>
  <c r="K12" i="302"/>
  <c r="G18" i="302" s="1"/>
  <c r="G19" i="302" s="1"/>
  <c r="G20" i="302" s="1"/>
  <c r="I12" i="302"/>
  <c r="F18" i="302" s="1"/>
  <c r="F19" i="302" s="1"/>
  <c r="F20" i="302" s="1"/>
  <c r="G12" i="302"/>
  <c r="E18" i="302" s="1"/>
  <c r="E19" i="302" s="1"/>
  <c r="E20" i="302" s="1"/>
  <c r="E12" i="302"/>
  <c r="C12" i="302"/>
  <c r="B18" i="302" s="1"/>
  <c r="B19" i="302" s="1"/>
  <c r="B20" i="302" s="1"/>
  <c r="X11" i="302"/>
  <c r="V11" i="302"/>
  <c r="T11" i="302"/>
  <c r="R11" i="302"/>
  <c r="P11" i="302"/>
  <c r="N11" i="302"/>
  <c r="L11" i="302"/>
  <c r="J11" i="302"/>
  <c r="H11" i="302"/>
  <c r="F11" i="302"/>
  <c r="D11" i="302"/>
  <c r="Y11" i="302" s="1"/>
  <c r="X10" i="302"/>
  <c r="V10" i="302"/>
  <c r="T10" i="302"/>
  <c r="R10" i="302"/>
  <c r="P10" i="302"/>
  <c r="N10" i="302"/>
  <c r="L10" i="302"/>
  <c r="J10" i="302"/>
  <c r="H10" i="302"/>
  <c r="F10" i="302"/>
  <c r="D10" i="302"/>
  <c r="Y10" i="302" s="1"/>
  <c r="X9" i="302"/>
  <c r="V9" i="302"/>
  <c r="T9" i="302"/>
  <c r="R9" i="302"/>
  <c r="P9" i="302"/>
  <c r="N9" i="302"/>
  <c r="L9" i="302"/>
  <c r="J9" i="302"/>
  <c r="H9" i="302"/>
  <c r="H12" i="302" s="1"/>
  <c r="F9" i="302"/>
  <c r="D9" i="302"/>
  <c r="X8" i="302"/>
  <c r="V8" i="302"/>
  <c r="T8" i="302"/>
  <c r="R8" i="302"/>
  <c r="P8" i="302"/>
  <c r="N8" i="302"/>
  <c r="L8" i="302"/>
  <c r="J8" i="302"/>
  <c r="H8" i="302"/>
  <c r="F8" i="302"/>
  <c r="D8" i="302"/>
  <c r="X7" i="302"/>
  <c r="V7" i="302"/>
  <c r="T7" i="302"/>
  <c r="R7" i="302"/>
  <c r="P7" i="302"/>
  <c r="N7" i="302"/>
  <c r="L7" i="302"/>
  <c r="J7" i="302"/>
  <c r="H7" i="302"/>
  <c r="F7" i="302"/>
  <c r="D7" i="302"/>
  <c r="X6" i="302"/>
  <c r="V6" i="302"/>
  <c r="V12" i="302" s="1"/>
  <c r="T6" i="302"/>
  <c r="R6" i="302"/>
  <c r="R12" i="302" s="1"/>
  <c r="P6" i="302"/>
  <c r="N6" i="302"/>
  <c r="N12" i="302" s="1"/>
  <c r="L6" i="302"/>
  <c r="L12" i="302" s="1"/>
  <c r="J6" i="302"/>
  <c r="H6" i="302"/>
  <c r="F6" i="302"/>
  <c r="F12" i="302" s="1"/>
  <c r="D6" i="302"/>
  <c r="Y12" i="304" l="1"/>
  <c r="V16" i="304" s="1"/>
  <c r="V24" i="304" s="1"/>
  <c r="B21" i="303"/>
  <c r="D12" i="303"/>
  <c r="Y12" i="303" s="1"/>
  <c r="V16" i="303" s="1"/>
  <c r="V24" i="303" s="1"/>
  <c r="T12" i="302"/>
  <c r="Y7" i="302"/>
  <c r="Y8" i="302"/>
  <c r="Y6" i="302"/>
  <c r="J12" i="302"/>
  <c r="Y9" i="302"/>
  <c r="B21" i="302"/>
  <c r="D12" i="302"/>
  <c r="V25" i="301"/>
  <c r="F22" i="301"/>
  <c r="S19" i="301"/>
  <c r="S20" i="301" s="1"/>
  <c r="Q19" i="301"/>
  <c r="Q20" i="301" s="1"/>
  <c r="P19" i="301"/>
  <c r="P20" i="301" s="1"/>
  <c r="L19" i="301"/>
  <c r="L20" i="301" s="1"/>
  <c r="J19" i="301"/>
  <c r="J20" i="301" s="1"/>
  <c r="H19" i="301"/>
  <c r="H20" i="301" s="1"/>
  <c r="O18" i="301"/>
  <c r="O19" i="301" s="1"/>
  <c r="O20" i="301" s="1"/>
  <c r="E18" i="301"/>
  <c r="E19" i="301" s="1"/>
  <c r="E20" i="301" s="1"/>
  <c r="D18" i="301"/>
  <c r="D19" i="301" s="1"/>
  <c r="D20" i="301" s="1"/>
  <c r="W12" i="301"/>
  <c r="K18" i="301" s="1"/>
  <c r="K19" i="301" s="1"/>
  <c r="K20" i="301" s="1"/>
  <c r="U12" i="301"/>
  <c r="I18" i="301" s="1"/>
  <c r="I19" i="301" s="1"/>
  <c r="I20" i="301" s="1"/>
  <c r="T12" i="301"/>
  <c r="S12" i="301"/>
  <c r="Q12" i="301"/>
  <c r="P12" i="301"/>
  <c r="O12" i="301"/>
  <c r="N18" i="301" s="1"/>
  <c r="N19" i="301" s="1"/>
  <c r="N20" i="301" s="1"/>
  <c r="M12" i="301"/>
  <c r="M18" i="301" s="1"/>
  <c r="M19" i="301" s="1"/>
  <c r="M20" i="301" s="1"/>
  <c r="L12" i="301"/>
  <c r="K12" i="301"/>
  <c r="G18" i="301" s="1"/>
  <c r="G19" i="301" s="1"/>
  <c r="G20" i="301" s="1"/>
  <c r="I12" i="301"/>
  <c r="F18" i="301" s="1"/>
  <c r="F19" i="301" s="1"/>
  <c r="F20" i="301" s="1"/>
  <c r="G12" i="301"/>
  <c r="E12" i="301"/>
  <c r="C12" i="301"/>
  <c r="B18" i="301" s="1"/>
  <c r="B19" i="301" s="1"/>
  <c r="B20" i="301" s="1"/>
  <c r="X11" i="301"/>
  <c r="V11" i="301"/>
  <c r="T11" i="301"/>
  <c r="R11" i="301"/>
  <c r="P11" i="301"/>
  <c r="N11" i="301"/>
  <c r="L11" i="301"/>
  <c r="J11" i="301"/>
  <c r="H11" i="301"/>
  <c r="F11" i="301"/>
  <c r="D11" i="301"/>
  <c r="Y11" i="301" s="1"/>
  <c r="X10" i="301"/>
  <c r="V10" i="301"/>
  <c r="T10" i="301"/>
  <c r="R10" i="301"/>
  <c r="P10" i="301"/>
  <c r="N10" i="301"/>
  <c r="L10" i="301"/>
  <c r="J10" i="301"/>
  <c r="H10" i="301"/>
  <c r="F10" i="301"/>
  <c r="D10" i="301"/>
  <c r="Y10" i="301" s="1"/>
  <c r="X9" i="301"/>
  <c r="V9" i="301"/>
  <c r="T9" i="301"/>
  <c r="R9" i="301"/>
  <c r="P9" i="301"/>
  <c r="N9" i="301"/>
  <c r="L9" i="301"/>
  <c r="J9" i="301"/>
  <c r="H9" i="301"/>
  <c r="F9" i="301"/>
  <c r="D9" i="301"/>
  <c r="X8" i="301"/>
  <c r="X12" i="301" s="1"/>
  <c r="V8" i="301"/>
  <c r="T8" i="301"/>
  <c r="R8" i="301"/>
  <c r="P8" i="301"/>
  <c r="N8" i="301"/>
  <c r="L8" i="301"/>
  <c r="J8" i="301"/>
  <c r="H8" i="301"/>
  <c r="F8" i="301"/>
  <c r="D8" i="301"/>
  <c r="X7" i="301"/>
  <c r="V7" i="301"/>
  <c r="T7" i="301"/>
  <c r="R7" i="301"/>
  <c r="P7" i="301"/>
  <c r="N7" i="301"/>
  <c r="L7" i="301"/>
  <c r="J7" i="301"/>
  <c r="H7" i="301"/>
  <c r="H12" i="301" s="1"/>
  <c r="F7" i="301"/>
  <c r="D7" i="301"/>
  <c r="Y7" i="301" s="1"/>
  <c r="X6" i="301"/>
  <c r="V6" i="301"/>
  <c r="T6" i="301"/>
  <c r="R6" i="301"/>
  <c r="R12" i="301" s="1"/>
  <c r="P6" i="301"/>
  <c r="N6" i="301"/>
  <c r="N12" i="301" s="1"/>
  <c r="L6" i="301"/>
  <c r="J6" i="301"/>
  <c r="J12" i="301" s="1"/>
  <c r="H6" i="301"/>
  <c r="F6" i="301"/>
  <c r="F12" i="301" s="1"/>
  <c r="D6" i="301"/>
  <c r="Y6" i="301" s="1"/>
  <c r="V25" i="300"/>
  <c r="F22" i="300"/>
  <c r="S19" i="300"/>
  <c r="S20" i="300" s="1"/>
  <c r="Q19" i="300"/>
  <c r="Q20" i="300" s="1"/>
  <c r="P19" i="300"/>
  <c r="P20" i="300" s="1"/>
  <c r="L19" i="300"/>
  <c r="L20" i="300" s="1"/>
  <c r="J19" i="300"/>
  <c r="J20" i="300" s="1"/>
  <c r="H19" i="300"/>
  <c r="H20" i="300" s="1"/>
  <c r="M18" i="300"/>
  <c r="M19" i="300" s="1"/>
  <c r="M20" i="300" s="1"/>
  <c r="F18" i="300"/>
  <c r="F19" i="300" s="1"/>
  <c r="F20" i="300" s="1"/>
  <c r="W12" i="300"/>
  <c r="K18" i="300" s="1"/>
  <c r="K19" i="300" s="1"/>
  <c r="K20" i="300" s="1"/>
  <c r="U12" i="300"/>
  <c r="I18" i="300" s="1"/>
  <c r="I19" i="300" s="1"/>
  <c r="I20" i="300" s="1"/>
  <c r="S12" i="300"/>
  <c r="Q12" i="300"/>
  <c r="O18" i="300" s="1"/>
  <c r="O19" i="300" s="1"/>
  <c r="O20" i="300" s="1"/>
  <c r="O12" i="300"/>
  <c r="N18" i="300" s="1"/>
  <c r="N19" i="300" s="1"/>
  <c r="N20" i="300" s="1"/>
  <c r="N12" i="300"/>
  <c r="M12" i="300"/>
  <c r="K12" i="300"/>
  <c r="G18" i="300" s="1"/>
  <c r="G19" i="300" s="1"/>
  <c r="G20" i="300" s="1"/>
  <c r="I12" i="300"/>
  <c r="G12" i="300"/>
  <c r="E18" i="300" s="1"/>
  <c r="E19" i="300" s="1"/>
  <c r="E20" i="300" s="1"/>
  <c r="F12" i="300"/>
  <c r="E12" i="300"/>
  <c r="D18" i="300" s="1"/>
  <c r="D19" i="300" s="1"/>
  <c r="D20" i="300" s="1"/>
  <c r="C12" i="300"/>
  <c r="B18" i="300" s="1"/>
  <c r="B19" i="300" s="1"/>
  <c r="B20" i="300" s="1"/>
  <c r="X11" i="300"/>
  <c r="V11" i="300"/>
  <c r="T11" i="300"/>
  <c r="R11" i="300"/>
  <c r="P11" i="300"/>
  <c r="N11" i="300"/>
  <c r="L11" i="300"/>
  <c r="J11" i="300"/>
  <c r="Y11" i="300" s="1"/>
  <c r="H11" i="300"/>
  <c r="F11" i="300"/>
  <c r="D11" i="300"/>
  <c r="X10" i="300"/>
  <c r="V10" i="300"/>
  <c r="T10" i="300"/>
  <c r="R10" i="300"/>
  <c r="P10" i="300"/>
  <c r="N10" i="300"/>
  <c r="L10" i="300"/>
  <c r="J10" i="300"/>
  <c r="H10" i="300"/>
  <c r="F10" i="300"/>
  <c r="D10" i="300"/>
  <c r="X9" i="300"/>
  <c r="V9" i="300"/>
  <c r="T9" i="300"/>
  <c r="R9" i="300"/>
  <c r="P9" i="300"/>
  <c r="N9" i="300"/>
  <c r="L9" i="300"/>
  <c r="J9" i="300"/>
  <c r="H9" i="300"/>
  <c r="F9" i="300"/>
  <c r="D9" i="300"/>
  <c r="X8" i="300"/>
  <c r="V8" i="300"/>
  <c r="T8" i="300"/>
  <c r="R8" i="300"/>
  <c r="P8" i="300"/>
  <c r="N8" i="300"/>
  <c r="L8" i="300"/>
  <c r="J8" i="300"/>
  <c r="H8" i="300"/>
  <c r="F8" i="300"/>
  <c r="D8" i="300"/>
  <c r="X7" i="300"/>
  <c r="V7" i="300"/>
  <c r="V12" i="300" s="1"/>
  <c r="T7" i="300"/>
  <c r="R7" i="300"/>
  <c r="P7" i="300"/>
  <c r="N7" i="300"/>
  <c r="L7" i="300"/>
  <c r="J7" i="300"/>
  <c r="H7" i="300"/>
  <c r="F7" i="300"/>
  <c r="D7" i="300"/>
  <c r="X6" i="300"/>
  <c r="V6" i="300"/>
  <c r="T6" i="300"/>
  <c r="T12" i="300" s="1"/>
  <c r="R6" i="300"/>
  <c r="R12" i="300" s="1"/>
  <c r="P6" i="300"/>
  <c r="P12" i="300" s="1"/>
  <c r="N6" i="300"/>
  <c r="L6" i="300"/>
  <c r="L12" i="300" s="1"/>
  <c r="J6" i="300"/>
  <c r="H6" i="300"/>
  <c r="F6" i="300"/>
  <c r="D6" i="300"/>
  <c r="V25" i="299"/>
  <c r="F22" i="299"/>
  <c r="S19" i="299"/>
  <c r="S20" i="299" s="1"/>
  <c r="Q19" i="299"/>
  <c r="Q20" i="299" s="1"/>
  <c r="P19" i="299"/>
  <c r="P20" i="299" s="1"/>
  <c r="L19" i="299"/>
  <c r="L20" i="299" s="1"/>
  <c r="J19" i="299"/>
  <c r="J20" i="299" s="1"/>
  <c r="H19" i="299"/>
  <c r="H20" i="299" s="1"/>
  <c r="K18" i="299"/>
  <c r="K19" i="299" s="1"/>
  <c r="K20" i="299" s="1"/>
  <c r="E18" i="299"/>
  <c r="E19" i="299" s="1"/>
  <c r="E20" i="299" s="1"/>
  <c r="W12" i="299"/>
  <c r="U12" i="299"/>
  <c r="I18" i="299" s="1"/>
  <c r="I19" i="299" s="1"/>
  <c r="I20" i="299" s="1"/>
  <c r="S12" i="299"/>
  <c r="Q12" i="299"/>
  <c r="O18" i="299" s="1"/>
  <c r="O19" i="299" s="1"/>
  <c r="O20" i="299" s="1"/>
  <c r="O12" i="299"/>
  <c r="N18" i="299" s="1"/>
  <c r="N19" i="299" s="1"/>
  <c r="N20" i="299" s="1"/>
  <c r="M12" i="299"/>
  <c r="M18" i="299" s="1"/>
  <c r="M19" i="299" s="1"/>
  <c r="M20" i="299" s="1"/>
  <c r="K12" i="299"/>
  <c r="G18" i="299" s="1"/>
  <c r="G19" i="299" s="1"/>
  <c r="G20" i="299" s="1"/>
  <c r="I12" i="299"/>
  <c r="F18" i="299" s="1"/>
  <c r="F19" i="299" s="1"/>
  <c r="F20" i="299" s="1"/>
  <c r="G12" i="299"/>
  <c r="E12" i="299"/>
  <c r="D18" i="299" s="1"/>
  <c r="D19" i="299" s="1"/>
  <c r="D20" i="299" s="1"/>
  <c r="C12" i="299"/>
  <c r="B18" i="299" s="1"/>
  <c r="B19" i="299" s="1"/>
  <c r="B20" i="299" s="1"/>
  <c r="X11" i="299"/>
  <c r="V11" i="299"/>
  <c r="T11" i="299"/>
  <c r="R11" i="299"/>
  <c r="P11" i="299"/>
  <c r="N11" i="299"/>
  <c r="L11" i="299"/>
  <c r="J11" i="299"/>
  <c r="H11" i="299"/>
  <c r="F11" i="299"/>
  <c r="D11" i="299"/>
  <c r="Y11" i="299" s="1"/>
  <c r="X10" i="299"/>
  <c r="V10" i="299"/>
  <c r="T10" i="299"/>
  <c r="R10" i="299"/>
  <c r="P10" i="299"/>
  <c r="N10" i="299"/>
  <c r="L10" i="299"/>
  <c r="J10" i="299"/>
  <c r="H10" i="299"/>
  <c r="F10" i="299"/>
  <c r="D10" i="299"/>
  <c r="Y10" i="299" s="1"/>
  <c r="X9" i="299"/>
  <c r="V9" i="299"/>
  <c r="T9" i="299"/>
  <c r="R9" i="299"/>
  <c r="P9" i="299"/>
  <c r="N9" i="299"/>
  <c r="L9" i="299"/>
  <c r="J9" i="299"/>
  <c r="H9" i="299"/>
  <c r="F9" i="299"/>
  <c r="D9" i="299"/>
  <c r="Y9" i="299" s="1"/>
  <c r="X8" i="299"/>
  <c r="V8" i="299"/>
  <c r="T8" i="299"/>
  <c r="R8" i="299"/>
  <c r="P8" i="299"/>
  <c r="N8" i="299"/>
  <c r="L8" i="299"/>
  <c r="J8" i="299"/>
  <c r="H8" i="299"/>
  <c r="F8" i="299"/>
  <c r="D8" i="299"/>
  <c r="X7" i="299"/>
  <c r="V7" i="299"/>
  <c r="T7" i="299"/>
  <c r="R7" i="299"/>
  <c r="P7" i="299"/>
  <c r="N7" i="299"/>
  <c r="L7" i="299"/>
  <c r="J7" i="299"/>
  <c r="H7" i="299"/>
  <c r="F7" i="299"/>
  <c r="D7" i="299"/>
  <c r="Y7" i="299" s="1"/>
  <c r="X6" i="299"/>
  <c r="X12" i="299" s="1"/>
  <c r="V6" i="299"/>
  <c r="V12" i="299" s="1"/>
  <c r="T6" i="299"/>
  <c r="T12" i="299" s="1"/>
  <c r="R6" i="299"/>
  <c r="R12" i="299" s="1"/>
  <c r="P6" i="299"/>
  <c r="P12" i="299" s="1"/>
  <c r="N6" i="299"/>
  <c r="N12" i="299" s="1"/>
  <c r="L6" i="299"/>
  <c r="L12" i="299" s="1"/>
  <c r="J6" i="299"/>
  <c r="H6" i="299"/>
  <c r="H12" i="299" s="1"/>
  <c r="F6" i="299"/>
  <c r="F12" i="299" s="1"/>
  <c r="D6" i="299"/>
  <c r="V25" i="298"/>
  <c r="F22" i="298"/>
  <c r="S19" i="298"/>
  <c r="S20" i="298" s="1"/>
  <c r="Q19" i="298"/>
  <c r="Q20" i="298" s="1"/>
  <c r="P19" i="298"/>
  <c r="P20" i="298" s="1"/>
  <c r="L19" i="298"/>
  <c r="L20" i="298" s="1"/>
  <c r="J19" i="298"/>
  <c r="J20" i="298" s="1"/>
  <c r="H19" i="298"/>
  <c r="H20" i="298" s="1"/>
  <c r="O18" i="298"/>
  <c r="O19" i="298" s="1"/>
  <c r="O20" i="298" s="1"/>
  <c r="I18" i="298"/>
  <c r="I19" i="298" s="1"/>
  <c r="I20" i="298" s="1"/>
  <c r="D18" i="298"/>
  <c r="D19" i="298" s="1"/>
  <c r="D20" i="298" s="1"/>
  <c r="X12" i="298"/>
  <c r="W12" i="298"/>
  <c r="K18" i="298" s="1"/>
  <c r="K19" i="298" s="1"/>
  <c r="K20" i="298" s="1"/>
  <c r="U12" i="298"/>
  <c r="T12" i="298"/>
  <c r="S12" i="298"/>
  <c r="Q12" i="298"/>
  <c r="P12" i="298"/>
  <c r="O12" i="298"/>
  <c r="N18" i="298" s="1"/>
  <c r="N19" i="298" s="1"/>
  <c r="N20" i="298" s="1"/>
  <c r="M12" i="298"/>
  <c r="M18" i="298" s="1"/>
  <c r="M19" i="298" s="1"/>
  <c r="M20" i="298" s="1"/>
  <c r="L12" i="298"/>
  <c r="K12" i="298"/>
  <c r="G18" i="298" s="1"/>
  <c r="G19" i="298" s="1"/>
  <c r="G20" i="298" s="1"/>
  <c r="I12" i="298"/>
  <c r="F18" i="298" s="1"/>
  <c r="F19" i="298" s="1"/>
  <c r="F20" i="298" s="1"/>
  <c r="H12" i="298"/>
  <c r="G12" i="298"/>
  <c r="E18" i="298" s="1"/>
  <c r="E19" i="298" s="1"/>
  <c r="E20" i="298" s="1"/>
  <c r="E12" i="298"/>
  <c r="C12" i="298"/>
  <c r="B18" i="298" s="1"/>
  <c r="B19" i="298" s="1"/>
  <c r="B20" i="298" s="1"/>
  <c r="X11" i="298"/>
  <c r="V11" i="298"/>
  <c r="T11" i="298"/>
  <c r="R11" i="298"/>
  <c r="P11" i="298"/>
  <c r="N11" i="298"/>
  <c r="L11" i="298"/>
  <c r="J11" i="298"/>
  <c r="H11" i="298"/>
  <c r="F11" i="298"/>
  <c r="D11" i="298"/>
  <c r="Y11" i="298" s="1"/>
  <c r="X10" i="298"/>
  <c r="V10" i="298"/>
  <c r="T10" i="298"/>
  <c r="R10" i="298"/>
  <c r="P10" i="298"/>
  <c r="N10" i="298"/>
  <c r="L10" i="298"/>
  <c r="J10" i="298"/>
  <c r="H10" i="298"/>
  <c r="F10" i="298"/>
  <c r="D10" i="298"/>
  <c r="Y10" i="298" s="1"/>
  <c r="X9" i="298"/>
  <c r="V9" i="298"/>
  <c r="T9" i="298"/>
  <c r="R9" i="298"/>
  <c r="P9" i="298"/>
  <c r="N9" i="298"/>
  <c r="L9" i="298"/>
  <c r="J9" i="298"/>
  <c r="H9" i="298"/>
  <c r="F9" i="298"/>
  <c r="D9" i="298"/>
  <c r="X8" i="298"/>
  <c r="V8" i="298"/>
  <c r="T8" i="298"/>
  <c r="R8" i="298"/>
  <c r="P8" i="298"/>
  <c r="N8" i="298"/>
  <c r="L8" i="298"/>
  <c r="J8" i="298"/>
  <c r="H8" i="298"/>
  <c r="F8" i="298"/>
  <c r="D8" i="298"/>
  <c r="X7" i="298"/>
  <c r="V7" i="298"/>
  <c r="T7" i="298"/>
  <c r="R7" i="298"/>
  <c r="P7" i="298"/>
  <c r="N7" i="298"/>
  <c r="L7" i="298"/>
  <c r="J7" i="298"/>
  <c r="H7" i="298"/>
  <c r="F7" i="298"/>
  <c r="D7" i="298"/>
  <c r="X6" i="298"/>
  <c r="V6" i="298"/>
  <c r="V12" i="298" s="1"/>
  <c r="T6" i="298"/>
  <c r="R6" i="298"/>
  <c r="R12" i="298" s="1"/>
  <c r="P6" i="298"/>
  <c r="N6" i="298"/>
  <c r="N12" i="298" s="1"/>
  <c r="L6" i="298"/>
  <c r="J6" i="298"/>
  <c r="H6" i="298"/>
  <c r="F6" i="298"/>
  <c r="F12" i="298" s="1"/>
  <c r="D6" i="298"/>
  <c r="V25" i="297"/>
  <c r="F22" i="297"/>
  <c r="S19" i="297"/>
  <c r="S20" i="297" s="1"/>
  <c r="Q19" i="297"/>
  <c r="Q20" i="297" s="1"/>
  <c r="P19" i="297"/>
  <c r="P20" i="297" s="1"/>
  <c r="L19" i="297"/>
  <c r="L20" i="297" s="1"/>
  <c r="J19" i="297"/>
  <c r="J20" i="297" s="1"/>
  <c r="H19" i="297"/>
  <c r="H20" i="297" s="1"/>
  <c r="O18" i="297"/>
  <c r="O19" i="297" s="1"/>
  <c r="O20" i="297" s="1"/>
  <c r="M18" i="297"/>
  <c r="M19" i="297" s="1"/>
  <c r="M20" i="297" s="1"/>
  <c r="K18" i="297"/>
  <c r="K19" i="297" s="1"/>
  <c r="K20" i="297" s="1"/>
  <c r="I18" i="297"/>
  <c r="I19" i="297" s="1"/>
  <c r="I20" i="297" s="1"/>
  <c r="E18" i="297"/>
  <c r="E19" i="297" s="1"/>
  <c r="E20" i="297" s="1"/>
  <c r="D18" i="297"/>
  <c r="D19" i="297" s="1"/>
  <c r="D20" i="297" s="1"/>
  <c r="W12" i="297"/>
  <c r="U12" i="297"/>
  <c r="T12" i="297"/>
  <c r="S12" i="297"/>
  <c r="Q12" i="297"/>
  <c r="P12" i="297"/>
  <c r="O12" i="297"/>
  <c r="N18" i="297" s="1"/>
  <c r="N19" i="297" s="1"/>
  <c r="N20" i="297" s="1"/>
  <c r="M12" i="297"/>
  <c r="L12" i="297"/>
  <c r="K12" i="297"/>
  <c r="G18" i="297" s="1"/>
  <c r="G19" i="297" s="1"/>
  <c r="G20" i="297" s="1"/>
  <c r="I12" i="297"/>
  <c r="F18" i="297" s="1"/>
  <c r="F19" i="297" s="1"/>
  <c r="F20" i="297" s="1"/>
  <c r="H12" i="297"/>
  <c r="G12" i="297"/>
  <c r="E12" i="297"/>
  <c r="C12" i="297"/>
  <c r="B18" i="297" s="1"/>
  <c r="B19" i="297" s="1"/>
  <c r="B20" i="297" s="1"/>
  <c r="X11" i="297"/>
  <c r="V11" i="297"/>
  <c r="T11" i="297"/>
  <c r="R11" i="297"/>
  <c r="P11" i="297"/>
  <c r="N11" i="297"/>
  <c r="L11" i="297"/>
  <c r="J11" i="297"/>
  <c r="H11" i="297"/>
  <c r="F11" i="297"/>
  <c r="Y11" i="297" s="1"/>
  <c r="D11" i="297"/>
  <c r="X10" i="297"/>
  <c r="V10" i="297"/>
  <c r="T10" i="297"/>
  <c r="R10" i="297"/>
  <c r="P10" i="297"/>
  <c r="N10" i="297"/>
  <c r="L10" i="297"/>
  <c r="J10" i="297"/>
  <c r="H10" i="297"/>
  <c r="F10" i="297"/>
  <c r="Y10" i="297" s="1"/>
  <c r="D10" i="297"/>
  <c r="X9" i="297"/>
  <c r="V9" i="297"/>
  <c r="T9" i="297"/>
  <c r="R9" i="297"/>
  <c r="P9" i="297"/>
  <c r="N9" i="297"/>
  <c r="L9" i="297"/>
  <c r="J9" i="297"/>
  <c r="H9" i="297"/>
  <c r="F9" i="297"/>
  <c r="D9" i="297"/>
  <c r="X8" i="297"/>
  <c r="V8" i="297"/>
  <c r="T8" i="297"/>
  <c r="R8" i="297"/>
  <c r="P8" i="297"/>
  <c r="N8" i="297"/>
  <c r="L8" i="297"/>
  <c r="J8" i="297"/>
  <c r="H8" i="297"/>
  <c r="F8" i="297"/>
  <c r="D8" i="297"/>
  <c r="X7" i="297"/>
  <c r="V7" i="297"/>
  <c r="T7" i="297"/>
  <c r="R7" i="297"/>
  <c r="P7" i="297"/>
  <c r="N7" i="297"/>
  <c r="L7" i="297"/>
  <c r="J7" i="297"/>
  <c r="H7" i="297"/>
  <c r="F7" i="297"/>
  <c r="D7" i="297"/>
  <c r="X6" i="297"/>
  <c r="X12" i="297" s="1"/>
  <c r="V6" i="297"/>
  <c r="V12" i="297" s="1"/>
  <c r="T6" i="297"/>
  <c r="R6" i="297"/>
  <c r="R12" i="297" s="1"/>
  <c r="P6" i="297"/>
  <c r="N6" i="297"/>
  <c r="N12" i="297" s="1"/>
  <c r="L6" i="297"/>
  <c r="J6" i="297"/>
  <c r="H6" i="297"/>
  <c r="F6" i="297"/>
  <c r="F12" i="297" s="1"/>
  <c r="D6" i="297"/>
  <c r="V25" i="296"/>
  <c r="F22" i="296"/>
  <c r="S19" i="296"/>
  <c r="S20" i="296" s="1"/>
  <c r="Q19" i="296"/>
  <c r="Q20" i="296" s="1"/>
  <c r="P19" i="296"/>
  <c r="P20" i="296" s="1"/>
  <c r="L19" i="296"/>
  <c r="L20" i="296" s="1"/>
  <c r="J19" i="296"/>
  <c r="J20" i="296" s="1"/>
  <c r="H19" i="296"/>
  <c r="H20" i="296" s="1"/>
  <c r="O18" i="296"/>
  <c r="O19" i="296" s="1"/>
  <c r="O20" i="296" s="1"/>
  <c r="I18" i="296"/>
  <c r="I19" i="296" s="1"/>
  <c r="I20" i="296" s="1"/>
  <c r="D18" i="296"/>
  <c r="D19" i="296" s="1"/>
  <c r="D20" i="296" s="1"/>
  <c r="W12" i="296"/>
  <c r="K18" i="296" s="1"/>
  <c r="K19" i="296" s="1"/>
  <c r="K20" i="296" s="1"/>
  <c r="U12" i="296"/>
  <c r="T12" i="296"/>
  <c r="S12" i="296"/>
  <c r="Q12" i="296"/>
  <c r="P12" i="296"/>
  <c r="O12" i="296"/>
  <c r="N18" i="296" s="1"/>
  <c r="N19" i="296" s="1"/>
  <c r="N20" i="296" s="1"/>
  <c r="M12" i="296"/>
  <c r="M18" i="296" s="1"/>
  <c r="M19" i="296" s="1"/>
  <c r="M20" i="296" s="1"/>
  <c r="L12" i="296"/>
  <c r="K12" i="296"/>
  <c r="G18" i="296" s="1"/>
  <c r="G19" i="296" s="1"/>
  <c r="G20" i="296" s="1"/>
  <c r="I12" i="296"/>
  <c r="F18" i="296" s="1"/>
  <c r="F19" i="296" s="1"/>
  <c r="F20" i="296" s="1"/>
  <c r="H12" i="296"/>
  <c r="G12" i="296"/>
  <c r="E18" i="296" s="1"/>
  <c r="E19" i="296" s="1"/>
  <c r="E20" i="296" s="1"/>
  <c r="E12" i="296"/>
  <c r="C12" i="296"/>
  <c r="B18" i="296" s="1"/>
  <c r="B19" i="296" s="1"/>
  <c r="B20" i="296" s="1"/>
  <c r="X11" i="296"/>
  <c r="V11" i="296"/>
  <c r="T11" i="296"/>
  <c r="R11" i="296"/>
  <c r="P11" i="296"/>
  <c r="N11" i="296"/>
  <c r="L11" i="296"/>
  <c r="J11" i="296"/>
  <c r="H11" i="296"/>
  <c r="F11" i="296"/>
  <c r="D11" i="296"/>
  <c r="Y11" i="296" s="1"/>
  <c r="X10" i="296"/>
  <c r="V10" i="296"/>
  <c r="T10" i="296"/>
  <c r="R10" i="296"/>
  <c r="P10" i="296"/>
  <c r="N10" i="296"/>
  <c r="L10" i="296"/>
  <c r="J10" i="296"/>
  <c r="H10" i="296"/>
  <c r="F10" i="296"/>
  <c r="D10" i="296"/>
  <c r="Y10" i="296" s="1"/>
  <c r="X9" i="296"/>
  <c r="V9" i="296"/>
  <c r="T9" i="296"/>
  <c r="R9" i="296"/>
  <c r="P9" i="296"/>
  <c r="N9" i="296"/>
  <c r="L9" i="296"/>
  <c r="J9" i="296"/>
  <c r="H9" i="296"/>
  <c r="F9" i="296"/>
  <c r="D9" i="296"/>
  <c r="Y9" i="296" s="1"/>
  <c r="X8" i="296"/>
  <c r="V8" i="296"/>
  <c r="T8" i="296"/>
  <c r="R8" i="296"/>
  <c r="P8" i="296"/>
  <c r="N8" i="296"/>
  <c r="L8" i="296"/>
  <c r="J8" i="296"/>
  <c r="H8" i="296"/>
  <c r="F8" i="296"/>
  <c r="D8" i="296"/>
  <c r="Y8" i="296" s="1"/>
  <c r="X7" i="296"/>
  <c r="V7" i="296"/>
  <c r="T7" i="296"/>
  <c r="R7" i="296"/>
  <c r="P7" i="296"/>
  <c r="N7" i="296"/>
  <c r="L7" i="296"/>
  <c r="J7" i="296"/>
  <c r="H7" i="296"/>
  <c r="F7" i="296"/>
  <c r="D7" i="296"/>
  <c r="Y7" i="296" s="1"/>
  <c r="X6" i="296"/>
  <c r="X12" i="296" s="1"/>
  <c r="V6" i="296"/>
  <c r="V12" i="296" s="1"/>
  <c r="T6" i="296"/>
  <c r="R6" i="296"/>
  <c r="R12" i="296" s="1"/>
  <c r="P6" i="296"/>
  <c r="N6" i="296"/>
  <c r="N12" i="296" s="1"/>
  <c r="L6" i="296"/>
  <c r="J6" i="296"/>
  <c r="J12" i="296" s="1"/>
  <c r="H6" i="296"/>
  <c r="F6" i="296"/>
  <c r="F12" i="296" s="1"/>
  <c r="D6" i="296"/>
  <c r="Y6" i="296" s="1"/>
  <c r="V25" i="295"/>
  <c r="F22" i="295"/>
  <c r="S19" i="295"/>
  <c r="S20" i="295" s="1"/>
  <c r="Q19" i="295"/>
  <c r="Q20" i="295" s="1"/>
  <c r="P19" i="295"/>
  <c r="P20" i="295" s="1"/>
  <c r="L19" i="295"/>
  <c r="L20" i="295" s="1"/>
  <c r="J19" i="295"/>
  <c r="J20" i="295" s="1"/>
  <c r="H19" i="295"/>
  <c r="H20" i="295" s="1"/>
  <c r="M18" i="295"/>
  <c r="M19" i="295" s="1"/>
  <c r="M20" i="295" s="1"/>
  <c r="F18" i="295"/>
  <c r="F19" i="295" s="1"/>
  <c r="F20" i="295" s="1"/>
  <c r="W12" i="295"/>
  <c r="K18" i="295" s="1"/>
  <c r="K19" i="295" s="1"/>
  <c r="K20" i="295" s="1"/>
  <c r="V12" i="295"/>
  <c r="U12" i="295"/>
  <c r="I18" i="295" s="1"/>
  <c r="I19" i="295" s="1"/>
  <c r="I20" i="295" s="1"/>
  <c r="S12" i="295"/>
  <c r="Q12" i="295"/>
  <c r="O18" i="295" s="1"/>
  <c r="O19" i="295" s="1"/>
  <c r="O20" i="295" s="1"/>
  <c r="O12" i="295"/>
  <c r="N18" i="295" s="1"/>
  <c r="N19" i="295" s="1"/>
  <c r="N20" i="295" s="1"/>
  <c r="N12" i="295"/>
  <c r="M12" i="295"/>
  <c r="K12" i="295"/>
  <c r="G18" i="295" s="1"/>
  <c r="G19" i="295" s="1"/>
  <c r="G20" i="295" s="1"/>
  <c r="I12" i="295"/>
  <c r="G12" i="295"/>
  <c r="E18" i="295" s="1"/>
  <c r="E19" i="295" s="1"/>
  <c r="E20" i="295" s="1"/>
  <c r="F12" i="295"/>
  <c r="E12" i="295"/>
  <c r="D18" i="295" s="1"/>
  <c r="D19" i="295" s="1"/>
  <c r="D20" i="295" s="1"/>
  <c r="C12" i="295"/>
  <c r="B18" i="295" s="1"/>
  <c r="B19" i="295" s="1"/>
  <c r="B20" i="295" s="1"/>
  <c r="X11" i="295"/>
  <c r="V11" i="295"/>
  <c r="T11" i="295"/>
  <c r="R11" i="295"/>
  <c r="P11" i="295"/>
  <c r="N11" i="295"/>
  <c r="L11" i="295"/>
  <c r="J11" i="295"/>
  <c r="Y11" i="295" s="1"/>
  <c r="H11" i="295"/>
  <c r="F11" i="295"/>
  <c r="D11" i="295"/>
  <c r="X10" i="295"/>
  <c r="V10" i="295"/>
  <c r="T10" i="295"/>
  <c r="R10" i="295"/>
  <c r="P10" i="295"/>
  <c r="N10" i="295"/>
  <c r="L10" i="295"/>
  <c r="J10" i="295"/>
  <c r="H10" i="295"/>
  <c r="F10" i="295"/>
  <c r="D10" i="295"/>
  <c r="X9" i="295"/>
  <c r="V9" i="295"/>
  <c r="T9" i="295"/>
  <c r="R9" i="295"/>
  <c r="P9" i="295"/>
  <c r="N9" i="295"/>
  <c r="L9" i="295"/>
  <c r="J9" i="295"/>
  <c r="H9" i="295"/>
  <c r="F9" i="295"/>
  <c r="D9" i="295"/>
  <c r="X8" i="295"/>
  <c r="V8" i="295"/>
  <c r="T8" i="295"/>
  <c r="R8" i="295"/>
  <c r="P8" i="295"/>
  <c r="N8" i="295"/>
  <c r="L8" i="295"/>
  <c r="J8" i="295"/>
  <c r="Y8" i="295" s="1"/>
  <c r="H8" i="295"/>
  <c r="F8" i="295"/>
  <c r="D8" i="295"/>
  <c r="X7" i="295"/>
  <c r="V7" i="295"/>
  <c r="T7" i="295"/>
  <c r="R7" i="295"/>
  <c r="P7" i="295"/>
  <c r="N7" i="295"/>
  <c r="L7" i="295"/>
  <c r="J7" i="295"/>
  <c r="Y7" i="295" s="1"/>
  <c r="H7" i="295"/>
  <c r="F7" i="295"/>
  <c r="D7" i="295"/>
  <c r="X6" i="295"/>
  <c r="X12" i="295" s="1"/>
  <c r="V6" i="295"/>
  <c r="T6" i="295"/>
  <c r="T12" i="295" s="1"/>
  <c r="R6" i="295"/>
  <c r="R12" i="295" s="1"/>
  <c r="P6" i="295"/>
  <c r="P12" i="295" s="1"/>
  <c r="N6" i="295"/>
  <c r="L6" i="295"/>
  <c r="L12" i="295" s="1"/>
  <c r="J6" i="295"/>
  <c r="J12" i="295" s="1"/>
  <c r="H6" i="295"/>
  <c r="H12" i="295" s="1"/>
  <c r="F6" i="295"/>
  <c r="D6" i="295"/>
  <c r="V25" i="294"/>
  <c r="F22" i="294"/>
  <c r="S19" i="294"/>
  <c r="S20" i="294" s="1"/>
  <c r="Q19" i="294"/>
  <c r="Q20" i="294" s="1"/>
  <c r="P19" i="294"/>
  <c r="P20" i="294" s="1"/>
  <c r="L19" i="294"/>
  <c r="L20" i="294" s="1"/>
  <c r="J19" i="294"/>
  <c r="J20" i="294" s="1"/>
  <c r="H19" i="294"/>
  <c r="H20" i="294" s="1"/>
  <c r="O18" i="294"/>
  <c r="O19" i="294" s="1"/>
  <c r="O20" i="294" s="1"/>
  <c r="K18" i="294"/>
  <c r="K19" i="294" s="1"/>
  <c r="K20" i="294" s="1"/>
  <c r="I18" i="294"/>
  <c r="I19" i="294" s="1"/>
  <c r="I20" i="294" s="1"/>
  <c r="E18" i="294"/>
  <c r="E19" i="294" s="1"/>
  <c r="E20" i="294" s="1"/>
  <c r="D18" i="294"/>
  <c r="D19" i="294" s="1"/>
  <c r="D20" i="294" s="1"/>
  <c r="X12" i="294"/>
  <c r="W12" i="294"/>
  <c r="U12" i="294"/>
  <c r="T12" i="294"/>
  <c r="S12" i="294"/>
  <c r="Q12" i="294"/>
  <c r="P12" i="294"/>
  <c r="O12" i="294"/>
  <c r="N18" i="294" s="1"/>
  <c r="N19" i="294" s="1"/>
  <c r="N20" i="294" s="1"/>
  <c r="M12" i="294"/>
  <c r="M18" i="294" s="1"/>
  <c r="M19" i="294" s="1"/>
  <c r="M20" i="294" s="1"/>
  <c r="L12" i="294"/>
  <c r="K12" i="294"/>
  <c r="G18" i="294" s="1"/>
  <c r="G19" i="294" s="1"/>
  <c r="G20" i="294" s="1"/>
  <c r="I12" i="294"/>
  <c r="F18" i="294" s="1"/>
  <c r="F19" i="294" s="1"/>
  <c r="F20" i="294" s="1"/>
  <c r="H12" i="294"/>
  <c r="G12" i="294"/>
  <c r="E12" i="294"/>
  <c r="C12" i="294"/>
  <c r="B18" i="294" s="1"/>
  <c r="B19" i="294" s="1"/>
  <c r="B20" i="294" s="1"/>
  <c r="X11" i="294"/>
  <c r="V11" i="294"/>
  <c r="T11" i="294"/>
  <c r="R11" i="294"/>
  <c r="P11" i="294"/>
  <c r="N11" i="294"/>
  <c r="L11" i="294"/>
  <c r="J11" i="294"/>
  <c r="H11" i="294"/>
  <c r="F11" i="294"/>
  <c r="D11" i="294"/>
  <c r="Y11" i="294" s="1"/>
  <c r="X10" i="294"/>
  <c r="V10" i="294"/>
  <c r="T10" i="294"/>
  <c r="R10" i="294"/>
  <c r="P10" i="294"/>
  <c r="N10" i="294"/>
  <c r="L10" i="294"/>
  <c r="J10" i="294"/>
  <c r="H10" i="294"/>
  <c r="F10" i="294"/>
  <c r="D10" i="294"/>
  <c r="Y10" i="294" s="1"/>
  <c r="X9" i="294"/>
  <c r="V9" i="294"/>
  <c r="T9" i="294"/>
  <c r="R9" i="294"/>
  <c r="P9" i="294"/>
  <c r="N9" i="294"/>
  <c r="L9" i="294"/>
  <c r="J9" i="294"/>
  <c r="H9" i="294"/>
  <c r="F9" i="294"/>
  <c r="D9" i="294"/>
  <c r="Y9" i="294" s="1"/>
  <c r="X8" i="294"/>
  <c r="V8" i="294"/>
  <c r="T8" i="294"/>
  <c r="R8" i="294"/>
  <c r="P8" i="294"/>
  <c r="N8" i="294"/>
  <c r="L8" i="294"/>
  <c r="J8" i="294"/>
  <c r="H8" i="294"/>
  <c r="F8" i="294"/>
  <c r="D8" i="294"/>
  <c r="Y8" i="294" s="1"/>
  <c r="X7" i="294"/>
  <c r="V7" i="294"/>
  <c r="T7" i="294"/>
  <c r="R7" i="294"/>
  <c r="P7" i="294"/>
  <c r="N7" i="294"/>
  <c r="L7" i="294"/>
  <c r="J7" i="294"/>
  <c r="H7" i="294"/>
  <c r="F7" i="294"/>
  <c r="D7" i="294"/>
  <c r="X6" i="294"/>
  <c r="V6" i="294"/>
  <c r="T6" i="294"/>
  <c r="R6" i="294"/>
  <c r="R12" i="294" s="1"/>
  <c r="P6" i="294"/>
  <c r="N6" i="294"/>
  <c r="N12" i="294" s="1"/>
  <c r="L6" i="294"/>
  <c r="J6" i="294"/>
  <c r="J12" i="294" s="1"/>
  <c r="H6" i="294"/>
  <c r="F6" i="294"/>
  <c r="F12" i="294" s="1"/>
  <c r="D6" i="294"/>
  <c r="Y6" i="294" s="1"/>
  <c r="Y12" i="302" l="1"/>
  <c r="V16" i="302" s="1"/>
  <c r="V24" i="302" s="1"/>
  <c r="V12" i="301"/>
  <c r="Y9" i="301"/>
  <c r="Y8" i="301"/>
  <c r="D12" i="301"/>
  <c r="Y12" i="301" s="1"/>
  <c r="V16" i="301" s="1"/>
  <c r="V24" i="301" s="1"/>
  <c r="B21" i="301"/>
  <c r="Y7" i="300"/>
  <c r="H12" i="300"/>
  <c r="Y9" i="300"/>
  <c r="X12" i="300"/>
  <c r="D12" i="300"/>
  <c r="B21" i="300"/>
  <c r="J12" i="300"/>
  <c r="Y10" i="300"/>
  <c r="Y8" i="300"/>
  <c r="Y6" i="300"/>
  <c r="J12" i="299"/>
  <c r="Y8" i="299"/>
  <c r="D12" i="299"/>
  <c r="Y12" i="299" s="1"/>
  <c r="V16" i="299" s="1"/>
  <c r="V24" i="299" s="1"/>
  <c r="B21" i="299"/>
  <c r="Y6" i="299"/>
  <c r="Y9" i="298"/>
  <c r="Y6" i="298"/>
  <c r="J12" i="298"/>
  <c r="Y7" i="298"/>
  <c r="Y8" i="298"/>
  <c r="D12" i="298"/>
  <c r="B21" i="298"/>
  <c r="Y8" i="297"/>
  <c r="J12" i="297"/>
  <c r="D12" i="297"/>
  <c r="Y7" i="297"/>
  <c r="Y9" i="297"/>
  <c r="Y12" i="297"/>
  <c r="V16" i="297" s="1"/>
  <c r="V24" i="297" s="1"/>
  <c r="B21" i="297"/>
  <c r="Y6" i="297"/>
  <c r="D12" i="296"/>
  <c r="Y12" i="296" s="1"/>
  <c r="V16" i="296" s="1"/>
  <c r="V24" i="296" s="1"/>
  <c r="B21" i="296"/>
  <c r="Y9" i="295"/>
  <c r="D12" i="295"/>
  <c r="Y12" i="295" s="1"/>
  <c r="V16" i="295" s="1"/>
  <c r="V24" i="295" s="1"/>
  <c r="Y10" i="295"/>
  <c r="B21" i="295"/>
  <c r="Y6" i="295"/>
  <c r="Y7" i="294"/>
  <c r="V12" i="294"/>
  <c r="D12" i="294"/>
  <c r="Y12" i="294" s="1"/>
  <c r="V16" i="294" s="1"/>
  <c r="V24" i="294" s="1"/>
  <c r="B21" i="294"/>
  <c r="V25" i="293"/>
  <c r="F22" i="293"/>
  <c r="S19" i="293"/>
  <c r="S20" i="293" s="1"/>
  <c r="Q19" i="293"/>
  <c r="Q20" i="293" s="1"/>
  <c r="P19" i="293"/>
  <c r="P20" i="293" s="1"/>
  <c r="M19" i="293"/>
  <c r="M20" i="293" s="1"/>
  <c r="L19" i="293"/>
  <c r="L20" i="293" s="1"/>
  <c r="J19" i="293"/>
  <c r="J20" i="293" s="1"/>
  <c r="I19" i="293"/>
  <c r="I20" i="293" s="1"/>
  <c r="H19" i="293"/>
  <c r="H20" i="293" s="1"/>
  <c r="O18" i="293"/>
  <c r="O19" i="293" s="1"/>
  <c r="O20" i="293" s="1"/>
  <c r="M18" i="293"/>
  <c r="I18" i="293"/>
  <c r="F18" i="293"/>
  <c r="F19" i="293" s="1"/>
  <c r="F20" i="293" s="1"/>
  <c r="D18" i="293"/>
  <c r="D19" i="293" s="1"/>
  <c r="D20" i="293" s="1"/>
  <c r="X12" i="293"/>
  <c r="W12" i="293"/>
  <c r="K18" i="293" s="1"/>
  <c r="K19" i="293" s="1"/>
  <c r="K20" i="293" s="1"/>
  <c r="U12" i="293"/>
  <c r="S12" i="293"/>
  <c r="Q12" i="293"/>
  <c r="P12" i="293"/>
  <c r="O12" i="293"/>
  <c r="N18" i="293" s="1"/>
  <c r="N19" i="293" s="1"/>
  <c r="N20" i="293" s="1"/>
  <c r="M12" i="293"/>
  <c r="K12" i="293"/>
  <c r="G18" i="293" s="1"/>
  <c r="G19" i="293" s="1"/>
  <c r="G20" i="293" s="1"/>
  <c r="I12" i="293"/>
  <c r="H12" i="293"/>
  <c r="G12" i="293"/>
  <c r="E18" i="293" s="1"/>
  <c r="E19" i="293" s="1"/>
  <c r="E20" i="293" s="1"/>
  <c r="E12" i="293"/>
  <c r="C12" i="293"/>
  <c r="B18" i="293" s="1"/>
  <c r="B19" i="293" s="1"/>
  <c r="B20" i="293" s="1"/>
  <c r="X11" i="293"/>
  <c r="V11" i="293"/>
  <c r="T11" i="293"/>
  <c r="R11" i="293"/>
  <c r="P11" i="293"/>
  <c r="N11" i="293"/>
  <c r="L11" i="293"/>
  <c r="J11" i="293"/>
  <c r="H11" i="293"/>
  <c r="F11" i="293"/>
  <c r="D11" i="293"/>
  <c r="Y11" i="293" s="1"/>
  <c r="X10" i="293"/>
  <c r="V10" i="293"/>
  <c r="T10" i="293"/>
  <c r="R10" i="293"/>
  <c r="P10" i="293"/>
  <c r="N10" i="293"/>
  <c r="L10" i="293"/>
  <c r="J10" i="293"/>
  <c r="H10" i="293"/>
  <c r="F10" i="293"/>
  <c r="D10" i="293"/>
  <c r="Y10" i="293" s="1"/>
  <c r="X9" i="293"/>
  <c r="V9" i="293"/>
  <c r="T9" i="293"/>
  <c r="R9" i="293"/>
  <c r="P9" i="293"/>
  <c r="N9" i="293"/>
  <c r="L9" i="293"/>
  <c r="J9" i="293"/>
  <c r="H9" i="293"/>
  <c r="F9" i="293"/>
  <c r="D9" i="293"/>
  <c r="Y9" i="293" s="1"/>
  <c r="X8" i="293"/>
  <c r="V8" i="293"/>
  <c r="T8" i="293"/>
  <c r="R8" i="293"/>
  <c r="P8" i="293"/>
  <c r="N8" i="293"/>
  <c r="L8" i="293"/>
  <c r="J8" i="293"/>
  <c r="H8" i="293"/>
  <c r="F8" i="293"/>
  <c r="D8" i="293"/>
  <c r="X7" i="293"/>
  <c r="V7" i="293"/>
  <c r="T7" i="293"/>
  <c r="R7" i="293"/>
  <c r="P7" i="293"/>
  <c r="N7" i="293"/>
  <c r="L7" i="293"/>
  <c r="J7" i="293"/>
  <c r="H7" i="293"/>
  <c r="F7" i="293"/>
  <c r="D7" i="293"/>
  <c r="X6" i="293"/>
  <c r="V6" i="293"/>
  <c r="V12" i="293" s="1"/>
  <c r="T6" i="293"/>
  <c r="T12" i="293" s="1"/>
  <c r="R6" i="293"/>
  <c r="R12" i="293" s="1"/>
  <c r="P6" i="293"/>
  <c r="N6" i="293"/>
  <c r="N12" i="293" s="1"/>
  <c r="L6" i="293"/>
  <c r="L12" i="293" s="1"/>
  <c r="J6" i="293"/>
  <c r="H6" i="293"/>
  <c r="F6" i="293"/>
  <c r="F12" i="293" s="1"/>
  <c r="D6" i="293"/>
  <c r="Y6" i="293" s="1"/>
  <c r="V25" i="292"/>
  <c r="F22" i="292"/>
  <c r="S19" i="292"/>
  <c r="S20" i="292" s="1"/>
  <c r="Q19" i="292"/>
  <c r="Q20" i="292" s="1"/>
  <c r="P19" i="292"/>
  <c r="P20" i="292" s="1"/>
  <c r="M19" i="292"/>
  <c r="M20" i="292" s="1"/>
  <c r="L19" i="292"/>
  <c r="L20" i="292" s="1"/>
  <c r="J19" i="292"/>
  <c r="J20" i="292" s="1"/>
  <c r="I19" i="292"/>
  <c r="I20" i="292" s="1"/>
  <c r="H19" i="292"/>
  <c r="H20" i="292" s="1"/>
  <c r="O18" i="292"/>
  <c r="O19" i="292" s="1"/>
  <c r="O20" i="292" s="1"/>
  <c r="M18" i="292"/>
  <c r="I18" i="292"/>
  <c r="F18" i="292"/>
  <c r="F19" i="292" s="1"/>
  <c r="F20" i="292" s="1"/>
  <c r="X12" i="292"/>
  <c r="W12" i="292"/>
  <c r="K18" i="292" s="1"/>
  <c r="K19" i="292" s="1"/>
  <c r="K20" i="292" s="1"/>
  <c r="U12" i="292"/>
  <c r="S12" i="292"/>
  <c r="Q12" i="292"/>
  <c r="P12" i="292"/>
  <c r="O12" i="292"/>
  <c r="N18" i="292" s="1"/>
  <c r="N19" i="292" s="1"/>
  <c r="N20" i="292" s="1"/>
  <c r="M12" i="292"/>
  <c r="K12" i="292"/>
  <c r="G18" i="292" s="1"/>
  <c r="G19" i="292" s="1"/>
  <c r="G20" i="292" s="1"/>
  <c r="I12" i="292"/>
  <c r="H12" i="292"/>
  <c r="G12" i="292"/>
  <c r="E18" i="292" s="1"/>
  <c r="E19" i="292" s="1"/>
  <c r="E20" i="292" s="1"/>
  <c r="E12" i="292"/>
  <c r="D18" i="292" s="1"/>
  <c r="D19" i="292" s="1"/>
  <c r="D20" i="292" s="1"/>
  <c r="C12" i="292"/>
  <c r="B18" i="292" s="1"/>
  <c r="B19" i="292" s="1"/>
  <c r="B20" i="292" s="1"/>
  <c r="X11" i="292"/>
  <c r="V11" i="292"/>
  <c r="T11" i="292"/>
  <c r="R11" i="292"/>
  <c r="P11" i="292"/>
  <c r="N11" i="292"/>
  <c r="L11" i="292"/>
  <c r="J11" i="292"/>
  <c r="H11" i="292"/>
  <c r="F11" i="292"/>
  <c r="D11" i="292"/>
  <c r="Y11" i="292" s="1"/>
  <c r="X10" i="292"/>
  <c r="V10" i="292"/>
  <c r="T10" i="292"/>
  <c r="R10" i="292"/>
  <c r="P10" i="292"/>
  <c r="N10" i="292"/>
  <c r="L10" i="292"/>
  <c r="J10" i="292"/>
  <c r="H10" i="292"/>
  <c r="F10" i="292"/>
  <c r="D10" i="292"/>
  <c r="Y10" i="292" s="1"/>
  <c r="X9" i="292"/>
  <c r="V9" i="292"/>
  <c r="T9" i="292"/>
  <c r="R9" i="292"/>
  <c r="P9" i="292"/>
  <c r="N9" i="292"/>
  <c r="L9" i="292"/>
  <c r="J9" i="292"/>
  <c r="H9" i="292"/>
  <c r="F9" i="292"/>
  <c r="D9" i="292"/>
  <c r="X8" i="292"/>
  <c r="V8" i="292"/>
  <c r="T8" i="292"/>
  <c r="R8" i="292"/>
  <c r="P8" i="292"/>
  <c r="N8" i="292"/>
  <c r="L8" i="292"/>
  <c r="J8" i="292"/>
  <c r="H8" i="292"/>
  <c r="F8" i="292"/>
  <c r="D8" i="292"/>
  <c r="X7" i="292"/>
  <c r="V7" i="292"/>
  <c r="T7" i="292"/>
  <c r="R7" i="292"/>
  <c r="P7" i="292"/>
  <c r="N7" i="292"/>
  <c r="L7" i="292"/>
  <c r="J7" i="292"/>
  <c r="H7" i="292"/>
  <c r="F7" i="292"/>
  <c r="D7" i="292"/>
  <c r="X6" i="292"/>
  <c r="V6" i="292"/>
  <c r="V12" i="292" s="1"/>
  <c r="T6" i="292"/>
  <c r="T12" i="292" s="1"/>
  <c r="R6" i="292"/>
  <c r="R12" i="292" s="1"/>
  <c r="P6" i="292"/>
  <c r="N6" i="292"/>
  <c r="N12" i="292" s="1"/>
  <c r="L6" i="292"/>
  <c r="L12" i="292" s="1"/>
  <c r="J6" i="292"/>
  <c r="H6" i="292"/>
  <c r="F6" i="292"/>
  <c r="F12" i="292" s="1"/>
  <c r="D6" i="292"/>
  <c r="V25" i="291"/>
  <c r="F22" i="291"/>
  <c r="S19" i="291"/>
  <c r="S20" i="291" s="1"/>
  <c r="Q19" i="291"/>
  <c r="Q20" i="291" s="1"/>
  <c r="P19" i="291"/>
  <c r="P20" i="291" s="1"/>
  <c r="L19" i="291"/>
  <c r="L20" i="291" s="1"/>
  <c r="J19" i="291"/>
  <c r="J20" i="291" s="1"/>
  <c r="H19" i="291"/>
  <c r="H20" i="291" s="1"/>
  <c r="K18" i="291"/>
  <c r="K19" i="291" s="1"/>
  <c r="K20" i="291" s="1"/>
  <c r="E18" i="291"/>
  <c r="E19" i="291" s="1"/>
  <c r="E20" i="291" s="1"/>
  <c r="W12" i="291"/>
  <c r="V12" i="291"/>
  <c r="U12" i="291"/>
  <c r="I18" i="291" s="1"/>
  <c r="I19" i="291" s="1"/>
  <c r="I20" i="291" s="1"/>
  <c r="S12" i="291"/>
  <c r="Q12" i="291"/>
  <c r="O18" i="291" s="1"/>
  <c r="O19" i="291" s="1"/>
  <c r="O20" i="291" s="1"/>
  <c r="O12" i="291"/>
  <c r="N18" i="291" s="1"/>
  <c r="N19" i="291" s="1"/>
  <c r="N20" i="291" s="1"/>
  <c r="N12" i="291"/>
  <c r="M12" i="291"/>
  <c r="M18" i="291" s="1"/>
  <c r="M19" i="291" s="1"/>
  <c r="M20" i="291" s="1"/>
  <c r="K12" i="291"/>
  <c r="G18" i="291" s="1"/>
  <c r="G19" i="291" s="1"/>
  <c r="G20" i="291" s="1"/>
  <c r="I12" i="291"/>
  <c r="F18" i="291" s="1"/>
  <c r="F19" i="291" s="1"/>
  <c r="F20" i="291" s="1"/>
  <c r="G12" i="291"/>
  <c r="F12" i="291"/>
  <c r="E12" i="291"/>
  <c r="D18" i="291" s="1"/>
  <c r="D19" i="291" s="1"/>
  <c r="D20" i="291" s="1"/>
  <c r="C12" i="291"/>
  <c r="B18" i="291" s="1"/>
  <c r="B19" i="291" s="1"/>
  <c r="B20" i="291" s="1"/>
  <c r="X11" i="291"/>
  <c r="V11" i="291"/>
  <c r="T11" i="291"/>
  <c r="R11" i="291"/>
  <c r="P11" i="291"/>
  <c r="N11" i="291"/>
  <c r="L11" i="291"/>
  <c r="J11" i="291"/>
  <c r="H11" i="291"/>
  <c r="Y11" i="291" s="1"/>
  <c r="F11" i="291"/>
  <c r="D11" i="291"/>
  <c r="X10" i="291"/>
  <c r="V10" i="291"/>
  <c r="T10" i="291"/>
  <c r="R10" i="291"/>
  <c r="P10" i="291"/>
  <c r="N10" i="291"/>
  <c r="L10" i="291"/>
  <c r="J10" i="291"/>
  <c r="H10" i="291"/>
  <c r="Y10" i="291" s="1"/>
  <c r="F10" i="291"/>
  <c r="D10" i="291"/>
  <c r="X9" i="291"/>
  <c r="V9" i="291"/>
  <c r="T9" i="291"/>
  <c r="R9" i="291"/>
  <c r="P9" i="291"/>
  <c r="N9" i="291"/>
  <c r="L9" i="291"/>
  <c r="J9" i="291"/>
  <c r="H9" i="291"/>
  <c r="F9" i="291"/>
  <c r="D9" i="291"/>
  <c r="X8" i="291"/>
  <c r="V8" i="291"/>
  <c r="T8" i="291"/>
  <c r="R8" i="291"/>
  <c r="P8" i="291"/>
  <c r="N8" i="291"/>
  <c r="L8" i="291"/>
  <c r="J8" i="291"/>
  <c r="H8" i="291"/>
  <c r="F8" i="291"/>
  <c r="D8" i="291"/>
  <c r="X7" i="291"/>
  <c r="V7" i="291"/>
  <c r="T7" i="291"/>
  <c r="R7" i="291"/>
  <c r="P7" i="291"/>
  <c r="N7" i="291"/>
  <c r="L7" i="291"/>
  <c r="J7" i="291"/>
  <c r="H7" i="291"/>
  <c r="F7" i="291"/>
  <c r="D7" i="291"/>
  <c r="X6" i="291"/>
  <c r="X12" i="291" s="1"/>
  <c r="V6" i="291"/>
  <c r="T6" i="291"/>
  <c r="T12" i="291" s="1"/>
  <c r="R6" i="291"/>
  <c r="R12" i="291" s="1"/>
  <c r="P6" i="291"/>
  <c r="P12" i="291" s="1"/>
  <c r="N6" i="291"/>
  <c r="L6" i="291"/>
  <c r="L12" i="291" s="1"/>
  <c r="J6" i="291"/>
  <c r="H6" i="291"/>
  <c r="H12" i="291" s="1"/>
  <c r="F6" i="291"/>
  <c r="D6" i="291"/>
  <c r="V25" i="290"/>
  <c r="F22" i="290"/>
  <c r="S19" i="290"/>
  <c r="S20" i="290" s="1"/>
  <c r="Q19" i="290"/>
  <c r="Q20" i="290" s="1"/>
  <c r="P19" i="290"/>
  <c r="P20" i="290" s="1"/>
  <c r="L19" i="290"/>
  <c r="L20" i="290" s="1"/>
  <c r="J19" i="290"/>
  <c r="J20" i="290" s="1"/>
  <c r="H19" i="290"/>
  <c r="H20" i="290" s="1"/>
  <c r="M18" i="290"/>
  <c r="M19" i="290" s="1"/>
  <c r="M20" i="290" s="1"/>
  <c r="W12" i="290"/>
  <c r="K18" i="290" s="1"/>
  <c r="K19" i="290" s="1"/>
  <c r="K20" i="290" s="1"/>
  <c r="U12" i="290"/>
  <c r="I18" i="290" s="1"/>
  <c r="I19" i="290" s="1"/>
  <c r="I20" i="290" s="1"/>
  <c r="S12" i="290"/>
  <c r="Q12" i="290"/>
  <c r="O18" i="290" s="1"/>
  <c r="O19" i="290" s="1"/>
  <c r="O20" i="290" s="1"/>
  <c r="O12" i="290"/>
  <c r="N18" i="290" s="1"/>
  <c r="N19" i="290" s="1"/>
  <c r="N20" i="290" s="1"/>
  <c r="N12" i="290"/>
  <c r="M12" i="290"/>
  <c r="K12" i="290"/>
  <c r="G18" i="290" s="1"/>
  <c r="G19" i="290" s="1"/>
  <c r="G20" i="290" s="1"/>
  <c r="I12" i="290"/>
  <c r="F18" i="290" s="1"/>
  <c r="F19" i="290" s="1"/>
  <c r="F20" i="290" s="1"/>
  <c r="G12" i="290"/>
  <c r="E18" i="290" s="1"/>
  <c r="E19" i="290" s="1"/>
  <c r="E20" i="290" s="1"/>
  <c r="F12" i="290"/>
  <c r="E12" i="290"/>
  <c r="D18" i="290" s="1"/>
  <c r="D19" i="290" s="1"/>
  <c r="D20" i="290" s="1"/>
  <c r="C12" i="290"/>
  <c r="B18" i="290" s="1"/>
  <c r="B19" i="290" s="1"/>
  <c r="B20" i="290" s="1"/>
  <c r="X11" i="290"/>
  <c r="V11" i="290"/>
  <c r="T11" i="290"/>
  <c r="R11" i="290"/>
  <c r="P11" i="290"/>
  <c r="N11" i="290"/>
  <c r="L11" i="290"/>
  <c r="J11" i="290"/>
  <c r="Y11" i="290" s="1"/>
  <c r="H11" i="290"/>
  <c r="F11" i="290"/>
  <c r="D11" i="290"/>
  <c r="X10" i="290"/>
  <c r="V10" i="290"/>
  <c r="T10" i="290"/>
  <c r="R10" i="290"/>
  <c r="P10" i="290"/>
  <c r="N10" i="290"/>
  <c r="L10" i="290"/>
  <c r="J10" i="290"/>
  <c r="Y10" i="290" s="1"/>
  <c r="H10" i="290"/>
  <c r="F10" i="290"/>
  <c r="D10" i="290"/>
  <c r="X9" i="290"/>
  <c r="V9" i="290"/>
  <c r="T9" i="290"/>
  <c r="R9" i="290"/>
  <c r="P9" i="290"/>
  <c r="N9" i="290"/>
  <c r="L9" i="290"/>
  <c r="J9" i="290"/>
  <c r="H9" i="290"/>
  <c r="F9" i="290"/>
  <c r="D9" i="290"/>
  <c r="X8" i="290"/>
  <c r="V8" i="290"/>
  <c r="T8" i="290"/>
  <c r="R8" i="290"/>
  <c r="P8" i="290"/>
  <c r="N8" i="290"/>
  <c r="L8" i="290"/>
  <c r="J8" i="290"/>
  <c r="H8" i="290"/>
  <c r="F8" i="290"/>
  <c r="D8" i="290"/>
  <c r="X7" i="290"/>
  <c r="V7" i="290"/>
  <c r="V12" i="290" s="1"/>
  <c r="T7" i="290"/>
  <c r="R7" i="290"/>
  <c r="P7" i="290"/>
  <c r="N7" i="290"/>
  <c r="L7" i="290"/>
  <c r="J7" i="290"/>
  <c r="H7" i="290"/>
  <c r="F7" i="290"/>
  <c r="D7" i="290"/>
  <c r="X6" i="290"/>
  <c r="X12" i="290" s="1"/>
  <c r="V6" i="290"/>
  <c r="T6" i="290"/>
  <c r="T12" i="290" s="1"/>
  <c r="R6" i="290"/>
  <c r="R12" i="290" s="1"/>
  <c r="P6" i="290"/>
  <c r="P12" i="290" s="1"/>
  <c r="N6" i="290"/>
  <c r="L6" i="290"/>
  <c r="L12" i="290" s="1"/>
  <c r="J6" i="290"/>
  <c r="H6" i="290"/>
  <c r="H12" i="290" s="1"/>
  <c r="F6" i="290"/>
  <c r="D6" i="290"/>
  <c r="V25" i="289"/>
  <c r="F22" i="289"/>
  <c r="S19" i="289"/>
  <c r="S20" i="289" s="1"/>
  <c r="Q19" i="289"/>
  <c r="Q20" i="289" s="1"/>
  <c r="P19" i="289"/>
  <c r="P20" i="289" s="1"/>
  <c r="L19" i="289"/>
  <c r="L20" i="289" s="1"/>
  <c r="J19" i="289"/>
  <c r="J20" i="289" s="1"/>
  <c r="H19" i="289"/>
  <c r="H20" i="289" s="1"/>
  <c r="O18" i="289"/>
  <c r="O19" i="289" s="1"/>
  <c r="O20" i="289" s="1"/>
  <c r="K18" i="289"/>
  <c r="K19" i="289" s="1"/>
  <c r="K20" i="289" s="1"/>
  <c r="I18" i="289"/>
  <c r="I19" i="289" s="1"/>
  <c r="I20" i="289" s="1"/>
  <c r="E18" i="289"/>
  <c r="E19" i="289" s="1"/>
  <c r="E20" i="289" s="1"/>
  <c r="D18" i="289"/>
  <c r="D19" i="289" s="1"/>
  <c r="D20" i="289" s="1"/>
  <c r="X12" i="289"/>
  <c r="W12" i="289"/>
  <c r="U12" i="289"/>
  <c r="S12" i="289"/>
  <c r="Q12" i="289"/>
  <c r="P12" i="289"/>
  <c r="O12" i="289"/>
  <c r="N18" i="289" s="1"/>
  <c r="N19" i="289" s="1"/>
  <c r="N20" i="289" s="1"/>
  <c r="M12" i="289"/>
  <c r="M18" i="289" s="1"/>
  <c r="M19" i="289" s="1"/>
  <c r="M20" i="289" s="1"/>
  <c r="L12" i="289"/>
  <c r="K12" i="289"/>
  <c r="G18" i="289" s="1"/>
  <c r="G19" i="289" s="1"/>
  <c r="G20" i="289" s="1"/>
  <c r="I12" i="289"/>
  <c r="F18" i="289" s="1"/>
  <c r="F19" i="289" s="1"/>
  <c r="F20" i="289" s="1"/>
  <c r="H12" i="289"/>
  <c r="G12" i="289"/>
  <c r="E12" i="289"/>
  <c r="C12" i="289"/>
  <c r="B18" i="289" s="1"/>
  <c r="B19" i="289" s="1"/>
  <c r="B20" i="289" s="1"/>
  <c r="X11" i="289"/>
  <c r="V11" i="289"/>
  <c r="T11" i="289"/>
  <c r="R11" i="289"/>
  <c r="P11" i="289"/>
  <c r="N11" i="289"/>
  <c r="L11" i="289"/>
  <c r="J11" i="289"/>
  <c r="H11" i="289"/>
  <c r="F11" i="289"/>
  <c r="D11" i="289"/>
  <c r="Y11" i="289" s="1"/>
  <c r="X10" i="289"/>
  <c r="V10" i="289"/>
  <c r="T10" i="289"/>
  <c r="T12" i="289" s="1"/>
  <c r="R10" i="289"/>
  <c r="P10" i="289"/>
  <c r="N10" i="289"/>
  <c r="L10" i="289"/>
  <c r="J10" i="289"/>
  <c r="H10" i="289"/>
  <c r="F10" i="289"/>
  <c r="D10" i="289"/>
  <c r="X9" i="289"/>
  <c r="V9" i="289"/>
  <c r="T9" i="289"/>
  <c r="R9" i="289"/>
  <c r="P9" i="289"/>
  <c r="N9" i="289"/>
  <c r="L9" i="289"/>
  <c r="J9" i="289"/>
  <c r="H9" i="289"/>
  <c r="F9" i="289"/>
  <c r="D9" i="289"/>
  <c r="X8" i="289"/>
  <c r="V8" i="289"/>
  <c r="T8" i="289"/>
  <c r="R8" i="289"/>
  <c r="P8" i="289"/>
  <c r="N8" i="289"/>
  <c r="L8" i="289"/>
  <c r="J8" i="289"/>
  <c r="H8" i="289"/>
  <c r="F8" i="289"/>
  <c r="D8" i="289"/>
  <c r="X7" i="289"/>
  <c r="V7" i="289"/>
  <c r="T7" i="289"/>
  <c r="R7" i="289"/>
  <c r="P7" i="289"/>
  <c r="N7" i="289"/>
  <c r="L7" i="289"/>
  <c r="J7" i="289"/>
  <c r="H7" i="289"/>
  <c r="F7" i="289"/>
  <c r="D7" i="289"/>
  <c r="X6" i="289"/>
  <c r="V6" i="289"/>
  <c r="V12" i="289" s="1"/>
  <c r="T6" i="289"/>
  <c r="R6" i="289"/>
  <c r="R12" i="289" s="1"/>
  <c r="P6" i="289"/>
  <c r="N6" i="289"/>
  <c r="N12" i="289" s="1"/>
  <c r="L6" i="289"/>
  <c r="J6" i="289"/>
  <c r="H6" i="289"/>
  <c r="F6" i="289"/>
  <c r="F12" i="289" s="1"/>
  <c r="D6" i="289"/>
  <c r="Y12" i="300" l="1"/>
  <c r="V16" i="300" s="1"/>
  <c r="V24" i="300" s="1"/>
  <c r="Y12" i="298"/>
  <c r="V16" i="298" s="1"/>
  <c r="V24" i="298" s="1"/>
  <c r="Y8" i="293"/>
  <c r="J12" i="293"/>
  <c r="Y7" i="293"/>
  <c r="B21" i="293"/>
  <c r="D12" i="293"/>
  <c r="Y6" i="292"/>
  <c r="Y9" i="292"/>
  <c r="Y8" i="292"/>
  <c r="J12" i="292"/>
  <c r="Y7" i="292"/>
  <c r="B21" i="292"/>
  <c r="D12" i="292"/>
  <c r="Y9" i="291"/>
  <c r="B21" i="291"/>
  <c r="J12" i="291"/>
  <c r="Y8" i="291"/>
  <c r="D12" i="291"/>
  <c r="Y7" i="291"/>
  <c r="Y6" i="291"/>
  <c r="Y9" i="290"/>
  <c r="D12" i="290"/>
  <c r="Y7" i="290"/>
  <c r="J12" i="290"/>
  <c r="Y12" i="290" s="1"/>
  <c r="V16" i="290" s="1"/>
  <c r="V24" i="290" s="1"/>
  <c r="Y8" i="290"/>
  <c r="B21" i="290"/>
  <c r="Y6" i="290"/>
  <c r="Y10" i="289"/>
  <c r="Y6" i="289"/>
  <c r="Y8" i="289"/>
  <c r="J12" i="289"/>
  <c r="Y7" i="289"/>
  <c r="Y9" i="289"/>
  <c r="D12" i="289"/>
  <c r="B21" i="289"/>
  <c r="V25" i="288"/>
  <c r="F22" i="288"/>
  <c r="S19" i="288"/>
  <c r="S20" i="288" s="1"/>
  <c r="Q19" i="288"/>
  <c r="Q20" i="288" s="1"/>
  <c r="P19" i="288"/>
  <c r="P20" i="288" s="1"/>
  <c r="L19" i="288"/>
  <c r="L20" i="288" s="1"/>
  <c r="J19" i="288"/>
  <c r="J20" i="288" s="1"/>
  <c r="H19" i="288"/>
  <c r="H20" i="288" s="1"/>
  <c r="K18" i="288"/>
  <c r="K19" i="288" s="1"/>
  <c r="K20" i="288" s="1"/>
  <c r="W12" i="288"/>
  <c r="U12" i="288"/>
  <c r="I18" i="288" s="1"/>
  <c r="I19" i="288" s="1"/>
  <c r="I20" i="288" s="1"/>
  <c r="S12" i="288"/>
  <c r="Q12" i="288"/>
  <c r="O18" i="288" s="1"/>
  <c r="O19" i="288" s="1"/>
  <c r="O20" i="288" s="1"/>
  <c r="O12" i="288"/>
  <c r="N18" i="288" s="1"/>
  <c r="N19" i="288" s="1"/>
  <c r="N20" i="288" s="1"/>
  <c r="M12" i="288"/>
  <c r="M18" i="288" s="1"/>
  <c r="M19" i="288" s="1"/>
  <c r="M20" i="288" s="1"/>
  <c r="K12" i="288"/>
  <c r="G18" i="288" s="1"/>
  <c r="G19" i="288" s="1"/>
  <c r="G20" i="288" s="1"/>
  <c r="I12" i="288"/>
  <c r="F18" i="288" s="1"/>
  <c r="F19" i="288" s="1"/>
  <c r="F20" i="288" s="1"/>
  <c r="G12" i="288"/>
  <c r="E18" i="288" s="1"/>
  <c r="E19" i="288" s="1"/>
  <c r="E20" i="288" s="1"/>
  <c r="E12" i="288"/>
  <c r="D18" i="288" s="1"/>
  <c r="D19" i="288" s="1"/>
  <c r="D20" i="288" s="1"/>
  <c r="C12" i="288"/>
  <c r="B18" i="288" s="1"/>
  <c r="B19" i="288" s="1"/>
  <c r="B20" i="288" s="1"/>
  <c r="X11" i="288"/>
  <c r="V11" i="288"/>
  <c r="T11" i="288"/>
  <c r="R11" i="288"/>
  <c r="P11" i="288"/>
  <c r="N11" i="288"/>
  <c r="L11" i="288"/>
  <c r="J11" i="288"/>
  <c r="H11" i="288"/>
  <c r="F11" i="288"/>
  <c r="D11" i="288"/>
  <c r="Y11" i="288" s="1"/>
  <c r="X10" i="288"/>
  <c r="V10" i="288"/>
  <c r="T10" i="288"/>
  <c r="R10" i="288"/>
  <c r="P10" i="288"/>
  <c r="N10" i="288"/>
  <c r="L10" i="288"/>
  <c r="J10" i="288"/>
  <c r="H10" i="288"/>
  <c r="F10" i="288"/>
  <c r="D10" i="288"/>
  <c r="X9" i="288"/>
  <c r="V9" i="288"/>
  <c r="T9" i="288"/>
  <c r="R9" i="288"/>
  <c r="P9" i="288"/>
  <c r="N9" i="288"/>
  <c r="L9" i="288"/>
  <c r="J9" i="288"/>
  <c r="H9" i="288"/>
  <c r="F9" i="288"/>
  <c r="D9" i="288"/>
  <c r="X8" i="288"/>
  <c r="V8" i="288"/>
  <c r="T8" i="288"/>
  <c r="R8" i="288"/>
  <c r="P8" i="288"/>
  <c r="N8" i="288"/>
  <c r="L8" i="288"/>
  <c r="J8" i="288"/>
  <c r="H8" i="288"/>
  <c r="F8" i="288"/>
  <c r="D8" i="288"/>
  <c r="X7" i="288"/>
  <c r="V7" i="288"/>
  <c r="T7" i="288"/>
  <c r="R7" i="288"/>
  <c r="P7" i="288"/>
  <c r="N7" i="288"/>
  <c r="L7" i="288"/>
  <c r="J7" i="288"/>
  <c r="H7" i="288"/>
  <c r="F7" i="288"/>
  <c r="D7" i="288"/>
  <c r="X6" i="288"/>
  <c r="X12" i="288" s="1"/>
  <c r="V6" i="288"/>
  <c r="V12" i="288" s="1"/>
  <c r="T6" i="288"/>
  <c r="R6" i="288"/>
  <c r="R12" i="288" s="1"/>
  <c r="P6" i="288"/>
  <c r="P12" i="288" s="1"/>
  <c r="N6" i="288"/>
  <c r="N12" i="288" s="1"/>
  <c r="L6" i="288"/>
  <c r="L12" i="288" s="1"/>
  <c r="J6" i="288"/>
  <c r="H6" i="288"/>
  <c r="H12" i="288" s="1"/>
  <c r="F6" i="288"/>
  <c r="F12" i="288" s="1"/>
  <c r="D6" i="288"/>
  <c r="Y12" i="293" l="1"/>
  <c r="V16" i="293" s="1"/>
  <c r="V24" i="293" s="1"/>
  <c r="Y12" i="292"/>
  <c r="V16" i="292" s="1"/>
  <c r="V24" i="292" s="1"/>
  <c r="Y12" i="291"/>
  <c r="V16" i="291" s="1"/>
  <c r="V24" i="291" s="1"/>
  <c r="Y12" i="289"/>
  <c r="V16" i="289" s="1"/>
  <c r="V24" i="289" s="1"/>
  <c r="Y8" i="288"/>
  <c r="J12" i="288"/>
  <c r="T12" i="288"/>
  <c r="Y7" i="288"/>
  <c r="Y10" i="288"/>
  <c r="Y9" i="288"/>
  <c r="D12" i="288"/>
  <c r="Y12" i="288" s="1"/>
  <c r="V16" i="288" s="1"/>
  <c r="V24" i="288" s="1"/>
  <c r="B21" i="288"/>
  <c r="Y6" i="288"/>
  <c r="V25" i="287" l="1"/>
  <c r="F22" i="287"/>
  <c r="S19" i="287"/>
  <c r="S20" i="287" s="1"/>
  <c r="Q19" i="287"/>
  <c r="Q20" i="287" s="1"/>
  <c r="P19" i="287"/>
  <c r="P20" i="287" s="1"/>
  <c r="L19" i="287"/>
  <c r="L20" i="287" s="1"/>
  <c r="J19" i="287"/>
  <c r="J20" i="287" s="1"/>
  <c r="H19" i="287"/>
  <c r="H20" i="287" s="1"/>
  <c r="M18" i="287"/>
  <c r="M19" i="287" s="1"/>
  <c r="M20" i="287" s="1"/>
  <c r="K18" i="287"/>
  <c r="K19" i="287" s="1"/>
  <c r="K20" i="287" s="1"/>
  <c r="E18" i="287"/>
  <c r="E19" i="287" s="1"/>
  <c r="E20" i="287" s="1"/>
  <c r="W12" i="287"/>
  <c r="V12" i="287"/>
  <c r="U12" i="287"/>
  <c r="I18" i="287" s="1"/>
  <c r="I19" i="287" s="1"/>
  <c r="I20" i="287" s="1"/>
  <c r="S12" i="287"/>
  <c r="Q12" i="287"/>
  <c r="O18" i="287" s="1"/>
  <c r="O19" i="287" s="1"/>
  <c r="O20" i="287" s="1"/>
  <c r="O12" i="287"/>
  <c r="N18" i="287" s="1"/>
  <c r="N19" i="287" s="1"/>
  <c r="N20" i="287" s="1"/>
  <c r="N12" i="287"/>
  <c r="M12" i="287"/>
  <c r="K12" i="287"/>
  <c r="G18" i="287" s="1"/>
  <c r="G19" i="287" s="1"/>
  <c r="G20" i="287" s="1"/>
  <c r="I12" i="287"/>
  <c r="F18" i="287" s="1"/>
  <c r="F19" i="287" s="1"/>
  <c r="F20" i="287" s="1"/>
  <c r="G12" i="287"/>
  <c r="F12" i="287"/>
  <c r="E12" i="287"/>
  <c r="D18" i="287" s="1"/>
  <c r="D19" i="287" s="1"/>
  <c r="D20" i="287" s="1"/>
  <c r="C12" i="287"/>
  <c r="B18" i="287" s="1"/>
  <c r="B19" i="287" s="1"/>
  <c r="B20" i="287" s="1"/>
  <c r="X11" i="287"/>
  <c r="V11" i="287"/>
  <c r="T11" i="287"/>
  <c r="R11" i="287"/>
  <c r="P11" i="287"/>
  <c r="N11" i="287"/>
  <c r="L11" i="287"/>
  <c r="J11" i="287"/>
  <c r="H11" i="287"/>
  <c r="F11" i="287"/>
  <c r="D11" i="287"/>
  <c r="X10" i="287"/>
  <c r="V10" i="287"/>
  <c r="T10" i="287"/>
  <c r="R10" i="287"/>
  <c r="P10" i="287"/>
  <c r="N10" i="287"/>
  <c r="L10" i="287"/>
  <c r="J10" i="287"/>
  <c r="H10" i="287"/>
  <c r="F10" i="287"/>
  <c r="D10" i="287"/>
  <c r="X9" i="287"/>
  <c r="V9" i="287"/>
  <c r="T9" i="287"/>
  <c r="R9" i="287"/>
  <c r="P9" i="287"/>
  <c r="N9" i="287"/>
  <c r="L9" i="287"/>
  <c r="J9" i="287"/>
  <c r="H9" i="287"/>
  <c r="F9" i="287"/>
  <c r="D9" i="287"/>
  <c r="X8" i="287"/>
  <c r="V8" i="287"/>
  <c r="T8" i="287"/>
  <c r="R8" i="287"/>
  <c r="P8" i="287"/>
  <c r="N8" i="287"/>
  <c r="L8" i="287"/>
  <c r="J8" i="287"/>
  <c r="Y8" i="287" s="1"/>
  <c r="H8" i="287"/>
  <c r="F8" i="287"/>
  <c r="D8" i="287"/>
  <c r="X7" i="287"/>
  <c r="V7" i="287"/>
  <c r="T7" i="287"/>
  <c r="R7" i="287"/>
  <c r="P7" i="287"/>
  <c r="N7" i="287"/>
  <c r="L7" i="287"/>
  <c r="J7" i="287"/>
  <c r="Y7" i="287" s="1"/>
  <c r="H7" i="287"/>
  <c r="F7" i="287"/>
  <c r="D7" i="287"/>
  <c r="X6" i="287"/>
  <c r="X12" i="287" s="1"/>
  <c r="V6" i="287"/>
  <c r="T6" i="287"/>
  <c r="R6" i="287"/>
  <c r="R12" i="287" s="1"/>
  <c r="P6" i="287"/>
  <c r="P12" i="287" s="1"/>
  <c r="N6" i="287"/>
  <c r="L6" i="287"/>
  <c r="L12" i="287" s="1"/>
  <c r="J6" i="287"/>
  <c r="H6" i="287"/>
  <c r="H12" i="287" s="1"/>
  <c r="F6" i="287"/>
  <c r="D6" i="287"/>
  <c r="T12" i="287" l="1"/>
  <c r="Y11" i="287"/>
  <c r="Y10" i="287"/>
  <c r="Y9" i="287"/>
  <c r="D12" i="287"/>
  <c r="J12" i="287"/>
  <c r="Y12" i="287" s="1"/>
  <c r="V16" i="287" s="1"/>
  <c r="V24" i="287" s="1"/>
  <c r="B21" i="287"/>
  <c r="Y6" i="287"/>
  <c r="V25" i="286"/>
  <c r="F22" i="286"/>
  <c r="S19" i="286"/>
  <c r="S20" i="286" s="1"/>
  <c r="Q19" i="286"/>
  <c r="Q20" i="286" s="1"/>
  <c r="P19" i="286"/>
  <c r="P20" i="286" s="1"/>
  <c r="L19" i="286"/>
  <c r="L20" i="286" s="1"/>
  <c r="J19" i="286"/>
  <c r="J20" i="286" s="1"/>
  <c r="H19" i="286"/>
  <c r="H20" i="286" s="1"/>
  <c r="E18" i="286"/>
  <c r="E19" i="286" s="1"/>
  <c r="E20" i="286" s="1"/>
  <c r="W12" i="286"/>
  <c r="K18" i="286" s="1"/>
  <c r="K19" i="286" s="1"/>
  <c r="K20" i="286" s="1"/>
  <c r="U12" i="286"/>
  <c r="I18" i="286" s="1"/>
  <c r="I19" i="286" s="1"/>
  <c r="I20" i="286" s="1"/>
  <c r="T12" i="286"/>
  <c r="S12" i="286"/>
  <c r="Q12" i="286"/>
  <c r="O18" i="286" s="1"/>
  <c r="O19" i="286" s="1"/>
  <c r="O20" i="286" s="1"/>
  <c r="O12" i="286"/>
  <c r="N18" i="286" s="1"/>
  <c r="N19" i="286" s="1"/>
  <c r="N20" i="286" s="1"/>
  <c r="M12" i="286"/>
  <c r="M18" i="286" s="1"/>
  <c r="M19" i="286" s="1"/>
  <c r="M20" i="286" s="1"/>
  <c r="L12" i="286"/>
  <c r="K12" i="286"/>
  <c r="G18" i="286" s="1"/>
  <c r="G19" i="286" s="1"/>
  <c r="G20" i="286" s="1"/>
  <c r="I12" i="286"/>
  <c r="F18" i="286" s="1"/>
  <c r="F19" i="286" s="1"/>
  <c r="F20" i="286" s="1"/>
  <c r="G12" i="286"/>
  <c r="E12" i="286"/>
  <c r="D18" i="286" s="1"/>
  <c r="D19" i="286" s="1"/>
  <c r="D20" i="286" s="1"/>
  <c r="C12" i="286"/>
  <c r="B18" i="286" s="1"/>
  <c r="B19" i="286" s="1"/>
  <c r="B20" i="286" s="1"/>
  <c r="X11" i="286"/>
  <c r="V11" i="286"/>
  <c r="T11" i="286"/>
  <c r="R11" i="286"/>
  <c r="P11" i="286"/>
  <c r="N11" i="286"/>
  <c r="L11" i="286"/>
  <c r="J11" i="286"/>
  <c r="H11" i="286"/>
  <c r="F11" i="286"/>
  <c r="Y11" i="286" s="1"/>
  <c r="D11" i="286"/>
  <c r="X10" i="286"/>
  <c r="V10" i="286"/>
  <c r="T10" i="286"/>
  <c r="R10" i="286"/>
  <c r="P10" i="286"/>
  <c r="N10" i="286"/>
  <c r="L10" i="286"/>
  <c r="J10" i="286"/>
  <c r="H10" i="286"/>
  <c r="F10" i="286"/>
  <c r="Y10" i="286" s="1"/>
  <c r="D10" i="286"/>
  <c r="X9" i="286"/>
  <c r="V9" i="286"/>
  <c r="T9" i="286"/>
  <c r="R9" i="286"/>
  <c r="P9" i="286"/>
  <c r="N9" i="286"/>
  <c r="L9" i="286"/>
  <c r="J9" i="286"/>
  <c r="H9" i="286"/>
  <c r="F9" i="286"/>
  <c r="D9" i="286"/>
  <c r="X8" i="286"/>
  <c r="V8" i="286"/>
  <c r="T8" i="286"/>
  <c r="R8" i="286"/>
  <c r="P8" i="286"/>
  <c r="N8" i="286"/>
  <c r="L8" i="286"/>
  <c r="J8" i="286"/>
  <c r="H8" i="286"/>
  <c r="F8" i="286"/>
  <c r="D8" i="286"/>
  <c r="X7" i="286"/>
  <c r="V7" i="286"/>
  <c r="T7" i="286"/>
  <c r="R7" i="286"/>
  <c r="P7" i="286"/>
  <c r="N7" i="286"/>
  <c r="L7" i="286"/>
  <c r="J7" i="286"/>
  <c r="H7" i="286"/>
  <c r="F7" i="286"/>
  <c r="D7" i="286"/>
  <c r="D12" i="286" s="1"/>
  <c r="X6" i="286"/>
  <c r="V6" i="286"/>
  <c r="V12" i="286" s="1"/>
  <c r="T6" i="286"/>
  <c r="R6" i="286"/>
  <c r="R12" i="286" s="1"/>
  <c r="P6" i="286"/>
  <c r="P12" i="286" s="1"/>
  <c r="N6" i="286"/>
  <c r="N12" i="286" s="1"/>
  <c r="L6" i="286"/>
  <c r="J6" i="286"/>
  <c r="H6" i="286"/>
  <c r="H12" i="286" s="1"/>
  <c r="F6" i="286"/>
  <c r="F12" i="286" s="1"/>
  <c r="D6" i="286"/>
  <c r="V25" i="285"/>
  <c r="F22" i="285"/>
  <c r="S19" i="285"/>
  <c r="S20" i="285" s="1"/>
  <c r="Q19" i="285"/>
  <c r="Q20" i="285" s="1"/>
  <c r="P19" i="285"/>
  <c r="P20" i="285" s="1"/>
  <c r="L19" i="285"/>
  <c r="L20" i="285" s="1"/>
  <c r="J19" i="285"/>
  <c r="J20" i="285" s="1"/>
  <c r="H19" i="285"/>
  <c r="H20" i="285" s="1"/>
  <c r="E18" i="285"/>
  <c r="E19" i="285" s="1"/>
  <c r="E20" i="285" s="1"/>
  <c r="W12" i="285"/>
  <c r="K18" i="285" s="1"/>
  <c r="K19" i="285" s="1"/>
  <c r="K20" i="285" s="1"/>
  <c r="U12" i="285"/>
  <c r="I18" i="285" s="1"/>
  <c r="I19" i="285" s="1"/>
  <c r="I20" i="285" s="1"/>
  <c r="S12" i="285"/>
  <c r="Q12" i="285"/>
  <c r="O18" i="285" s="1"/>
  <c r="O19" i="285" s="1"/>
  <c r="O20" i="285" s="1"/>
  <c r="O12" i="285"/>
  <c r="N18" i="285" s="1"/>
  <c r="N19" i="285" s="1"/>
  <c r="N20" i="285" s="1"/>
  <c r="M12" i="285"/>
  <c r="M18" i="285" s="1"/>
  <c r="M19" i="285" s="1"/>
  <c r="M20" i="285" s="1"/>
  <c r="K12" i="285"/>
  <c r="G18" i="285" s="1"/>
  <c r="G19" i="285" s="1"/>
  <c r="G20" i="285" s="1"/>
  <c r="I12" i="285"/>
  <c r="F18" i="285" s="1"/>
  <c r="F19" i="285" s="1"/>
  <c r="F20" i="285" s="1"/>
  <c r="G12" i="285"/>
  <c r="E12" i="285"/>
  <c r="D18" i="285" s="1"/>
  <c r="D19" i="285" s="1"/>
  <c r="D20" i="285" s="1"/>
  <c r="C12" i="285"/>
  <c r="B18" i="285" s="1"/>
  <c r="B19" i="285" s="1"/>
  <c r="B20" i="285" s="1"/>
  <c r="X11" i="285"/>
  <c r="V11" i="285"/>
  <c r="T11" i="285"/>
  <c r="R11" i="285"/>
  <c r="P11" i="285"/>
  <c r="N11" i="285"/>
  <c r="L11" i="285"/>
  <c r="J11" i="285"/>
  <c r="H11" i="285"/>
  <c r="F11" i="285"/>
  <c r="D11" i="285"/>
  <c r="Y11" i="285" s="1"/>
  <c r="X10" i="285"/>
  <c r="V10" i="285"/>
  <c r="T10" i="285"/>
  <c r="R10" i="285"/>
  <c r="P10" i="285"/>
  <c r="N10" i="285"/>
  <c r="L10" i="285"/>
  <c r="J10" i="285"/>
  <c r="H10" i="285"/>
  <c r="F10" i="285"/>
  <c r="D10" i="285"/>
  <c r="Y10" i="285" s="1"/>
  <c r="X9" i="285"/>
  <c r="V9" i="285"/>
  <c r="T9" i="285"/>
  <c r="R9" i="285"/>
  <c r="P9" i="285"/>
  <c r="N9" i="285"/>
  <c r="L9" i="285"/>
  <c r="J9" i="285"/>
  <c r="H9" i="285"/>
  <c r="F9" i="285"/>
  <c r="D9" i="285"/>
  <c r="X8" i="285"/>
  <c r="V8" i="285"/>
  <c r="T8" i="285"/>
  <c r="R8" i="285"/>
  <c r="P8" i="285"/>
  <c r="N8" i="285"/>
  <c r="L8" i="285"/>
  <c r="J8" i="285"/>
  <c r="H8" i="285"/>
  <c r="F8" i="285"/>
  <c r="D8" i="285"/>
  <c r="X7" i="285"/>
  <c r="V7" i="285"/>
  <c r="T7" i="285"/>
  <c r="R7" i="285"/>
  <c r="P7" i="285"/>
  <c r="N7" i="285"/>
  <c r="L7" i="285"/>
  <c r="J7" i="285"/>
  <c r="H7" i="285"/>
  <c r="F7" i="285"/>
  <c r="D7" i="285"/>
  <c r="Y7" i="285" s="1"/>
  <c r="X6" i="285"/>
  <c r="V6" i="285"/>
  <c r="V12" i="285" s="1"/>
  <c r="T6" i="285"/>
  <c r="T12" i="285" s="1"/>
  <c r="R6" i="285"/>
  <c r="R12" i="285" s="1"/>
  <c r="P6" i="285"/>
  <c r="P12" i="285" s="1"/>
  <c r="N6" i="285"/>
  <c r="N12" i="285" s="1"/>
  <c r="L6" i="285"/>
  <c r="L12" i="285" s="1"/>
  <c r="J6" i="285"/>
  <c r="H6" i="285"/>
  <c r="H12" i="285" s="1"/>
  <c r="F6" i="285"/>
  <c r="F12" i="285" s="1"/>
  <c r="D6" i="285"/>
  <c r="V25" i="284"/>
  <c r="F22" i="284"/>
  <c r="S19" i="284"/>
  <c r="S20" i="284" s="1"/>
  <c r="Q19" i="284"/>
  <c r="Q20" i="284" s="1"/>
  <c r="P19" i="284"/>
  <c r="P20" i="284" s="1"/>
  <c r="L19" i="284"/>
  <c r="L20" i="284" s="1"/>
  <c r="J19" i="284"/>
  <c r="J20" i="284" s="1"/>
  <c r="H19" i="284"/>
  <c r="H20" i="284" s="1"/>
  <c r="W12" i="284"/>
  <c r="K18" i="284" s="1"/>
  <c r="K19" i="284" s="1"/>
  <c r="K20" i="284" s="1"/>
  <c r="U12" i="284"/>
  <c r="I18" i="284" s="1"/>
  <c r="I19" i="284" s="1"/>
  <c r="I20" i="284" s="1"/>
  <c r="S12" i="284"/>
  <c r="Q12" i="284"/>
  <c r="O18" i="284" s="1"/>
  <c r="O19" i="284" s="1"/>
  <c r="O20" i="284" s="1"/>
  <c r="O12" i="284"/>
  <c r="N18" i="284" s="1"/>
  <c r="N19" i="284" s="1"/>
  <c r="N20" i="284" s="1"/>
  <c r="M12" i="284"/>
  <c r="M18" i="284" s="1"/>
  <c r="M19" i="284" s="1"/>
  <c r="M20" i="284" s="1"/>
  <c r="K12" i="284"/>
  <c r="G18" i="284" s="1"/>
  <c r="G19" i="284" s="1"/>
  <c r="G20" i="284" s="1"/>
  <c r="I12" i="284"/>
  <c r="F18" i="284" s="1"/>
  <c r="F19" i="284" s="1"/>
  <c r="F20" i="284" s="1"/>
  <c r="G12" i="284"/>
  <c r="E18" i="284" s="1"/>
  <c r="E19" i="284" s="1"/>
  <c r="E20" i="284" s="1"/>
  <c r="E12" i="284"/>
  <c r="D18" i="284" s="1"/>
  <c r="D19" i="284" s="1"/>
  <c r="D20" i="284" s="1"/>
  <c r="C12" i="284"/>
  <c r="B18" i="284" s="1"/>
  <c r="B19" i="284" s="1"/>
  <c r="B20" i="284" s="1"/>
  <c r="X11" i="284"/>
  <c r="V11" i="284"/>
  <c r="T11" i="284"/>
  <c r="R11" i="284"/>
  <c r="P11" i="284"/>
  <c r="N11" i="284"/>
  <c r="L11" i="284"/>
  <c r="J11" i="284"/>
  <c r="H11" i="284"/>
  <c r="F11" i="284"/>
  <c r="D11" i="284"/>
  <c r="Y11" i="284" s="1"/>
  <c r="X10" i="284"/>
  <c r="V10" i="284"/>
  <c r="T10" i="284"/>
  <c r="R10" i="284"/>
  <c r="P10" i="284"/>
  <c r="N10" i="284"/>
  <c r="L10" i="284"/>
  <c r="J10" i="284"/>
  <c r="H10" i="284"/>
  <c r="F10" i="284"/>
  <c r="D10" i="284"/>
  <c r="Y10" i="284" s="1"/>
  <c r="X9" i="284"/>
  <c r="V9" i="284"/>
  <c r="T9" i="284"/>
  <c r="R9" i="284"/>
  <c r="P9" i="284"/>
  <c r="N9" i="284"/>
  <c r="L9" i="284"/>
  <c r="J9" i="284"/>
  <c r="H9" i="284"/>
  <c r="F9" i="284"/>
  <c r="D9" i="284"/>
  <c r="Y9" i="284" s="1"/>
  <c r="X8" i="284"/>
  <c r="V8" i="284"/>
  <c r="T8" i="284"/>
  <c r="R8" i="284"/>
  <c r="P8" i="284"/>
  <c r="N8" i="284"/>
  <c r="L8" i="284"/>
  <c r="J8" i="284"/>
  <c r="H8" i="284"/>
  <c r="F8" i="284"/>
  <c r="D8" i="284"/>
  <c r="X7" i="284"/>
  <c r="V7" i="284"/>
  <c r="T7" i="284"/>
  <c r="R7" i="284"/>
  <c r="P7" i="284"/>
  <c r="N7" i="284"/>
  <c r="L7" i="284"/>
  <c r="J7" i="284"/>
  <c r="H7" i="284"/>
  <c r="F7" i="284"/>
  <c r="D7" i="284"/>
  <c r="X6" i="284"/>
  <c r="X12" i="284" s="1"/>
  <c r="V6" i="284"/>
  <c r="V12" i="284" s="1"/>
  <c r="T6" i="284"/>
  <c r="T12" i="284" s="1"/>
  <c r="R6" i="284"/>
  <c r="R12" i="284" s="1"/>
  <c r="P6" i="284"/>
  <c r="P12" i="284" s="1"/>
  <c r="N6" i="284"/>
  <c r="N12" i="284" s="1"/>
  <c r="L6" i="284"/>
  <c r="L12" i="284" s="1"/>
  <c r="J6" i="284"/>
  <c r="H6" i="284"/>
  <c r="F6" i="284"/>
  <c r="F12" i="284" s="1"/>
  <c r="D6" i="284"/>
  <c r="Y9" i="286" l="1"/>
  <c r="X12" i="286"/>
  <c r="J12" i="286"/>
  <c r="Y8" i="286"/>
  <c r="Y7" i="286"/>
  <c r="B21" i="286"/>
  <c r="Y12" i="286"/>
  <c r="V16" i="286" s="1"/>
  <c r="V24" i="286" s="1"/>
  <c r="Y6" i="286"/>
  <c r="X12" i="285"/>
  <c r="Y8" i="285"/>
  <c r="Y9" i="285"/>
  <c r="J12" i="285"/>
  <c r="D12" i="285"/>
  <c r="B21" i="285"/>
  <c r="Y6" i="285"/>
  <c r="Y8" i="284"/>
  <c r="J12" i="284"/>
  <c r="Y7" i="284"/>
  <c r="H12" i="284"/>
  <c r="D12" i="284"/>
  <c r="B21" i="284"/>
  <c r="Y6" i="284"/>
  <c r="Y12" i="285" l="1"/>
  <c r="V16" i="285" s="1"/>
  <c r="V24" i="285" s="1"/>
  <c r="Y12" i="284"/>
  <c r="V16" i="284" s="1"/>
  <c r="V24" i="284" s="1"/>
  <c r="V25" i="283" l="1"/>
  <c r="F22" i="283"/>
  <c r="S19" i="283"/>
  <c r="S20" i="283" s="1"/>
  <c r="Q19" i="283"/>
  <c r="Q20" i="283" s="1"/>
  <c r="P19" i="283"/>
  <c r="P20" i="283" s="1"/>
  <c r="L19" i="283"/>
  <c r="L20" i="283" s="1"/>
  <c r="J19" i="283"/>
  <c r="J20" i="283" s="1"/>
  <c r="H19" i="283"/>
  <c r="H20" i="283" s="1"/>
  <c r="K18" i="283"/>
  <c r="K19" i="283" s="1"/>
  <c r="K20" i="283" s="1"/>
  <c r="W12" i="283"/>
  <c r="U12" i="283"/>
  <c r="I18" i="283" s="1"/>
  <c r="I19" i="283" s="1"/>
  <c r="I20" i="283" s="1"/>
  <c r="S12" i="283"/>
  <c r="Q12" i="283"/>
  <c r="O18" i="283" s="1"/>
  <c r="O19" i="283" s="1"/>
  <c r="O20" i="283" s="1"/>
  <c r="O12" i="283"/>
  <c r="N18" i="283" s="1"/>
  <c r="N19" i="283" s="1"/>
  <c r="N20" i="283" s="1"/>
  <c r="M12" i="283"/>
  <c r="M18" i="283" s="1"/>
  <c r="M19" i="283" s="1"/>
  <c r="M20" i="283" s="1"/>
  <c r="K12" i="283"/>
  <c r="G18" i="283" s="1"/>
  <c r="G19" i="283" s="1"/>
  <c r="G20" i="283" s="1"/>
  <c r="I12" i="283"/>
  <c r="F18" i="283" s="1"/>
  <c r="F19" i="283" s="1"/>
  <c r="F20" i="283" s="1"/>
  <c r="G12" i="283"/>
  <c r="E18" i="283" s="1"/>
  <c r="E19" i="283" s="1"/>
  <c r="E20" i="283" s="1"/>
  <c r="E12" i="283"/>
  <c r="D18" i="283" s="1"/>
  <c r="D19" i="283" s="1"/>
  <c r="D20" i="283" s="1"/>
  <c r="C12" i="283"/>
  <c r="B18" i="283" s="1"/>
  <c r="B19" i="283" s="1"/>
  <c r="B20" i="283" s="1"/>
  <c r="X11" i="283"/>
  <c r="V11" i="283"/>
  <c r="T11" i="283"/>
  <c r="R11" i="283"/>
  <c r="P11" i="283"/>
  <c r="N11" i="283"/>
  <c r="L11" i="283"/>
  <c r="J11" i="283"/>
  <c r="H11" i="283"/>
  <c r="Y11" i="283" s="1"/>
  <c r="F11" i="283"/>
  <c r="D11" i="283"/>
  <c r="X10" i="283"/>
  <c r="V10" i="283"/>
  <c r="T10" i="283"/>
  <c r="R10" i="283"/>
  <c r="P10" i="283"/>
  <c r="N10" i="283"/>
  <c r="L10" i="283"/>
  <c r="J10" i="283"/>
  <c r="H10" i="283"/>
  <c r="Y10" i="283" s="1"/>
  <c r="F10" i="283"/>
  <c r="D10" i="283"/>
  <c r="X9" i="283"/>
  <c r="V9" i="283"/>
  <c r="T9" i="283"/>
  <c r="R9" i="283"/>
  <c r="P9" i="283"/>
  <c r="N9" i="283"/>
  <c r="L9" i="283"/>
  <c r="J9" i="283"/>
  <c r="H9" i="283"/>
  <c r="F9" i="283"/>
  <c r="D9" i="283"/>
  <c r="X8" i="283"/>
  <c r="V8" i="283"/>
  <c r="T8" i="283"/>
  <c r="R8" i="283"/>
  <c r="P8" i="283"/>
  <c r="N8" i="283"/>
  <c r="L8" i="283"/>
  <c r="J8" i="283"/>
  <c r="H8" i="283"/>
  <c r="F8" i="283"/>
  <c r="D8" i="283"/>
  <c r="X7" i="283"/>
  <c r="V7" i="283"/>
  <c r="T7" i="283"/>
  <c r="R7" i="283"/>
  <c r="P7" i="283"/>
  <c r="N7" i="283"/>
  <c r="L7" i="283"/>
  <c r="J7" i="283"/>
  <c r="H7" i="283"/>
  <c r="F7" i="283"/>
  <c r="D7" i="283"/>
  <c r="X6" i="283"/>
  <c r="X12" i="283" s="1"/>
  <c r="V6" i="283"/>
  <c r="T6" i="283"/>
  <c r="T12" i="283" s="1"/>
  <c r="R6" i="283"/>
  <c r="R12" i="283" s="1"/>
  <c r="P6" i="283"/>
  <c r="P12" i="283" s="1"/>
  <c r="N6" i="283"/>
  <c r="N12" i="283" s="1"/>
  <c r="L6" i="283"/>
  <c r="L12" i="283" s="1"/>
  <c r="J6" i="283"/>
  <c r="H6" i="283"/>
  <c r="F6" i="283"/>
  <c r="D6" i="283"/>
  <c r="F12" i="283" l="1"/>
  <c r="V12" i="283"/>
  <c r="Y9" i="283"/>
  <c r="J12" i="283"/>
  <c r="H12" i="283"/>
  <c r="Y8" i="283"/>
  <c r="Y7" i="283"/>
  <c r="D12" i="283"/>
  <c r="B21" i="283"/>
  <c r="Y6" i="283"/>
  <c r="V25" i="282"/>
  <c r="F22" i="282"/>
  <c r="S19" i="282"/>
  <c r="S20" i="282" s="1"/>
  <c r="Q19" i="282"/>
  <c r="Q20" i="282" s="1"/>
  <c r="P19" i="282"/>
  <c r="P20" i="282" s="1"/>
  <c r="L19" i="282"/>
  <c r="L20" i="282" s="1"/>
  <c r="J19" i="282"/>
  <c r="J20" i="282" s="1"/>
  <c r="H19" i="282"/>
  <c r="H20" i="282" s="1"/>
  <c r="O18" i="282"/>
  <c r="O19" i="282" s="1"/>
  <c r="O20" i="282" s="1"/>
  <c r="D18" i="282"/>
  <c r="D19" i="282" s="1"/>
  <c r="D20" i="282" s="1"/>
  <c r="X12" i="282"/>
  <c r="W12" i="282"/>
  <c r="K18" i="282" s="1"/>
  <c r="K19" i="282" s="1"/>
  <c r="K20" i="282" s="1"/>
  <c r="U12" i="282"/>
  <c r="I18" i="282" s="1"/>
  <c r="I19" i="282" s="1"/>
  <c r="I20" i="282" s="1"/>
  <c r="S12" i="282"/>
  <c r="Q12" i="282"/>
  <c r="P12" i="282"/>
  <c r="O12" i="282"/>
  <c r="N18" i="282" s="1"/>
  <c r="N19" i="282" s="1"/>
  <c r="N20" i="282" s="1"/>
  <c r="M12" i="282"/>
  <c r="M18" i="282" s="1"/>
  <c r="M19" i="282" s="1"/>
  <c r="M20" i="282" s="1"/>
  <c r="K12" i="282"/>
  <c r="G18" i="282" s="1"/>
  <c r="G19" i="282" s="1"/>
  <c r="G20" i="282" s="1"/>
  <c r="I12" i="282"/>
  <c r="F18" i="282" s="1"/>
  <c r="F19" i="282" s="1"/>
  <c r="F20" i="282" s="1"/>
  <c r="G12" i="282"/>
  <c r="E18" i="282" s="1"/>
  <c r="E19" i="282" s="1"/>
  <c r="E20" i="282" s="1"/>
  <c r="E12" i="282"/>
  <c r="C12" i="282"/>
  <c r="B18" i="282" s="1"/>
  <c r="B19" i="282" s="1"/>
  <c r="B20" i="282" s="1"/>
  <c r="X11" i="282"/>
  <c r="V11" i="282"/>
  <c r="T11" i="282"/>
  <c r="R11" i="282"/>
  <c r="P11" i="282"/>
  <c r="N11" i="282"/>
  <c r="L11" i="282"/>
  <c r="J11" i="282"/>
  <c r="H11" i="282"/>
  <c r="F11" i="282"/>
  <c r="D11" i="282"/>
  <c r="Y11" i="282" s="1"/>
  <c r="X10" i="282"/>
  <c r="V10" i="282"/>
  <c r="T10" i="282"/>
  <c r="R10" i="282"/>
  <c r="P10" i="282"/>
  <c r="N10" i="282"/>
  <c r="L10" i="282"/>
  <c r="J10" i="282"/>
  <c r="H10" i="282"/>
  <c r="F10" i="282"/>
  <c r="D10" i="282"/>
  <c r="X9" i="282"/>
  <c r="V9" i="282"/>
  <c r="T9" i="282"/>
  <c r="R9" i="282"/>
  <c r="P9" i="282"/>
  <c r="N9" i="282"/>
  <c r="L9" i="282"/>
  <c r="J9" i="282"/>
  <c r="H9" i="282"/>
  <c r="F9" i="282"/>
  <c r="D9" i="282"/>
  <c r="X8" i="282"/>
  <c r="V8" i="282"/>
  <c r="T8" i="282"/>
  <c r="R8" i="282"/>
  <c r="P8" i="282"/>
  <c r="N8" i="282"/>
  <c r="L8" i="282"/>
  <c r="J8" i="282"/>
  <c r="H8" i="282"/>
  <c r="F8" i="282"/>
  <c r="D8" i="282"/>
  <c r="X7" i="282"/>
  <c r="V7" i="282"/>
  <c r="T7" i="282"/>
  <c r="R7" i="282"/>
  <c r="P7" i="282"/>
  <c r="N7" i="282"/>
  <c r="L7" i="282"/>
  <c r="J7" i="282"/>
  <c r="H7" i="282"/>
  <c r="F7" i="282"/>
  <c r="D7" i="282"/>
  <c r="X6" i="282"/>
  <c r="V6" i="282"/>
  <c r="T6" i="282"/>
  <c r="T12" i="282" s="1"/>
  <c r="R6" i="282"/>
  <c r="R12" i="282" s="1"/>
  <c r="P6" i="282"/>
  <c r="N6" i="282"/>
  <c r="N12" i="282" s="1"/>
  <c r="L6" i="282"/>
  <c r="L12" i="282" s="1"/>
  <c r="J6" i="282"/>
  <c r="H6" i="282"/>
  <c r="F6" i="282"/>
  <c r="F12" i="282" s="1"/>
  <c r="D6" i="282"/>
  <c r="Y12" i="283" l="1"/>
  <c r="V16" i="283" s="1"/>
  <c r="V24" i="283" s="1"/>
  <c r="H12" i="282"/>
  <c r="J12" i="282"/>
  <c r="V12" i="282"/>
  <c r="Y6" i="282"/>
  <c r="Y10" i="282"/>
  <c r="Y9" i="282"/>
  <c r="Y8" i="282"/>
  <c r="Y7" i="282"/>
  <c r="B21" i="282"/>
  <c r="D12" i="282"/>
  <c r="Y12" i="282" s="1"/>
  <c r="V16" i="282" s="1"/>
  <c r="V24" i="282" s="1"/>
  <c r="V25" i="281"/>
  <c r="F22" i="281"/>
  <c r="S19" i="281"/>
  <c r="S20" i="281" s="1"/>
  <c r="Q19" i="281"/>
  <c r="Q20" i="281" s="1"/>
  <c r="P19" i="281"/>
  <c r="P20" i="281" s="1"/>
  <c r="L19" i="281"/>
  <c r="L20" i="281" s="1"/>
  <c r="J19" i="281"/>
  <c r="J20" i="281" s="1"/>
  <c r="H19" i="281"/>
  <c r="H20" i="281" s="1"/>
  <c r="K18" i="281"/>
  <c r="K19" i="281" s="1"/>
  <c r="K20" i="281" s="1"/>
  <c r="W12" i="281"/>
  <c r="U12" i="281"/>
  <c r="I18" i="281" s="1"/>
  <c r="I19" i="281" s="1"/>
  <c r="I20" i="281" s="1"/>
  <c r="S12" i="281"/>
  <c r="Q12" i="281"/>
  <c r="O18" i="281" s="1"/>
  <c r="O19" i="281" s="1"/>
  <c r="O20" i="281" s="1"/>
  <c r="O12" i="281"/>
  <c r="N18" i="281" s="1"/>
  <c r="N19" i="281" s="1"/>
  <c r="N20" i="281" s="1"/>
  <c r="N12" i="281"/>
  <c r="M12" i="281"/>
  <c r="M18" i="281" s="1"/>
  <c r="M19" i="281" s="1"/>
  <c r="M20" i="281" s="1"/>
  <c r="K12" i="281"/>
  <c r="G18" i="281" s="1"/>
  <c r="G19" i="281" s="1"/>
  <c r="G20" i="281" s="1"/>
  <c r="I12" i="281"/>
  <c r="F18" i="281" s="1"/>
  <c r="F19" i="281" s="1"/>
  <c r="F20" i="281" s="1"/>
  <c r="G12" i="281"/>
  <c r="E18" i="281" s="1"/>
  <c r="E19" i="281" s="1"/>
  <c r="E20" i="281" s="1"/>
  <c r="E12" i="281"/>
  <c r="D18" i="281" s="1"/>
  <c r="D19" i="281" s="1"/>
  <c r="D20" i="281" s="1"/>
  <c r="C12" i="281"/>
  <c r="B18" i="281" s="1"/>
  <c r="B19" i="281" s="1"/>
  <c r="B20" i="281" s="1"/>
  <c r="X11" i="281"/>
  <c r="V11" i="281"/>
  <c r="T11" i="281"/>
  <c r="R11" i="281"/>
  <c r="P11" i="281"/>
  <c r="N11" i="281"/>
  <c r="L11" i="281"/>
  <c r="J11" i="281"/>
  <c r="H11" i="281"/>
  <c r="Y11" i="281" s="1"/>
  <c r="F11" i="281"/>
  <c r="D11" i="281"/>
  <c r="X10" i="281"/>
  <c r="V10" i="281"/>
  <c r="T10" i="281"/>
  <c r="R10" i="281"/>
  <c r="P10" i="281"/>
  <c r="N10" i="281"/>
  <c r="L10" i="281"/>
  <c r="J10" i="281"/>
  <c r="H10" i="281"/>
  <c r="Y10" i="281" s="1"/>
  <c r="F10" i="281"/>
  <c r="D10" i="281"/>
  <c r="X9" i="281"/>
  <c r="V9" i="281"/>
  <c r="T9" i="281"/>
  <c r="R9" i="281"/>
  <c r="P9" i="281"/>
  <c r="N9" i="281"/>
  <c r="L9" i="281"/>
  <c r="J9" i="281"/>
  <c r="H9" i="281"/>
  <c r="F9" i="281"/>
  <c r="D9" i="281"/>
  <c r="X8" i="281"/>
  <c r="V8" i="281"/>
  <c r="T8" i="281"/>
  <c r="R8" i="281"/>
  <c r="P8" i="281"/>
  <c r="N8" i="281"/>
  <c r="L8" i="281"/>
  <c r="J8" i="281"/>
  <c r="H8" i="281"/>
  <c r="F8" i="281"/>
  <c r="D8" i="281"/>
  <c r="X7" i="281"/>
  <c r="V7" i="281"/>
  <c r="T7" i="281"/>
  <c r="R7" i="281"/>
  <c r="P7" i="281"/>
  <c r="N7" i="281"/>
  <c r="L7" i="281"/>
  <c r="J7" i="281"/>
  <c r="H7" i="281"/>
  <c r="F7" i="281"/>
  <c r="F12" i="281" s="1"/>
  <c r="D7" i="281"/>
  <c r="X6" i="281"/>
  <c r="X12" i="281" s="1"/>
  <c r="V6" i="281"/>
  <c r="T6" i="281"/>
  <c r="T12" i="281" s="1"/>
  <c r="R6" i="281"/>
  <c r="R12" i="281" s="1"/>
  <c r="P6" i="281"/>
  <c r="P12" i="281" s="1"/>
  <c r="N6" i="281"/>
  <c r="L6" i="281"/>
  <c r="L12" i="281" s="1"/>
  <c r="J6" i="281"/>
  <c r="H6" i="281"/>
  <c r="F6" i="281"/>
  <c r="D6" i="281"/>
  <c r="V25" i="280"/>
  <c r="F22" i="280"/>
  <c r="S19" i="280"/>
  <c r="S20" i="280" s="1"/>
  <c r="Q19" i="280"/>
  <c r="Q20" i="280" s="1"/>
  <c r="P19" i="280"/>
  <c r="P20" i="280" s="1"/>
  <c r="L19" i="280"/>
  <c r="L20" i="280" s="1"/>
  <c r="J19" i="280"/>
  <c r="J20" i="280" s="1"/>
  <c r="H19" i="280"/>
  <c r="H20" i="280" s="1"/>
  <c r="K18" i="280"/>
  <c r="K19" i="280" s="1"/>
  <c r="K20" i="280" s="1"/>
  <c r="E18" i="280"/>
  <c r="E19" i="280" s="1"/>
  <c r="E20" i="280" s="1"/>
  <c r="W12" i="280"/>
  <c r="V12" i="280"/>
  <c r="U12" i="280"/>
  <c r="I18" i="280" s="1"/>
  <c r="I19" i="280" s="1"/>
  <c r="I20" i="280" s="1"/>
  <c r="S12" i="280"/>
  <c r="Q12" i="280"/>
  <c r="O18" i="280" s="1"/>
  <c r="O19" i="280" s="1"/>
  <c r="O20" i="280" s="1"/>
  <c r="O12" i="280"/>
  <c r="N18" i="280" s="1"/>
  <c r="N19" i="280" s="1"/>
  <c r="N20" i="280" s="1"/>
  <c r="N12" i="280"/>
  <c r="M12" i="280"/>
  <c r="M18" i="280" s="1"/>
  <c r="M19" i="280" s="1"/>
  <c r="M20" i="280" s="1"/>
  <c r="K12" i="280"/>
  <c r="G18" i="280" s="1"/>
  <c r="G19" i="280" s="1"/>
  <c r="G20" i="280" s="1"/>
  <c r="I12" i="280"/>
  <c r="F18" i="280" s="1"/>
  <c r="F19" i="280" s="1"/>
  <c r="F20" i="280" s="1"/>
  <c r="G12" i="280"/>
  <c r="E12" i="280"/>
  <c r="D18" i="280" s="1"/>
  <c r="D19" i="280" s="1"/>
  <c r="D20" i="280" s="1"/>
  <c r="C12" i="280"/>
  <c r="B18" i="280" s="1"/>
  <c r="B19" i="280" s="1"/>
  <c r="B20" i="280" s="1"/>
  <c r="X11" i="280"/>
  <c r="V11" i="280"/>
  <c r="T11" i="280"/>
  <c r="R11" i="280"/>
  <c r="P11" i="280"/>
  <c r="N11" i="280"/>
  <c r="L11" i="280"/>
  <c r="J11" i="280"/>
  <c r="H11" i="280"/>
  <c r="Y11" i="280" s="1"/>
  <c r="F11" i="280"/>
  <c r="D11" i="280"/>
  <c r="X10" i="280"/>
  <c r="V10" i="280"/>
  <c r="T10" i="280"/>
  <c r="R10" i="280"/>
  <c r="P10" i="280"/>
  <c r="N10" i="280"/>
  <c r="L10" i="280"/>
  <c r="J10" i="280"/>
  <c r="H10" i="280"/>
  <c r="Y10" i="280" s="1"/>
  <c r="F10" i="280"/>
  <c r="D10" i="280"/>
  <c r="X9" i="280"/>
  <c r="V9" i="280"/>
  <c r="T9" i="280"/>
  <c r="R9" i="280"/>
  <c r="P9" i="280"/>
  <c r="N9" i="280"/>
  <c r="L9" i="280"/>
  <c r="J9" i="280"/>
  <c r="H9" i="280"/>
  <c r="F9" i="280"/>
  <c r="D9" i="280"/>
  <c r="X8" i="280"/>
  <c r="V8" i="280"/>
  <c r="T8" i="280"/>
  <c r="R8" i="280"/>
  <c r="P8" i="280"/>
  <c r="N8" i="280"/>
  <c r="L8" i="280"/>
  <c r="J8" i="280"/>
  <c r="H8" i="280"/>
  <c r="F8" i="280"/>
  <c r="D8" i="280"/>
  <c r="X7" i="280"/>
  <c r="V7" i="280"/>
  <c r="T7" i="280"/>
  <c r="R7" i="280"/>
  <c r="P7" i="280"/>
  <c r="N7" i="280"/>
  <c r="L7" i="280"/>
  <c r="J7" i="280"/>
  <c r="H7" i="280"/>
  <c r="F7" i="280"/>
  <c r="F12" i="280" s="1"/>
  <c r="D7" i="280"/>
  <c r="X6" i="280"/>
  <c r="X12" i="280" s="1"/>
  <c r="V6" i="280"/>
  <c r="T6" i="280"/>
  <c r="T12" i="280" s="1"/>
  <c r="R6" i="280"/>
  <c r="R12" i="280" s="1"/>
  <c r="P6" i="280"/>
  <c r="P12" i="280" s="1"/>
  <c r="N6" i="280"/>
  <c r="L6" i="280"/>
  <c r="L12" i="280" s="1"/>
  <c r="J6" i="280"/>
  <c r="H6" i="280"/>
  <c r="H12" i="280" s="1"/>
  <c r="F6" i="280"/>
  <c r="D6" i="280"/>
  <c r="V25" i="279"/>
  <c r="F22" i="279"/>
  <c r="S19" i="279"/>
  <c r="S20" i="279" s="1"/>
  <c r="Q19" i="279"/>
  <c r="Q20" i="279" s="1"/>
  <c r="P19" i="279"/>
  <c r="P20" i="279" s="1"/>
  <c r="L19" i="279"/>
  <c r="L20" i="279" s="1"/>
  <c r="J19" i="279"/>
  <c r="J20" i="279" s="1"/>
  <c r="H19" i="279"/>
  <c r="H20" i="279" s="1"/>
  <c r="O18" i="279"/>
  <c r="O19" i="279" s="1"/>
  <c r="O20" i="279" s="1"/>
  <c r="K18" i="279"/>
  <c r="K19" i="279" s="1"/>
  <c r="K20" i="279" s="1"/>
  <c r="E18" i="279"/>
  <c r="E19" i="279" s="1"/>
  <c r="E20" i="279" s="1"/>
  <c r="D18" i="279"/>
  <c r="D19" i="279" s="1"/>
  <c r="D20" i="279" s="1"/>
  <c r="W12" i="279"/>
  <c r="U12" i="279"/>
  <c r="I18" i="279" s="1"/>
  <c r="I19" i="279" s="1"/>
  <c r="I20" i="279" s="1"/>
  <c r="T12" i="279"/>
  <c r="S12" i="279"/>
  <c r="Q12" i="279"/>
  <c r="O12" i="279"/>
  <c r="N18" i="279" s="1"/>
  <c r="N19" i="279" s="1"/>
  <c r="N20" i="279" s="1"/>
  <c r="M12" i="279"/>
  <c r="M18" i="279" s="1"/>
  <c r="M19" i="279" s="1"/>
  <c r="M20" i="279" s="1"/>
  <c r="L12" i="279"/>
  <c r="K12" i="279"/>
  <c r="G18" i="279" s="1"/>
  <c r="G19" i="279" s="1"/>
  <c r="G20" i="279" s="1"/>
  <c r="I12" i="279"/>
  <c r="F18" i="279" s="1"/>
  <c r="F19" i="279" s="1"/>
  <c r="F20" i="279" s="1"/>
  <c r="H12" i="279"/>
  <c r="G12" i="279"/>
  <c r="E12" i="279"/>
  <c r="C12" i="279"/>
  <c r="B18" i="279" s="1"/>
  <c r="B19" i="279" s="1"/>
  <c r="B20" i="279" s="1"/>
  <c r="X11" i="279"/>
  <c r="V11" i="279"/>
  <c r="T11" i="279"/>
  <c r="R11" i="279"/>
  <c r="P11" i="279"/>
  <c r="N11" i="279"/>
  <c r="L11" i="279"/>
  <c r="J11" i="279"/>
  <c r="H11" i="279"/>
  <c r="F11" i="279"/>
  <c r="Y11" i="279" s="1"/>
  <c r="D11" i="279"/>
  <c r="X10" i="279"/>
  <c r="V10" i="279"/>
  <c r="T10" i="279"/>
  <c r="R10" i="279"/>
  <c r="P10" i="279"/>
  <c r="N10" i="279"/>
  <c r="L10" i="279"/>
  <c r="J10" i="279"/>
  <c r="H10" i="279"/>
  <c r="F10" i="279"/>
  <c r="Y10" i="279" s="1"/>
  <c r="D10" i="279"/>
  <c r="X9" i="279"/>
  <c r="V9" i="279"/>
  <c r="T9" i="279"/>
  <c r="R9" i="279"/>
  <c r="P9" i="279"/>
  <c r="N9" i="279"/>
  <c r="L9" i="279"/>
  <c r="J9" i="279"/>
  <c r="H9" i="279"/>
  <c r="F9" i="279"/>
  <c r="D9" i="279"/>
  <c r="X8" i="279"/>
  <c r="V8" i="279"/>
  <c r="T8" i="279"/>
  <c r="R8" i="279"/>
  <c r="P8" i="279"/>
  <c r="N8" i="279"/>
  <c r="L8" i="279"/>
  <c r="J8" i="279"/>
  <c r="H8" i="279"/>
  <c r="F8" i="279"/>
  <c r="D8" i="279"/>
  <c r="X7" i="279"/>
  <c r="V7" i="279"/>
  <c r="T7" i="279"/>
  <c r="R7" i="279"/>
  <c r="P7" i="279"/>
  <c r="N7" i="279"/>
  <c r="L7" i="279"/>
  <c r="J7" i="279"/>
  <c r="H7" i="279"/>
  <c r="F7" i="279"/>
  <c r="D7" i="279"/>
  <c r="X6" i="279"/>
  <c r="X12" i="279" s="1"/>
  <c r="V6" i="279"/>
  <c r="V12" i="279" s="1"/>
  <c r="T6" i="279"/>
  <c r="R6" i="279"/>
  <c r="R12" i="279" s="1"/>
  <c r="P6" i="279"/>
  <c r="P12" i="279" s="1"/>
  <c r="N6" i="279"/>
  <c r="N12" i="279" s="1"/>
  <c r="L6" i="279"/>
  <c r="J6" i="279"/>
  <c r="H6" i="279"/>
  <c r="F6" i="279"/>
  <c r="F12" i="279" s="1"/>
  <c r="D6" i="279"/>
  <c r="V12" i="281" l="1"/>
  <c r="Y9" i="281"/>
  <c r="H12" i="281"/>
  <c r="J12" i="281"/>
  <c r="D12" i="281"/>
  <c r="Y12" i="281" s="1"/>
  <c r="V16" i="281" s="1"/>
  <c r="V24" i="281" s="1"/>
  <c r="Y8" i="281"/>
  <c r="Y7" i="281"/>
  <c r="B21" i="281"/>
  <c r="Y6" i="281"/>
  <c r="J12" i="280"/>
  <c r="Y9" i="280"/>
  <c r="D12" i="280"/>
  <c r="Y8" i="280"/>
  <c r="Y7" i="280"/>
  <c r="B21" i="280"/>
  <c r="Y6" i="280"/>
  <c r="D12" i="279"/>
  <c r="J12" i="279"/>
  <c r="Y12" i="279" s="1"/>
  <c r="V16" i="279" s="1"/>
  <c r="V24" i="279" s="1"/>
  <c r="Y9" i="279"/>
  <c r="Y8" i="279"/>
  <c r="Y7" i="279"/>
  <c r="B21" i="279"/>
  <c r="Y6" i="279"/>
  <c r="V25" i="278"/>
  <c r="F22" i="278"/>
  <c r="S19" i="278"/>
  <c r="S20" i="278" s="1"/>
  <c r="Q19" i="278"/>
  <c r="Q20" i="278" s="1"/>
  <c r="P19" i="278"/>
  <c r="P20" i="278" s="1"/>
  <c r="L19" i="278"/>
  <c r="L20" i="278" s="1"/>
  <c r="J19" i="278"/>
  <c r="J20" i="278" s="1"/>
  <c r="H19" i="278"/>
  <c r="H20" i="278" s="1"/>
  <c r="D19" i="278"/>
  <c r="D20" i="278" s="1"/>
  <c r="O18" i="278"/>
  <c r="O19" i="278" s="1"/>
  <c r="O20" i="278" s="1"/>
  <c r="M18" i="278"/>
  <c r="M19" i="278" s="1"/>
  <c r="M20" i="278" s="1"/>
  <c r="D18" i="278"/>
  <c r="X12" i="278"/>
  <c r="W12" i="278"/>
  <c r="K18" i="278" s="1"/>
  <c r="K19" i="278" s="1"/>
  <c r="K20" i="278" s="1"/>
  <c r="U12" i="278"/>
  <c r="I18" i="278" s="1"/>
  <c r="I19" i="278" s="1"/>
  <c r="I20" i="278" s="1"/>
  <c r="S12" i="278"/>
  <c r="Q12" i="278"/>
  <c r="P12" i="278"/>
  <c r="O12" i="278"/>
  <c r="N18" i="278" s="1"/>
  <c r="N19" i="278" s="1"/>
  <c r="N20" i="278" s="1"/>
  <c r="N12" i="278"/>
  <c r="M12" i="278"/>
  <c r="K12" i="278"/>
  <c r="G18" i="278" s="1"/>
  <c r="G19" i="278" s="1"/>
  <c r="G20" i="278" s="1"/>
  <c r="I12" i="278"/>
  <c r="F18" i="278" s="1"/>
  <c r="F19" i="278" s="1"/>
  <c r="F20" i="278" s="1"/>
  <c r="H12" i="278"/>
  <c r="G12" i="278"/>
  <c r="E18" i="278" s="1"/>
  <c r="E19" i="278" s="1"/>
  <c r="E20" i="278" s="1"/>
  <c r="F12" i="278"/>
  <c r="E12" i="278"/>
  <c r="C12" i="278"/>
  <c r="B18" i="278" s="1"/>
  <c r="B19" i="278" s="1"/>
  <c r="B20" i="278" s="1"/>
  <c r="X11" i="278"/>
  <c r="V11" i="278"/>
  <c r="T11" i="278"/>
  <c r="R11" i="278"/>
  <c r="P11" i="278"/>
  <c r="N11" i="278"/>
  <c r="L11" i="278"/>
  <c r="J11" i="278"/>
  <c r="Y11" i="278" s="1"/>
  <c r="H11" i="278"/>
  <c r="F11" i="278"/>
  <c r="D11" i="278"/>
  <c r="X10" i="278"/>
  <c r="V10" i="278"/>
  <c r="T10" i="278"/>
  <c r="R10" i="278"/>
  <c r="P10" i="278"/>
  <c r="N10" i="278"/>
  <c r="L10" i="278"/>
  <c r="J10" i="278"/>
  <c r="Y10" i="278" s="1"/>
  <c r="H10" i="278"/>
  <c r="F10" i="278"/>
  <c r="D10" i="278"/>
  <c r="X9" i="278"/>
  <c r="V9" i="278"/>
  <c r="T9" i="278"/>
  <c r="R9" i="278"/>
  <c r="P9" i="278"/>
  <c r="N9" i="278"/>
  <c r="L9" i="278"/>
  <c r="J9" i="278"/>
  <c r="H9" i="278"/>
  <c r="F9" i="278"/>
  <c r="D9" i="278"/>
  <c r="X8" i="278"/>
  <c r="V8" i="278"/>
  <c r="T8" i="278"/>
  <c r="R8" i="278"/>
  <c r="P8" i="278"/>
  <c r="N8" i="278"/>
  <c r="L8" i="278"/>
  <c r="J8" i="278"/>
  <c r="Y8" i="278" s="1"/>
  <c r="H8" i="278"/>
  <c r="F8" i="278"/>
  <c r="D8" i="278"/>
  <c r="X7" i="278"/>
  <c r="V7" i="278"/>
  <c r="V12" i="278" s="1"/>
  <c r="T7" i="278"/>
  <c r="R7" i="278"/>
  <c r="P7" i="278"/>
  <c r="N7" i="278"/>
  <c r="L7" i="278"/>
  <c r="J7" i="278"/>
  <c r="Y7" i="278" s="1"/>
  <c r="H7" i="278"/>
  <c r="F7" i="278"/>
  <c r="D7" i="278"/>
  <c r="X6" i="278"/>
  <c r="V6" i="278"/>
  <c r="T6" i="278"/>
  <c r="T12" i="278" s="1"/>
  <c r="R6" i="278"/>
  <c r="R12" i="278" s="1"/>
  <c r="P6" i="278"/>
  <c r="N6" i="278"/>
  <c r="L6" i="278"/>
  <c r="L12" i="278" s="1"/>
  <c r="J6" i="278"/>
  <c r="H6" i="278"/>
  <c r="F6" i="278"/>
  <c r="D6" i="278"/>
  <c r="Y12" i="280" l="1"/>
  <c r="V16" i="280" s="1"/>
  <c r="V24" i="280" s="1"/>
  <c r="J12" i="278"/>
  <c r="D12" i="278"/>
  <c r="Y9" i="278"/>
  <c r="B21" i="278"/>
  <c r="Y6" i="278"/>
  <c r="Y12" i="278" l="1"/>
  <c r="V16" i="278" s="1"/>
  <c r="V24" i="278" s="1"/>
  <c r="V25" i="276" l="1"/>
  <c r="F22" i="276"/>
  <c r="S19" i="276"/>
  <c r="S20" i="276" s="1"/>
  <c r="Q19" i="276"/>
  <c r="Q20" i="276" s="1"/>
  <c r="P19" i="276"/>
  <c r="P20" i="276" s="1"/>
  <c r="L19" i="276"/>
  <c r="L20" i="276" s="1"/>
  <c r="J19" i="276"/>
  <c r="J20" i="276" s="1"/>
  <c r="H19" i="276"/>
  <c r="H20" i="276" s="1"/>
  <c r="O18" i="276"/>
  <c r="O19" i="276" s="1"/>
  <c r="O20" i="276" s="1"/>
  <c r="K18" i="276"/>
  <c r="K19" i="276" s="1"/>
  <c r="K20" i="276" s="1"/>
  <c r="I18" i="276"/>
  <c r="I19" i="276" s="1"/>
  <c r="I20" i="276" s="1"/>
  <c r="E18" i="276"/>
  <c r="E19" i="276" s="1"/>
  <c r="E20" i="276" s="1"/>
  <c r="X12" i="276"/>
  <c r="W12" i="276"/>
  <c r="U12" i="276"/>
  <c r="T12" i="276"/>
  <c r="S12" i="276"/>
  <c r="Q12" i="276"/>
  <c r="P12" i="276"/>
  <c r="O12" i="276"/>
  <c r="N18" i="276" s="1"/>
  <c r="N19" i="276" s="1"/>
  <c r="N20" i="276" s="1"/>
  <c r="M12" i="276"/>
  <c r="M18" i="276" s="1"/>
  <c r="M19" i="276" s="1"/>
  <c r="M20" i="276" s="1"/>
  <c r="L12" i="276"/>
  <c r="K12" i="276"/>
  <c r="G18" i="276" s="1"/>
  <c r="G19" i="276" s="1"/>
  <c r="G20" i="276" s="1"/>
  <c r="I12" i="276"/>
  <c r="F18" i="276" s="1"/>
  <c r="F19" i="276" s="1"/>
  <c r="F20" i="276" s="1"/>
  <c r="H12" i="276"/>
  <c r="G12" i="276"/>
  <c r="E12" i="276"/>
  <c r="D18" i="276" s="1"/>
  <c r="D19" i="276" s="1"/>
  <c r="D20" i="276" s="1"/>
  <c r="C12" i="276"/>
  <c r="B18" i="276" s="1"/>
  <c r="B19" i="276" s="1"/>
  <c r="B20" i="276" s="1"/>
  <c r="X11" i="276"/>
  <c r="V11" i="276"/>
  <c r="T11" i="276"/>
  <c r="R11" i="276"/>
  <c r="P11" i="276"/>
  <c r="N11" i="276"/>
  <c r="L11" i="276"/>
  <c r="J11" i="276"/>
  <c r="H11" i="276"/>
  <c r="F11" i="276"/>
  <c r="D11" i="276"/>
  <c r="Y11" i="276" s="1"/>
  <c r="X10" i="276"/>
  <c r="V10" i="276"/>
  <c r="T10" i="276"/>
  <c r="R10" i="276"/>
  <c r="P10" i="276"/>
  <c r="N10" i="276"/>
  <c r="L10" i="276"/>
  <c r="J10" i="276"/>
  <c r="H10" i="276"/>
  <c r="F10" i="276"/>
  <c r="D10" i="276"/>
  <c r="X9" i="276"/>
  <c r="V9" i="276"/>
  <c r="T9" i="276"/>
  <c r="R9" i="276"/>
  <c r="P9" i="276"/>
  <c r="N9" i="276"/>
  <c r="L9" i="276"/>
  <c r="J9" i="276"/>
  <c r="H9" i="276"/>
  <c r="F9" i="276"/>
  <c r="D9" i="276"/>
  <c r="X8" i="276"/>
  <c r="V8" i="276"/>
  <c r="T8" i="276"/>
  <c r="R8" i="276"/>
  <c r="P8" i="276"/>
  <c r="N8" i="276"/>
  <c r="L8" i="276"/>
  <c r="J8" i="276"/>
  <c r="H8" i="276"/>
  <c r="F8" i="276"/>
  <c r="D8" i="276"/>
  <c r="X7" i="276"/>
  <c r="V7" i="276"/>
  <c r="T7" i="276"/>
  <c r="R7" i="276"/>
  <c r="P7" i="276"/>
  <c r="N7" i="276"/>
  <c r="L7" i="276"/>
  <c r="J7" i="276"/>
  <c r="H7" i="276"/>
  <c r="F7" i="276"/>
  <c r="D7" i="276"/>
  <c r="X6" i="276"/>
  <c r="V6" i="276"/>
  <c r="V12" i="276" s="1"/>
  <c r="T6" i="276"/>
  <c r="R6" i="276"/>
  <c r="R12" i="276" s="1"/>
  <c r="P6" i="276"/>
  <c r="N6" i="276"/>
  <c r="N12" i="276" s="1"/>
  <c r="L6" i="276"/>
  <c r="J6" i="276"/>
  <c r="H6" i="276"/>
  <c r="F6" i="276"/>
  <c r="F12" i="276" s="1"/>
  <c r="D6" i="276"/>
  <c r="Y7" i="276" l="1"/>
  <c r="Y8" i="276"/>
  <c r="J12" i="276"/>
  <c r="Y10" i="276"/>
  <c r="Y9" i="276"/>
  <c r="Y6" i="276"/>
  <c r="D12" i="276"/>
  <c r="Y12" i="276" s="1"/>
  <c r="V16" i="276" s="1"/>
  <c r="V24" i="276" s="1"/>
  <c r="B21" i="276"/>
  <c r="V25" i="275"/>
  <c r="F22" i="275"/>
  <c r="S19" i="275"/>
  <c r="S20" i="275" s="1"/>
  <c r="Q19" i="275"/>
  <c r="Q20" i="275" s="1"/>
  <c r="P19" i="275"/>
  <c r="P20" i="275" s="1"/>
  <c r="L19" i="275"/>
  <c r="L20" i="275" s="1"/>
  <c r="J19" i="275"/>
  <c r="J20" i="275" s="1"/>
  <c r="H19" i="275"/>
  <c r="H20" i="275" s="1"/>
  <c r="O18" i="275"/>
  <c r="O19" i="275" s="1"/>
  <c r="O20" i="275" s="1"/>
  <c r="I18" i="275"/>
  <c r="I19" i="275" s="1"/>
  <c r="I20" i="275" s="1"/>
  <c r="W12" i="275"/>
  <c r="K18" i="275" s="1"/>
  <c r="K19" i="275" s="1"/>
  <c r="K20" i="275" s="1"/>
  <c r="U12" i="275"/>
  <c r="S12" i="275"/>
  <c r="Q12" i="275"/>
  <c r="P12" i="275"/>
  <c r="O12" i="275"/>
  <c r="N18" i="275" s="1"/>
  <c r="N19" i="275" s="1"/>
  <c r="N20" i="275" s="1"/>
  <c r="M12" i="275"/>
  <c r="M18" i="275" s="1"/>
  <c r="M19" i="275" s="1"/>
  <c r="M20" i="275" s="1"/>
  <c r="K12" i="275"/>
  <c r="G18" i="275" s="1"/>
  <c r="G19" i="275" s="1"/>
  <c r="G20" i="275" s="1"/>
  <c r="I12" i="275"/>
  <c r="F18" i="275" s="1"/>
  <c r="F19" i="275" s="1"/>
  <c r="F20" i="275" s="1"/>
  <c r="H12" i="275"/>
  <c r="G12" i="275"/>
  <c r="E18" i="275" s="1"/>
  <c r="E19" i="275" s="1"/>
  <c r="E20" i="275" s="1"/>
  <c r="E12" i="275"/>
  <c r="D18" i="275" s="1"/>
  <c r="D19" i="275" s="1"/>
  <c r="D20" i="275" s="1"/>
  <c r="C12" i="275"/>
  <c r="B18" i="275" s="1"/>
  <c r="B19" i="275" s="1"/>
  <c r="B20" i="275" s="1"/>
  <c r="X11" i="275"/>
  <c r="V11" i="275"/>
  <c r="T11" i="275"/>
  <c r="R11" i="275"/>
  <c r="P11" i="275"/>
  <c r="N11" i="275"/>
  <c r="L11" i="275"/>
  <c r="J11" i="275"/>
  <c r="H11" i="275"/>
  <c r="F11" i="275"/>
  <c r="D11" i="275"/>
  <c r="Y11" i="275" s="1"/>
  <c r="X10" i="275"/>
  <c r="X12" i="275" s="1"/>
  <c r="V10" i="275"/>
  <c r="T10" i="275"/>
  <c r="R10" i="275"/>
  <c r="P10" i="275"/>
  <c r="N10" i="275"/>
  <c r="L10" i="275"/>
  <c r="J10" i="275"/>
  <c r="H10" i="275"/>
  <c r="F10" i="275"/>
  <c r="D10" i="275"/>
  <c r="X9" i="275"/>
  <c r="V9" i="275"/>
  <c r="T9" i="275"/>
  <c r="R9" i="275"/>
  <c r="P9" i="275"/>
  <c r="N9" i="275"/>
  <c r="L9" i="275"/>
  <c r="J9" i="275"/>
  <c r="H9" i="275"/>
  <c r="F9" i="275"/>
  <c r="D9" i="275"/>
  <c r="X8" i="275"/>
  <c r="V8" i="275"/>
  <c r="T8" i="275"/>
  <c r="R8" i="275"/>
  <c r="P8" i="275"/>
  <c r="N8" i="275"/>
  <c r="L8" i="275"/>
  <c r="J8" i="275"/>
  <c r="H8" i="275"/>
  <c r="F8" i="275"/>
  <c r="D8" i="275"/>
  <c r="X7" i="275"/>
  <c r="V7" i="275"/>
  <c r="T7" i="275"/>
  <c r="R7" i="275"/>
  <c r="P7" i="275"/>
  <c r="N7" i="275"/>
  <c r="L7" i="275"/>
  <c r="J7" i="275"/>
  <c r="H7" i="275"/>
  <c r="F7" i="275"/>
  <c r="D7" i="275"/>
  <c r="X6" i="275"/>
  <c r="V6" i="275"/>
  <c r="T6" i="275"/>
  <c r="T12" i="275" s="1"/>
  <c r="R6" i="275"/>
  <c r="R12" i="275" s="1"/>
  <c r="P6" i="275"/>
  <c r="N6" i="275"/>
  <c r="N12" i="275" s="1"/>
  <c r="L6" i="275"/>
  <c r="L12" i="275" s="1"/>
  <c r="J6" i="275"/>
  <c r="H6" i="275"/>
  <c r="F6" i="275"/>
  <c r="D6" i="275"/>
  <c r="V25" i="274"/>
  <c r="F22" i="274"/>
  <c r="S19" i="274"/>
  <c r="S20" i="274" s="1"/>
  <c r="Q19" i="274"/>
  <c r="Q20" i="274" s="1"/>
  <c r="P19" i="274"/>
  <c r="P20" i="274" s="1"/>
  <c r="L19" i="274"/>
  <c r="L20" i="274" s="1"/>
  <c r="J19" i="274"/>
  <c r="J20" i="274" s="1"/>
  <c r="H19" i="274"/>
  <c r="H20" i="274" s="1"/>
  <c r="O18" i="274"/>
  <c r="O19" i="274" s="1"/>
  <c r="O20" i="274" s="1"/>
  <c r="E18" i="274"/>
  <c r="E19" i="274" s="1"/>
  <c r="E20" i="274" s="1"/>
  <c r="W12" i="274"/>
  <c r="K18" i="274" s="1"/>
  <c r="K19" i="274" s="1"/>
  <c r="K20" i="274" s="1"/>
  <c r="U12" i="274"/>
  <c r="I18" i="274" s="1"/>
  <c r="I19" i="274" s="1"/>
  <c r="I20" i="274" s="1"/>
  <c r="T12" i="274"/>
  <c r="S12" i="274"/>
  <c r="Q12" i="274"/>
  <c r="P12" i="274"/>
  <c r="O12" i="274"/>
  <c r="N18" i="274" s="1"/>
  <c r="N19" i="274" s="1"/>
  <c r="N20" i="274" s="1"/>
  <c r="M12" i="274"/>
  <c r="M18" i="274" s="1"/>
  <c r="M19" i="274" s="1"/>
  <c r="M20" i="274" s="1"/>
  <c r="K12" i="274"/>
  <c r="G18" i="274" s="1"/>
  <c r="G19" i="274" s="1"/>
  <c r="G20" i="274" s="1"/>
  <c r="I12" i="274"/>
  <c r="F18" i="274" s="1"/>
  <c r="F19" i="274" s="1"/>
  <c r="F20" i="274" s="1"/>
  <c r="H12" i="274"/>
  <c r="G12" i="274"/>
  <c r="E12" i="274"/>
  <c r="D18" i="274" s="1"/>
  <c r="D19" i="274" s="1"/>
  <c r="D20" i="274" s="1"/>
  <c r="C12" i="274"/>
  <c r="B18" i="274" s="1"/>
  <c r="B19" i="274" s="1"/>
  <c r="B20" i="274" s="1"/>
  <c r="X11" i="274"/>
  <c r="V11" i="274"/>
  <c r="T11" i="274"/>
  <c r="R11" i="274"/>
  <c r="P11" i="274"/>
  <c r="N11" i="274"/>
  <c r="L11" i="274"/>
  <c r="J11" i="274"/>
  <c r="H11" i="274"/>
  <c r="F11" i="274"/>
  <c r="Y11" i="274" s="1"/>
  <c r="D11" i="274"/>
  <c r="X10" i="274"/>
  <c r="V10" i="274"/>
  <c r="T10" i="274"/>
  <c r="R10" i="274"/>
  <c r="P10" i="274"/>
  <c r="N10" i="274"/>
  <c r="L10" i="274"/>
  <c r="J10" i="274"/>
  <c r="H10" i="274"/>
  <c r="F10" i="274"/>
  <c r="Y10" i="274" s="1"/>
  <c r="D10" i="274"/>
  <c r="X9" i="274"/>
  <c r="X12" i="274" s="1"/>
  <c r="V9" i="274"/>
  <c r="T9" i="274"/>
  <c r="R9" i="274"/>
  <c r="P9" i="274"/>
  <c r="N9" i="274"/>
  <c r="L9" i="274"/>
  <c r="J9" i="274"/>
  <c r="H9" i="274"/>
  <c r="F9" i="274"/>
  <c r="D9" i="274"/>
  <c r="X8" i="274"/>
  <c r="V8" i="274"/>
  <c r="T8" i="274"/>
  <c r="R8" i="274"/>
  <c r="P8" i="274"/>
  <c r="N8" i="274"/>
  <c r="L8" i="274"/>
  <c r="L12" i="274" s="1"/>
  <c r="J8" i="274"/>
  <c r="H8" i="274"/>
  <c r="F8" i="274"/>
  <c r="D8" i="274"/>
  <c r="X7" i="274"/>
  <c r="V7" i="274"/>
  <c r="T7" i="274"/>
  <c r="R7" i="274"/>
  <c r="P7" i="274"/>
  <c r="N7" i="274"/>
  <c r="L7" i="274"/>
  <c r="J7" i="274"/>
  <c r="H7" i="274"/>
  <c r="F7" i="274"/>
  <c r="D7" i="274"/>
  <c r="X6" i="274"/>
  <c r="V6" i="274"/>
  <c r="T6" i="274"/>
  <c r="R6" i="274"/>
  <c r="R12" i="274" s="1"/>
  <c r="P6" i="274"/>
  <c r="N6" i="274"/>
  <c r="N12" i="274" s="1"/>
  <c r="L6" i="274"/>
  <c r="J6" i="274"/>
  <c r="H6" i="274"/>
  <c r="F6" i="274"/>
  <c r="D6" i="274"/>
  <c r="Y8" i="275" l="1"/>
  <c r="F12" i="275"/>
  <c r="V12" i="275"/>
  <c r="J12" i="275"/>
  <c r="Y6" i="275"/>
  <c r="Y10" i="275"/>
  <c r="Y7" i="275"/>
  <c r="Y9" i="275"/>
  <c r="B21" i="275"/>
  <c r="D12" i="275"/>
  <c r="D12" i="274"/>
  <c r="V12" i="274"/>
  <c r="J12" i="274"/>
  <c r="Y7" i="274"/>
  <c r="F12" i="274"/>
  <c r="Y9" i="274"/>
  <c r="Y8" i="274"/>
  <c r="B21" i="274"/>
  <c r="Y6" i="274"/>
  <c r="Y12" i="275" l="1"/>
  <c r="V16" i="275" s="1"/>
  <c r="V24" i="275" s="1"/>
  <c r="Y12" i="274"/>
  <c r="V16" i="274" s="1"/>
  <c r="V24" i="274" s="1"/>
  <c r="V25" i="273" l="1"/>
  <c r="F22" i="273"/>
  <c r="S19" i="273"/>
  <c r="S20" i="273" s="1"/>
  <c r="Q19" i="273"/>
  <c r="Q20" i="273" s="1"/>
  <c r="P19" i="273"/>
  <c r="P20" i="273" s="1"/>
  <c r="L19" i="273"/>
  <c r="L20" i="273" s="1"/>
  <c r="J19" i="273"/>
  <c r="J20" i="273" s="1"/>
  <c r="H19" i="273"/>
  <c r="H20" i="273" s="1"/>
  <c r="O18" i="273"/>
  <c r="O19" i="273" s="1"/>
  <c r="O20" i="273" s="1"/>
  <c r="M18" i="273"/>
  <c r="M19" i="273" s="1"/>
  <c r="M20" i="273" s="1"/>
  <c r="I18" i="273"/>
  <c r="I19" i="273" s="1"/>
  <c r="I20" i="273" s="1"/>
  <c r="X12" i="273"/>
  <c r="W12" i="273"/>
  <c r="K18" i="273" s="1"/>
  <c r="K19" i="273" s="1"/>
  <c r="K20" i="273" s="1"/>
  <c r="U12" i="273"/>
  <c r="T12" i="273"/>
  <c r="S12" i="273"/>
  <c r="Q12" i="273"/>
  <c r="P12" i="273"/>
  <c r="O12" i="273"/>
  <c r="N18" i="273" s="1"/>
  <c r="N19" i="273" s="1"/>
  <c r="N20" i="273" s="1"/>
  <c r="M12" i="273"/>
  <c r="K12" i="273"/>
  <c r="G18" i="273" s="1"/>
  <c r="G19" i="273" s="1"/>
  <c r="G20" i="273" s="1"/>
  <c r="I12" i="273"/>
  <c r="F18" i="273" s="1"/>
  <c r="F19" i="273" s="1"/>
  <c r="F20" i="273" s="1"/>
  <c r="H12" i="273"/>
  <c r="G12" i="273"/>
  <c r="E18" i="273" s="1"/>
  <c r="E19" i="273" s="1"/>
  <c r="E20" i="273" s="1"/>
  <c r="E12" i="273"/>
  <c r="D18" i="273" s="1"/>
  <c r="D19" i="273" s="1"/>
  <c r="D20" i="273" s="1"/>
  <c r="C12" i="273"/>
  <c r="B18" i="273" s="1"/>
  <c r="B19" i="273" s="1"/>
  <c r="B20" i="273" s="1"/>
  <c r="X11" i="273"/>
  <c r="V11" i="273"/>
  <c r="T11" i="273"/>
  <c r="R11" i="273"/>
  <c r="P11" i="273"/>
  <c r="N11" i="273"/>
  <c r="L11" i="273"/>
  <c r="J11" i="273"/>
  <c r="H11" i="273"/>
  <c r="F11" i="273"/>
  <c r="Y11" i="273" s="1"/>
  <c r="D11" i="273"/>
  <c r="X10" i="273"/>
  <c r="V10" i="273"/>
  <c r="T10" i="273"/>
  <c r="R10" i="273"/>
  <c r="P10" i="273"/>
  <c r="N10" i="273"/>
  <c r="L10" i="273"/>
  <c r="J10" i="273"/>
  <c r="H10" i="273"/>
  <c r="F10" i="273"/>
  <c r="D10" i="273"/>
  <c r="X9" i="273"/>
  <c r="V9" i="273"/>
  <c r="T9" i="273"/>
  <c r="R9" i="273"/>
  <c r="P9" i="273"/>
  <c r="N9" i="273"/>
  <c r="L9" i="273"/>
  <c r="J9" i="273"/>
  <c r="H9" i="273"/>
  <c r="F9" i="273"/>
  <c r="D9" i="273"/>
  <c r="X8" i="273"/>
  <c r="V8" i="273"/>
  <c r="T8" i="273"/>
  <c r="R8" i="273"/>
  <c r="P8" i="273"/>
  <c r="N8" i="273"/>
  <c r="L8" i="273"/>
  <c r="L12" i="273" s="1"/>
  <c r="J8" i="273"/>
  <c r="H8" i="273"/>
  <c r="F8" i="273"/>
  <c r="D8" i="273"/>
  <c r="X7" i="273"/>
  <c r="V7" i="273"/>
  <c r="T7" i="273"/>
  <c r="R7" i="273"/>
  <c r="P7" i="273"/>
  <c r="N7" i="273"/>
  <c r="L7" i="273"/>
  <c r="J7" i="273"/>
  <c r="H7" i="273"/>
  <c r="F7" i="273"/>
  <c r="D7" i="273"/>
  <c r="X6" i="273"/>
  <c r="V6" i="273"/>
  <c r="V12" i="273" s="1"/>
  <c r="T6" i="273"/>
  <c r="R6" i="273"/>
  <c r="R12" i="273" s="1"/>
  <c r="P6" i="273"/>
  <c r="N6" i="273"/>
  <c r="N12" i="273" s="1"/>
  <c r="L6" i="273"/>
  <c r="J6" i="273"/>
  <c r="H6" i="273"/>
  <c r="F6" i="273"/>
  <c r="D6" i="273"/>
  <c r="V25" i="272"/>
  <c r="F22" i="272"/>
  <c r="S19" i="272"/>
  <c r="S20" i="272" s="1"/>
  <c r="Q19" i="272"/>
  <c r="Q20" i="272" s="1"/>
  <c r="P19" i="272"/>
  <c r="P20" i="272" s="1"/>
  <c r="L19" i="272"/>
  <c r="L20" i="272" s="1"/>
  <c r="J19" i="272"/>
  <c r="J20" i="272" s="1"/>
  <c r="H19" i="272"/>
  <c r="H20" i="272" s="1"/>
  <c r="W12" i="272"/>
  <c r="K18" i="272" s="1"/>
  <c r="K19" i="272" s="1"/>
  <c r="K20" i="272" s="1"/>
  <c r="U12" i="272"/>
  <c r="I18" i="272" s="1"/>
  <c r="I19" i="272" s="1"/>
  <c r="I20" i="272" s="1"/>
  <c r="S12" i="272"/>
  <c r="Q12" i="272"/>
  <c r="O18" i="272" s="1"/>
  <c r="O19" i="272" s="1"/>
  <c r="O20" i="272" s="1"/>
  <c r="O12" i="272"/>
  <c r="N18" i="272" s="1"/>
  <c r="N19" i="272" s="1"/>
  <c r="N20" i="272" s="1"/>
  <c r="M12" i="272"/>
  <c r="M18" i="272" s="1"/>
  <c r="M19" i="272" s="1"/>
  <c r="M20" i="272" s="1"/>
  <c r="K12" i="272"/>
  <c r="G18" i="272" s="1"/>
  <c r="G19" i="272" s="1"/>
  <c r="G20" i="272" s="1"/>
  <c r="I12" i="272"/>
  <c r="F18" i="272" s="1"/>
  <c r="F19" i="272" s="1"/>
  <c r="F20" i="272" s="1"/>
  <c r="G12" i="272"/>
  <c r="E18" i="272" s="1"/>
  <c r="E19" i="272" s="1"/>
  <c r="E20" i="272" s="1"/>
  <c r="E12" i="272"/>
  <c r="D18" i="272" s="1"/>
  <c r="D19" i="272" s="1"/>
  <c r="D20" i="272" s="1"/>
  <c r="C12" i="272"/>
  <c r="B18" i="272" s="1"/>
  <c r="B19" i="272" s="1"/>
  <c r="B20" i="272" s="1"/>
  <c r="X11" i="272"/>
  <c r="V11" i="272"/>
  <c r="T11" i="272"/>
  <c r="R11" i="272"/>
  <c r="P11" i="272"/>
  <c r="N11" i="272"/>
  <c r="L11" i="272"/>
  <c r="J11" i="272"/>
  <c r="H11" i="272"/>
  <c r="F11" i="272"/>
  <c r="D11" i="272"/>
  <c r="Y11" i="272" s="1"/>
  <c r="X10" i="272"/>
  <c r="V10" i="272"/>
  <c r="T10" i="272"/>
  <c r="R10" i="272"/>
  <c r="P10" i="272"/>
  <c r="N10" i="272"/>
  <c r="L10" i="272"/>
  <c r="J10" i="272"/>
  <c r="H10" i="272"/>
  <c r="F10" i="272"/>
  <c r="D10" i="272"/>
  <c r="X9" i="272"/>
  <c r="V9" i="272"/>
  <c r="T9" i="272"/>
  <c r="R9" i="272"/>
  <c r="P9" i="272"/>
  <c r="N9" i="272"/>
  <c r="L9" i="272"/>
  <c r="J9" i="272"/>
  <c r="H9" i="272"/>
  <c r="F9" i="272"/>
  <c r="D9" i="272"/>
  <c r="X8" i="272"/>
  <c r="V8" i="272"/>
  <c r="T8" i="272"/>
  <c r="R8" i="272"/>
  <c r="P8" i="272"/>
  <c r="N8" i="272"/>
  <c r="L8" i="272"/>
  <c r="J8" i="272"/>
  <c r="H8" i="272"/>
  <c r="F8" i="272"/>
  <c r="D8" i="272"/>
  <c r="X7" i="272"/>
  <c r="V7" i="272"/>
  <c r="T7" i="272"/>
  <c r="R7" i="272"/>
  <c r="P7" i="272"/>
  <c r="N7" i="272"/>
  <c r="L7" i="272"/>
  <c r="J7" i="272"/>
  <c r="H7" i="272"/>
  <c r="F7" i="272"/>
  <c r="D7" i="272"/>
  <c r="X6" i="272"/>
  <c r="X12" i="272" s="1"/>
  <c r="V6" i="272"/>
  <c r="T6" i="272"/>
  <c r="T12" i="272" s="1"/>
  <c r="R6" i="272"/>
  <c r="R12" i="272" s="1"/>
  <c r="P6" i="272"/>
  <c r="P12" i="272" s="1"/>
  <c r="N6" i="272"/>
  <c r="N12" i="272" s="1"/>
  <c r="L6" i="272"/>
  <c r="J6" i="272"/>
  <c r="H6" i="272"/>
  <c r="H12" i="272" s="1"/>
  <c r="F6" i="272"/>
  <c r="D6" i="272"/>
  <c r="F12" i="273" l="1"/>
  <c r="D12" i="273"/>
  <c r="J12" i="273"/>
  <c r="Y7" i="273"/>
  <c r="Y10" i="273"/>
  <c r="Y9" i="273"/>
  <c r="Y8" i="273"/>
  <c r="B21" i="273"/>
  <c r="Y6" i="273"/>
  <c r="F12" i="272"/>
  <c r="L12" i="272"/>
  <c r="Y8" i="272"/>
  <c r="V12" i="272"/>
  <c r="J12" i="272"/>
  <c r="Y7" i="272"/>
  <c r="Y10" i="272"/>
  <c r="Y9" i="272"/>
  <c r="D12" i="272"/>
  <c r="B21" i="272"/>
  <c r="Y6" i="272"/>
  <c r="Y12" i="273" l="1"/>
  <c r="V16" i="273" s="1"/>
  <c r="V24" i="273" s="1"/>
  <c r="Y12" i="272"/>
  <c r="V16" i="272" s="1"/>
  <c r="V24" i="272" s="1"/>
  <c r="V25" i="271" l="1"/>
  <c r="F22" i="271"/>
  <c r="S19" i="271"/>
  <c r="S20" i="271" s="1"/>
  <c r="Q19" i="271"/>
  <c r="Q20" i="271" s="1"/>
  <c r="P19" i="271"/>
  <c r="P20" i="271" s="1"/>
  <c r="L19" i="271"/>
  <c r="L20" i="271" s="1"/>
  <c r="J19" i="271"/>
  <c r="J20" i="271" s="1"/>
  <c r="H19" i="271"/>
  <c r="H20" i="271" s="1"/>
  <c r="K18" i="271"/>
  <c r="K19" i="271" s="1"/>
  <c r="K20" i="271" s="1"/>
  <c r="E18" i="271"/>
  <c r="E19" i="271" s="1"/>
  <c r="E20" i="271" s="1"/>
  <c r="W12" i="271"/>
  <c r="U12" i="271"/>
  <c r="I18" i="271" s="1"/>
  <c r="I19" i="271" s="1"/>
  <c r="I20" i="271" s="1"/>
  <c r="T12" i="271"/>
  <c r="S12" i="271"/>
  <c r="Q12" i="271"/>
  <c r="O18" i="271" s="1"/>
  <c r="O19" i="271" s="1"/>
  <c r="O20" i="271" s="1"/>
  <c r="O12" i="271"/>
  <c r="N18" i="271" s="1"/>
  <c r="N19" i="271" s="1"/>
  <c r="N20" i="271" s="1"/>
  <c r="M12" i="271"/>
  <c r="M18" i="271" s="1"/>
  <c r="M19" i="271" s="1"/>
  <c r="M20" i="271" s="1"/>
  <c r="L12" i="271"/>
  <c r="K12" i="271"/>
  <c r="G18" i="271" s="1"/>
  <c r="G19" i="271" s="1"/>
  <c r="G20" i="271" s="1"/>
  <c r="I12" i="271"/>
  <c r="F18" i="271" s="1"/>
  <c r="F19" i="271" s="1"/>
  <c r="F20" i="271" s="1"/>
  <c r="G12" i="271"/>
  <c r="E12" i="271"/>
  <c r="D18" i="271" s="1"/>
  <c r="D19" i="271" s="1"/>
  <c r="D20" i="271" s="1"/>
  <c r="C12" i="271"/>
  <c r="B18" i="271" s="1"/>
  <c r="B19" i="271" s="1"/>
  <c r="B20" i="271" s="1"/>
  <c r="X11" i="271"/>
  <c r="V11" i="271"/>
  <c r="T11" i="271"/>
  <c r="R11" i="271"/>
  <c r="P11" i="271"/>
  <c r="N11" i="271"/>
  <c r="L11" i="271"/>
  <c r="J11" i="271"/>
  <c r="H11" i="271"/>
  <c r="F11" i="271"/>
  <c r="Y11" i="271" s="1"/>
  <c r="D11" i="271"/>
  <c r="X10" i="271"/>
  <c r="V10" i="271"/>
  <c r="T10" i="271"/>
  <c r="R10" i="271"/>
  <c r="P10" i="271"/>
  <c r="N10" i="271"/>
  <c r="L10" i="271"/>
  <c r="J10" i="271"/>
  <c r="H10" i="271"/>
  <c r="F10" i="271"/>
  <c r="D10" i="271"/>
  <c r="X9" i="271"/>
  <c r="V9" i="271"/>
  <c r="T9" i="271"/>
  <c r="R9" i="271"/>
  <c r="P9" i="271"/>
  <c r="N9" i="271"/>
  <c r="L9" i="271"/>
  <c r="J9" i="271"/>
  <c r="H9" i="271"/>
  <c r="F9" i="271"/>
  <c r="D9" i="271"/>
  <c r="X8" i="271"/>
  <c r="V8" i="271"/>
  <c r="T8" i="271"/>
  <c r="R8" i="271"/>
  <c r="P8" i="271"/>
  <c r="N8" i="271"/>
  <c r="L8" i="271"/>
  <c r="J8" i="271"/>
  <c r="H8" i="271"/>
  <c r="F8" i="271"/>
  <c r="D8" i="271"/>
  <c r="X7" i="271"/>
  <c r="V7" i="271"/>
  <c r="T7" i="271"/>
  <c r="R7" i="271"/>
  <c r="P7" i="271"/>
  <c r="N7" i="271"/>
  <c r="L7" i="271"/>
  <c r="J7" i="271"/>
  <c r="H7" i="271"/>
  <c r="F7" i="271"/>
  <c r="D7" i="271"/>
  <c r="X6" i="271"/>
  <c r="V6" i="271"/>
  <c r="T6" i="271"/>
  <c r="R6" i="271"/>
  <c r="R12" i="271" s="1"/>
  <c r="P6" i="271"/>
  <c r="P12" i="271" s="1"/>
  <c r="N6" i="271"/>
  <c r="N12" i="271" s="1"/>
  <c r="L6" i="271"/>
  <c r="J6" i="271"/>
  <c r="H6" i="271"/>
  <c r="H12" i="271" s="1"/>
  <c r="F6" i="271"/>
  <c r="D6" i="271"/>
  <c r="Y10" i="271" l="1"/>
  <c r="F12" i="271"/>
  <c r="J12" i="271"/>
  <c r="V12" i="271"/>
  <c r="Y12" i="271" s="1"/>
  <c r="V16" i="271" s="1"/>
  <c r="V24" i="271" s="1"/>
  <c r="X12" i="271"/>
  <c r="Y9" i="271"/>
  <c r="D12" i="271"/>
  <c r="Y8" i="271"/>
  <c r="Y7" i="271"/>
  <c r="B21" i="271"/>
  <c r="Y6" i="271"/>
  <c r="V25" i="270" l="1"/>
  <c r="F22" i="270"/>
  <c r="S19" i="270"/>
  <c r="S20" i="270" s="1"/>
  <c r="Q19" i="270"/>
  <c r="Q20" i="270" s="1"/>
  <c r="P19" i="270"/>
  <c r="P20" i="270" s="1"/>
  <c r="L19" i="270"/>
  <c r="L20" i="270" s="1"/>
  <c r="J19" i="270"/>
  <c r="J20" i="270" s="1"/>
  <c r="H19" i="270"/>
  <c r="H20" i="270" s="1"/>
  <c r="O18" i="270"/>
  <c r="O19" i="270" s="1"/>
  <c r="O20" i="270" s="1"/>
  <c r="D18" i="270"/>
  <c r="D19" i="270" s="1"/>
  <c r="D20" i="270" s="1"/>
  <c r="X12" i="270"/>
  <c r="W12" i="270"/>
  <c r="K18" i="270" s="1"/>
  <c r="K19" i="270" s="1"/>
  <c r="K20" i="270" s="1"/>
  <c r="U12" i="270"/>
  <c r="I18" i="270" s="1"/>
  <c r="I19" i="270" s="1"/>
  <c r="I20" i="270" s="1"/>
  <c r="S12" i="270"/>
  <c r="Q12" i="270"/>
  <c r="P12" i="270"/>
  <c r="O12" i="270"/>
  <c r="N18" i="270" s="1"/>
  <c r="N19" i="270" s="1"/>
  <c r="N20" i="270" s="1"/>
  <c r="M12" i="270"/>
  <c r="M18" i="270" s="1"/>
  <c r="M19" i="270" s="1"/>
  <c r="M20" i="270" s="1"/>
  <c r="K12" i="270"/>
  <c r="G18" i="270" s="1"/>
  <c r="G19" i="270" s="1"/>
  <c r="G20" i="270" s="1"/>
  <c r="I12" i="270"/>
  <c r="F18" i="270" s="1"/>
  <c r="F19" i="270" s="1"/>
  <c r="F20" i="270" s="1"/>
  <c r="G12" i="270"/>
  <c r="E18" i="270" s="1"/>
  <c r="E19" i="270" s="1"/>
  <c r="E20" i="270" s="1"/>
  <c r="E12" i="270"/>
  <c r="C12" i="270"/>
  <c r="B18" i="270" s="1"/>
  <c r="B19" i="270" s="1"/>
  <c r="B20" i="270" s="1"/>
  <c r="X11" i="270"/>
  <c r="V11" i="270"/>
  <c r="T11" i="270"/>
  <c r="R11" i="270"/>
  <c r="P11" i="270"/>
  <c r="N11" i="270"/>
  <c r="L11" i="270"/>
  <c r="J11" i="270"/>
  <c r="H11" i="270"/>
  <c r="F11" i="270"/>
  <c r="D11" i="270"/>
  <c r="Y11" i="270" s="1"/>
  <c r="X10" i="270"/>
  <c r="V10" i="270"/>
  <c r="T10" i="270"/>
  <c r="R10" i="270"/>
  <c r="P10" i="270"/>
  <c r="N10" i="270"/>
  <c r="L10" i="270"/>
  <c r="J10" i="270"/>
  <c r="H10" i="270"/>
  <c r="F10" i="270"/>
  <c r="D10" i="270"/>
  <c r="Y10" i="270" s="1"/>
  <c r="X9" i="270"/>
  <c r="V9" i="270"/>
  <c r="T9" i="270"/>
  <c r="R9" i="270"/>
  <c r="P9" i="270"/>
  <c r="N9" i="270"/>
  <c r="L9" i="270"/>
  <c r="J9" i="270"/>
  <c r="H9" i="270"/>
  <c r="F9" i="270"/>
  <c r="D9" i="270"/>
  <c r="Y9" i="270" s="1"/>
  <c r="X8" i="270"/>
  <c r="V8" i="270"/>
  <c r="T8" i="270"/>
  <c r="R8" i="270"/>
  <c r="P8" i="270"/>
  <c r="N8" i="270"/>
  <c r="L8" i="270"/>
  <c r="J8" i="270"/>
  <c r="H8" i="270"/>
  <c r="F8" i="270"/>
  <c r="D8" i="270"/>
  <c r="X7" i="270"/>
  <c r="V7" i="270"/>
  <c r="T7" i="270"/>
  <c r="R7" i="270"/>
  <c r="P7" i="270"/>
  <c r="N7" i="270"/>
  <c r="L7" i="270"/>
  <c r="J7" i="270"/>
  <c r="H7" i="270"/>
  <c r="H12" i="270" s="1"/>
  <c r="F7" i="270"/>
  <c r="D7" i="270"/>
  <c r="X6" i="270"/>
  <c r="V6" i="270"/>
  <c r="V12" i="270" s="1"/>
  <c r="T6" i="270"/>
  <c r="T12" i="270" s="1"/>
  <c r="R6" i="270"/>
  <c r="R12" i="270" s="1"/>
  <c r="P6" i="270"/>
  <c r="N6" i="270"/>
  <c r="N12" i="270" s="1"/>
  <c r="L6" i="270"/>
  <c r="J6" i="270"/>
  <c r="J12" i="270" s="1"/>
  <c r="H6" i="270"/>
  <c r="F6" i="270"/>
  <c r="F12" i="270" s="1"/>
  <c r="D6" i="270"/>
  <c r="V25" i="269"/>
  <c r="F22" i="269"/>
  <c r="S19" i="269"/>
  <c r="S20" i="269" s="1"/>
  <c r="Q19" i="269"/>
  <c r="Q20" i="269" s="1"/>
  <c r="P19" i="269"/>
  <c r="P20" i="269" s="1"/>
  <c r="L19" i="269"/>
  <c r="L20" i="269" s="1"/>
  <c r="J19" i="269"/>
  <c r="J20" i="269" s="1"/>
  <c r="H19" i="269"/>
  <c r="H20" i="269" s="1"/>
  <c r="W12" i="269"/>
  <c r="K18" i="269" s="1"/>
  <c r="K19" i="269" s="1"/>
  <c r="K20" i="269" s="1"/>
  <c r="U12" i="269"/>
  <c r="I18" i="269" s="1"/>
  <c r="I19" i="269" s="1"/>
  <c r="I20" i="269" s="1"/>
  <c r="S12" i="269"/>
  <c r="Q12" i="269"/>
  <c r="O18" i="269" s="1"/>
  <c r="O19" i="269" s="1"/>
  <c r="O20" i="269" s="1"/>
  <c r="O12" i="269"/>
  <c r="N18" i="269" s="1"/>
  <c r="N19" i="269" s="1"/>
  <c r="N20" i="269" s="1"/>
  <c r="N12" i="269"/>
  <c r="M12" i="269"/>
  <c r="M18" i="269" s="1"/>
  <c r="M19" i="269" s="1"/>
  <c r="M20" i="269" s="1"/>
  <c r="K12" i="269"/>
  <c r="G18" i="269" s="1"/>
  <c r="G19" i="269" s="1"/>
  <c r="G20" i="269" s="1"/>
  <c r="I12" i="269"/>
  <c r="F18" i="269" s="1"/>
  <c r="F19" i="269" s="1"/>
  <c r="F20" i="269" s="1"/>
  <c r="G12" i="269"/>
  <c r="E18" i="269" s="1"/>
  <c r="E19" i="269" s="1"/>
  <c r="E20" i="269" s="1"/>
  <c r="F12" i="269"/>
  <c r="E12" i="269"/>
  <c r="D18" i="269" s="1"/>
  <c r="D19" i="269" s="1"/>
  <c r="D20" i="269" s="1"/>
  <c r="C12" i="269"/>
  <c r="B18" i="269" s="1"/>
  <c r="B19" i="269" s="1"/>
  <c r="B20" i="269" s="1"/>
  <c r="X11" i="269"/>
  <c r="V11" i="269"/>
  <c r="T11" i="269"/>
  <c r="R11" i="269"/>
  <c r="P11" i="269"/>
  <c r="N11" i="269"/>
  <c r="L11" i="269"/>
  <c r="J11" i="269"/>
  <c r="H11" i="269"/>
  <c r="Y11" i="269" s="1"/>
  <c r="F11" i="269"/>
  <c r="D11" i="269"/>
  <c r="X10" i="269"/>
  <c r="V10" i="269"/>
  <c r="T10" i="269"/>
  <c r="R10" i="269"/>
  <c r="P10" i="269"/>
  <c r="N10" i="269"/>
  <c r="L10" i="269"/>
  <c r="J10" i="269"/>
  <c r="H10" i="269"/>
  <c r="Y10" i="269" s="1"/>
  <c r="F10" i="269"/>
  <c r="D10" i="269"/>
  <c r="X9" i="269"/>
  <c r="V9" i="269"/>
  <c r="T9" i="269"/>
  <c r="R9" i="269"/>
  <c r="P9" i="269"/>
  <c r="N9" i="269"/>
  <c r="L9" i="269"/>
  <c r="J9" i="269"/>
  <c r="H9" i="269"/>
  <c r="F9" i="269"/>
  <c r="D9" i="269"/>
  <c r="X8" i="269"/>
  <c r="V8" i="269"/>
  <c r="T8" i="269"/>
  <c r="R8" i="269"/>
  <c r="P8" i="269"/>
  <c r="N8" i="269"/>
  <c r="L8" i="269"/>
  <c r="J8" i="269"/>
  <c r="H8" i="269"/>
  <c r="F8" i="269"/>
  <c r="D8" i="269"/>
  <c r="X7" i="269"/>
  <c r="V7" i="269"/>
  <c r="T7" i="269"/>
  <c r="R7" i="269"/>
  <c r="P7" i="269"/>
  <c r="N7" i="269"/>
  <c r="L7" i="269"/>
  <c r="J7" i="269"/>
  <c r="H7" i="269"/>
  <c r="F7" i="269"/>
  <c r="D7" i="269"/>
  <c r="X6" i="269"/>
  <c r="X12" i="269" s="1"/>
  <c r="V6" i="269"/>
  <c r="T6" i="269"/>
  <c r="T12" i="269" s="1"/>
  <c r="R6" i="269"/>
  <c r="R12" i="269" s="1"/>
  <c r="P6" i="269"/>
  <c r="P12" i="269" s="1"/>
  <c r="N6" i="269"/>
  <c r="L6" i="269"/>
  <c r="J6" i="269"/>
  <c r="H6" i="269"/>
  <c r="F6" i="269"/>
  <c r="D6" i="269"/>
  <c r="V25" i="268"/>
  <c r="F22" i="268"/>
  <c r="S19" i="268"/>
  <c r="S20" i="268" s="1"/>
  <c r="Q19" i="268"/>
  <c r="Q20" i="268" s="1"/>
  <c r="P19" i="268"/>
  <c r="P20" i="268" s="1"/>
  <c r="L19" i="268"/>
  <c r="L20" i="268" s="1"/>
  <c r="J19" i="268"/>
  <c r="J20" i="268" s="1"/>
  <c r="H19" i="268"/>
  <c r="H20" i="268" s="1"/>
  <c r="K18" i="268"/>
  <c r="K19" i="268" s="1"/>
  <c r="K20" i="268" s="1"/>
  <c r="E18" i="268"/>
  <c r="E19" i="268" s="1"/>
  <c r="E20" i="268" s="1"/>
  <c r="W12" i="268"/>
  <c r="U12" i="268"/>
  <c r="I18" i="268" s="1"/>
  <c r="I19" i="268" s="1"/>
  <c r="I20" i="268" s="1"/>
  <c r="T12" i="268"/>
  <c r="S12" i="268"/>
  <c r="Q12" i="268"/>
  <c r="O18" i="268" s="1"/>
  <c r="O19" i="268" s="1"/>
  <c r="O20" i="268" s="1"/>
  <c r="O12" i="268"/>
  <c r="N18" i="268" s="1"/>
  <c r="N19" i="268" s="1"/>
  <c r="N20" i="268" s="1"/>
  <c r="M12" i="268"/>
  <c r="M18" i="268" s="1"/>
  <c r="M19" i="268" s="1"/>
  <c r="M20" i="268" s="1"/>
  <c r="K12" i="268"/>
  <c r="G18" i="268" s="1"/>
  <c r="G19" i="268" s="1"/>
  <c r="G20" i="268" s="1"/>
  <c r="I12" i="268"/>
  <c r="F18" i="268" s="1"/>
  <c r="F19" i="268" s="1"/>
  <c r="F20" i="268" s="1"/>
  <c r="G12" i="268"/>
  <c r="E12" i="268"/>
  <c r="D18" i="268" s="1"/>
  <c r="D19" i="268" s="1"/>
  <c r="D20" i="268" s="1"/>
  <c r="C12" i="268"/>
  <c r="B18" i="268" s="1"/>
  <c r="B19" i="268" s="1"/>
  <c r="B20" i="268" s="1"/>
  <c r="X11" i="268"/>
  <c r="V11" i="268"/>
  <c r="T11" i="268"/>
  <c r="R11" i="268"/>
  <c r="P11" i="268"/>
  <c r="N11" i="268"/>
  <c r="L11" i="268"/>
  <c r="J11" i="268"/>
  <c r="H11" i="268"/>
  <c r="F11" i="268"/>
  <c r="D11" i="268"/>
  <c r="X10" i="268"/>
  <c r="V10" i="268"/>
  <c r="T10" i="268"/>
  <c r="R10" i="268"/>
  <c r="P10" i="268"/>
  <c r="N10" i="268"/>
  <c r="L10" i="268"/>
  <c r="J10" i="268"/>
  <c r="H10" i="268"/>
  <c r="F10" i="268"/>
  <c r="D10" i="268"/>
  <c r="X9" i="268"/>
  <c r="V9" i="268"/>
  <c r="T9" i="268"/>
  <c r="R9" i="268"/>
  <c r="P9" i="268"/>
  <c r="N9" i="268"/>
  <c r="L9" i="268"/>
  <c r="J9" i="268"/>
  <c r="H9" i="268"/>
  <c r="F9" i="268"/>
  <c r="D9" i="268"/>
  <c r="X8" i="268"/>
  <c r="V8" i="268"/>
  <c r="T8" i="268"/>
  <c r="R8" i="268"/>
  <c r="P8" i="268"/>
  <c r="N8" i="268"/>
  <c r="L8" i="268"/>
  <c r="J8" i="268"/>
  <c r="H8" i="268"/>
  <c r="F8" i="268"/>
  <c r="D8" i="268"/>
  <c r="X7" i="268"/>
  <c r="V7" i="268"/>
  <c r="T7" i="268"/>
  <c r="R7" i="268"/>
  <c r="P7" i="268"/>
  <c r="N7" i="268"/>
  <c r="L7" i="268"/>
  <c r="J7" i="268"/>
  <c r="H7" i="268"/>
  <c r="F7" i="268"/>
  <c r="D7" i="268"/>
  <c r="X6" i="268"/>
  <c r="X12" i="268" s="1"/>
  <c r="V6" i="268"/>
  <c r="T6" i="268"/>
  <c r="R6" i="268"/>
  <c r="R12" i="268" s="1"/>
  <c r="P6" i="268"/>
  <c r="P12" i="268" s="1"/>
  <c r="N6" i="268"/>
  <c r="N12" i="268" s="1"/>
  <c r="L6" i="268"/>
  <c r="J6" i="268"/>
  <c r="H6" i="268"/>
  <c r="F6" i="268"/>
  <c r="F12" i="268" s="1"/>
  <c r="D6" i="268"/>
  <c r="L12" i="270" l="1"/>
  <c r="Y6" i="270"/>
  <c r="Y8" i="270"/>
  <c r="Y7" i="270"/>
  <c r="B21" i="270"/>
  <c r="D12" i="270"/>
  <c r="Y12" i="270" s="1"/>
  <c r="V16" i="270" s="1"/>
  <c r="V24" i="270" s="1"/>
  <c r="H12" i="269"/>
  <c r="V12" i="269"/>
  <c r="Y9" i="269"/>
  <c r="L12" i="269"/>
  <c r="J12" i="269"/>
  <c r="D12" i="269"/>
  <c r="Y8" i="269"/>
  <c r="Y7" i="269"/>
  <c r="B21" i="269"/>
  <c r="Y6" i="269"/>
  <c r="Y10" i="268"/>
  <c r="Y11" i="268"/>
  <c r="L12" i="268"/>
  <c r="V12" i="268"/>
  <c r="D12" i="268"/>
  <c r="Y9" i="268"/>
  <c r="J12" i="268"/>
  <c r="H12" i="268"/>
  <c r="Y8" i="268"/>
  <c r="Y7" i="268"/>
  <c r="B21" i="268"/>
  <c r="Y6" i="268"/>
  <c r="V25" i="267"/>
  <c r="F22" i="267"/>
  <c r="S19" i="267"/>
  <c r="S20" i="267" s="1"/>
  <c r="Q19" i="267"/>
  <c r="Q20" i="267" s="1"/>
  <c r="P19" i="267"/>
  <c r="P20" i="267" s="1"/>
  <c r="L19" i="267"/>
  <c r="L20" i="267" s="1"/>
  <c r="J19" i="267"/>
  <c r="J20" i="267" s="1"/>
  <c r="I19" i="267"/>
  <c r="I20" i="267" s="1"/>
  <c r="H19" i="267"/>
  <c r="H20" i="267" s="1"/>
  <c r="O18" i="267"/>
  <c r="O19" i="267" s="1"/>
  <c r="O20" i="267" s="1"/>
  <c r="I18" i="267"/>
  <c r="X12" i="267"/>
  <c r="W12" i="267"/>
  <c r="K18" i="267" s="1"/>
  <c r="K19" i="267" s="1"/>
  <c r="K20" i="267" s="1"/>
  <c r="U12" i="267"/>
  <c r="S12" i="267"/>
  <c r="Q12" i="267"/>
  <c r="P12" i="267"/>
  <c r="O12" i="267"/>
  <c r="N18" i="267" s="1"/>
  <c r="N19" i="267" s="1"/>
  <c r="N20" i="267" s="1"/>
  <c r="M12" i="267"/>
  <c r="M18" i="267" s="1"/>
  <c r="M19" i="267" s="1"/>
  <c r="M20" i="267" s="1"/>
  <c r="K12" i="267"/>
  <c r="G18" i="267" s="1"/>
  <c r="G19" i="267" s="1"/>
  <c r="G20" i="267" s="1"/>
  <c r="I12" i="267"/>
  <c r="F18" i="267" s="1"/>
  <c r="F19" i="267" s="1"/>
  <c r="F20" i="267" s="1"/>
  <c r="G12" i="267"/>
  <c r="E18" i="267" s="1"/>
  <c r="E19" i="267" s="1"/>
  <c r="E20" i="267" s="1"/>
  <c r="E12" i="267"/>
  <c r="D18" i="267" s="1"/>
  <c r="D19" i="267" s="1"/>
  <c r="D20" i="267" s="1"/>
  <c r="C12" i="267"/>
  <c r="B18" i="267" s="1"/>
  <c r="B19" i="267" s="1"/>
  <c r="B20" i="267" s="1"/>
  <c r="X11" i="267"/>
  <c r="V11" i="267"/>
  <c r="T11" i="267"/>
  <c r="R11" i="267"/>
  <c r="P11" i="267"/>
  <c r="N11" i="267"/>
  <c r="L11" i="267"/>
  <c r="J11" i="267"/>
  <c r="H11" i="267"/>
  <c r="F11" i="267"/>
  <c r="D11" i="267"/>
  <c r="Y11" i="267" s="1"/>
  <c r="X10" i="267"/>
  <c r="V10" i="267"/>
  <c r="T10" i="267"/>
  <c r="R10" i="267"/>
  <c r="P10" i="267"/>
  <c r="N10" i="267"/>
  <c r="L10" i="267"/>
  <c r="J10" i="267"/>
  <c r="H10" i="267"/>
  <c r="F10" i="267"/>
  <c r="D10" i="267"/>
  <c r="Y10" i="267" s="1"/>
  <c r="X9" i="267"/>
  <c r="V9" i="267"/>
  <c r="T9" i="267"/>
  <c r="R9" i="267"/>
  <c r="P9" i="267"/>
  <c r="N9" i="267"/>
  <c r="L9" i="267"/>
  <c r="J9" i="267"/>
  <c r="H9" i="267"/>
  <c r="F9" i="267"/>
  <c r="D9" i="267"/>
  <c r="X8" i="267"/>
  <c r="V8" i="267"/>
  <c r="T8" i="267"/>
  <c r="R8" i="267"/>
  <c r="P8" i="267"/>
  <c r="N8" i="267"/>
  <c r="L8" i="267"/>
  <c r="J8" i="267"/>
  <c r="H8" i="267"/>
  <c r="F8" i="267"/>
  <c r="D8" i="267"/>
  <c r="X7" i="267"/>
  <c r="V7" i="267"/>
  <c r="T7" i="267"/>
  <c r="R7" i="267"/>
  <c r="P7" i="267"/>
  <c r="N7" i="267"/>
  <c r="L7" i="267"/>
  <c r="J7" i="267"/>
  <c r="H7" i="267"/>
  <c r="F7" i="267"/>
  <c r="D7" i="267"/>
  <c r="X6" i="267"/>
  <c r="V6" i="267"/>
  <c r="V12" i="267" s="1"/>
  <c r="T6" i="267"/>
  <c r="T12" i="267" s="1"/>
  <c r="R6" i="267"/>
  <c r="R12" i="267" s="1"/>
  <c r="P6" i="267"/>
  <c r="N6" i="267"/>
  <c r="N12" i="267" s="1"/>
  <c r="L6" i="267"/>
  <c r="J6" i="267"/>
  <c r="H6" i="267"/>
  <c r="F6" i="267"/>
  <c r="F12" i="267" s="1"/>
  <c r="D6" i="267"/>
  <c r="Y12" i="269" l="1"/>
  <c r="V16" i="269" s="1"/>
  <c r="V24" i="269" s="1"/>
  <c r="Y12" i="268"/>
  <c r="V16" i="268" s="1"/>
  <c r="V24" i="268" s="1"/>
  <c r="J12" i="267"/>
  <c r="H12" i="267"/>
  <c r="L12" i="267"/>
  <c r="Y6" i="267"/>
  <c r="Y9" i="267"/>
  <c r="Y8" i="267"/>
  <c r="Y7" i="267"/>
  <c r="B21" i="267"/>
  <c r="D12" i="267"/>
  <c r="Y12" i="267" s="1"/>
  <c r="V16" i="267" s="1"/>
  <c r="V24" i="267" s="1"/>
  <c r="V25" i="266"/>
  <c r="F22" i="266"/>
  <c r="S19" i="266"/>
  <c r="S20" i="266" s="1"/>
  <c r="Q19" i="266"/>
  <c r="Q20" i="266" s="1"/>
  <c r="P19" i="266"/>
  <c r="P20" i="266" s="1"/>
  <c r="L19" i="266"/>
  <c r="L20" i="266" s="1"/>
  <c r="J19" i="266"/>
  <c r="J20" i="266" s="1"/>
  <c r="H19" i="266"/>
  <c r="H20" i="266" s="1"/>
  <c r="O18" i="266"/>
  <c r="O19" i="266" s="1"/>
  <c r="O20" i="266" s="1"/>
  <c r="K18" i="266"/>
  <c r="K19" i="266" s="1"/>
  <c r="K20" i="266" s="1"/>
  <c r="X12" i="266"/>
  <c r="W12" i="266"/>
  <c r="U12" i="266"/>
  <c r="I18" i="266" s="1"/>
  <c r="I19" i="266" s="1"/>
  <c r="I20" i="266" s="1"/>
  <c r="T12" i="266"/>
  <c r="S12" i="266"/>
  <c r="Q12" i="266"/>
  <c r="P12" i="266"/>
  <c r="O12" i="266"/>
  <c r="N18" i="266" s="1"/>
  <c r="N19" i="266" s="1"/>
  <c r="N20" i="266" s="1"/>
  <c r="M12" i="266"/>
  <c r="M18" i="266" s="1"/>
  <c r="M19" i="266" s="1"/>
  <c r="M20" i="266" s="1"/>
  <c r="K12" i="266"/>
  <c r="G18" i="266" s="1"/>
  <c r="G19" i="266" s="1"/>
  <c r="G20" i="266" s="1"/>
  <c r="I12" i="266"/>
  <c r="F18" i="266" s="1"/>
  <c r="F19" i="266" s="1"/>
  <c r="F20" i="266" s="1"/>
  <c r="G12" i="266"/>
  <c r="E18" i="266" s="1"/>
  <c r="E19" i="266" s="1"/>
  <c r="E20" i="266" s="1"/>
  <c r="E12" i="266"/>
  <c r="D18" i="266" s="1"/>
  <c r="D19" i="266" s="1"/>
  <c r="D20" i="266" s="1"/>
  <c r="C12" i="266"/>
  <c r="B18" i="266" s="1"/>
  <c r="B19" i="266" s="1"/>
  <c r="B20" i="266" s="1"/>
  <c r="X11" i="266"/>
  <c r="V11" i="266"/>
  <c r="T11" i="266"/>
  <c r="R11" i="266"/>
  <c r="P11" i="266"/>
  <c r="N11" i="266"/>
  <c r="L11" i="266"/>
  <c r="J11" i="266"/>
  <c r="H11" i="266"/>
  <c r="F11" i="266"/>
  <c r="D11" i="266"/>
  <c r="Y11" i="266" s="1"/>
  <c r="X10" i="266"/>
  <c r="V10" i="266"/>
  <c r="T10" i="266"/>
  <c r="R10" i="266"/>
  <c r="P10" i="266"/>
  <c r="N10" i="266"/>
  <c r="L10" i="266"/>
  <c r="J10" i="266"/>
  <c r="H10" i="266"/>
  <c r="F10" i="266"/>
  <c r="D10" i="266"/>
  <c r="Y10" i="266" s="1"/>
  <c r="X9" i="266"/>
  <c r="V9" i="266"/>
  <c r="T9" i="266"/>
  <c r="R9" i="266"/>
  <c r="P9" i="266"/>
  <c r="N9" i="266"/>
  <c r="L9" i="266"/>
  <c r="J9" i="266"/>
  <c r="H9" i="266"/>
  <c r="F9" i="266"/>
  <c r="D9" i="266"/>
  <c r="X8" i="266"/>
  <c r="V8" i="266"/>
  <c r="T8" i="266"/>
  <c r="R8" i="266"/>
  <c r="P8" i="266"/>
  <c r="N8" i="266"/>
  <c r="L8" i="266"/>
  <c r="L12" i="266" s="1"/>
  <c r="J8" i="266"/>
  <c r="H8" i="266"/>
  <c r="F8" i="266"/>
  <c r="D8" i="266"/>
  <c r="X7" i="266"/>
  <c r="V7" i="266"/>
  <c r="T7" i="266"/>
  <c r="R7" i="266"/>
  <c r="P7" i="266"/>
  <c r="N7" i="266"/>
  <c r="L7" i="266"/>
  <c r="J7" i="266"/>
  <c r="H7" i="266"/>
  <c r="F7" i="266"/>
  <c r="D7" i="266"/>
  <c r="X6" i="266"/>
  <c r="V6" i="266"/>
  <c r="T6" i="266"/>
  <c r="R6" i="266"/>
  <c r="R12" i="266" s="1"/>
  <c r="P6" i="266"/>
  <c r="N6" i="266"/>
  <c r="N12" i="266" s="1"/>
  <c r="L6" i="266"/>
  <c r="J6" i="266"/>
  <c r="H6" i="266"/>
  <c r="F6" i="266"/>
  <c r="F12" i="266" s="1"/>
  <c r="D6" i="266"/>
  <c r="V25" i="265"/>
  <c r="F22" i="265"/>
  <c r="S19" i="265"/>
  <c r="S20" i="265" s="1"/>
  <c r="Q19" i="265"/>
  <c r="Q20" i="265" s="1"/>
  <c r="P19" i="265"/>
  <c r="P20" i="265" s="1"/>
  <c r="L19" i="265"/>
  <c r="L20" i="265" s="1"/>
  <c r="J19" i="265"/>
  <c r="J20" i="265" s="1"/>
  <c r="H19" i="265"/>
  <c r="H20" i="265" s="1"/>
  <c r="K18" i="265"/>
  <c r="K19" i="265" s="1"/>
  <c r="K20" i="265" s="1"/>
  <c r="W12" i="265"/>
  <c r="U12" i="265"/>
  <c r="I18" i="265" s="1"/>
  <c r="I19" i="265" s="1"/>
  <c r="I20" i="265" s="1"/>
  <c r="S12" i="265"/>
  <c r="Q12" i="265"/>
  <c r="O18" i="265" s="1"/>
  <c r="O19" i="265" s="1"/>
  <c r="O20" i="265" s="1"/>
  <c r="O12" i="265"/>
  <c r="N18" i="265" s="1"/>
  <c r="N19" i="265" s="1"/>
  <c r="N20" i="265" s="1"/>
  <c r="M12" i="265"/>
  <c r="M18" i="265" s="1"/>
  <c r="M19" i="265" s="1"/>
  <c r="M20" i="265" s="1"/>
  <c r="K12" i="265"/>
  <c r="G18" i="265" s="1"/>
  <c r="G19" i="265" s="1"/>
  <c r="G20" i="265" s="1"/>
  <c r="I12" i="265"/>
  <c r="F18" i="265" s="1"/>
  <c r="F19" i="265" s="1"/>
  <c r="F20" i="265" s="1"/>
  <c r="G12" i="265"/>
  <c r="E18" i="265" s="1"/>
  <c r="E19" i="265" s="1"/>
  <c r="E20" i="265" s="1"/>
  <c r="E12" i="265"/>
  <c r="D18" i="265" s="1"/>
  <c r="D19" i="265" s="1"/>
  <c r="D20" i="265" s="1"/>
  <c r="C12" i="265"/>
  <c r="B18" i="265" s="1"/>
  <c r="B19" i="265" s="1"/>
  <c r="B20" i="265" s="1"/>
  <c r="X11" i="265"/>
  <c r="V11" i="265"/>
  <c r="T11" i="265"/>
  <c r="R11" i="265"/>
  <c r="P11" i="265"/>
  <c r="N11" i="265"/>
  <c r="L11" i="265"/>
  <c r="J11" i="265"/>
  <c r="H11" i="265"/>
  <c r="F11" i="265"/>
  <c r="D11" i="265"/>
  <c r="Y11" i="265" s="1"/>
  <c r="X10" i="265"/>
  <c r="V10" i="265"/>
  <c r="T10" i="265"/>
  <c r="R10" i="265"/>
  <c r="P10" i="265"/>
  <c r="N10" i="265"/>
  <c r="L10" i="265"/>
  <c r="J10" i="265"/>
  <c r="H10" i="265"/>
  <c r="F10" i="265"/>
  <c r="Y10" i="265" s="1"/>
  <c r="D10" i="265"/>
  <c r="X9" i="265"/>
  <c r="V9" i="265"/>
  <c r="T9" i="265"/>
  <c r="R9" i="265"/>
  <c r="P9" i="265"/>
  <c r="N9" i="265"/>
  <c r="L9" i="265"/>
  <c r="J9" i="265"/>
  <c r="H9" i="265"/>
  <c r="F9" i="265"/>
  <c r="D9" i="265"/>
  <c r="Y9" i="265" s="1"/>
  <c r="X8" i="265"/>
  <c r="V8" i="265"/>
  <c r="T8" i="265"/>
  <c r="R8" i="265"/>
  <c r="P8" i="265"/>
  <c r="N8" i="265"/>
  <c r="L8" i="265"/>
  <c r="J8" i="265"/>
  <c r="H8" i="265"/>
  <c r="F8" i="265"/>
  <c r="D8" i="265"/>
  <c r="X7" i="265"/>
  <c r="V7" i="265"/>
  <c r="T7" i="265"/>
  <c r="R7" i="265"/>
  <c r="P7" i="265"/>
  <c r="N7" i="265"/>
  <c r="L7" i="265"/>
  <c r="J7" i="265"/>
  <c r="H7" i="265"/>
  <c r="F7" i="265"/>
  <c r="D7" i="265"/>
  <c r="X6" i="265"/>
  <c r="X12" i="265" s="1"/>
  <c r="V6" i="265"/>
  <c r="T6" i="265"/>
  <c r="T12" i="265" s="1"/>
  <c r="R6" i="265"/>
  <c r="R12" i="265" s="1"/>
  <c r="P6" i="265"/>
  <c r="P12" i="265" s="1"/>
  <c r="N6" i="265"/>
  <c r="N12" i="265" s="1"/>
  <c r="L6" i="265"/>
  <c r="L12" i="265" s="1"/>
  <c r="J6" i="265"/>
  <c r="H6" i="265"/>
  <c r="F6" i="265"/>
  <c r="F12" i="265" s="1"/>
  <c r="D6" i="265"/>
  <c r="V25" i="264"/>
  <c r="F22" i="264"/>
  <c r="S19" i="264"/>
  <c r="S20" i="264" s="1"/>
  <c r="Q19" i="264"/>
  <c r="Q20" i="264" s="1"/>
  <c r="P19" i="264"/>
  <c r="P20" i="264" s="1"/>
  <c r="L19" i="264"/>
  <c r="L20" i="264" s="1"/>
  <c r="J19" i="264"/>
  <c r="J20" i="264" s="1"/>
  <c r="H19" i="264"/>
  <c r="H20" i="264" s="1"/>
  <c r="O18" i="264"/>
  <c r="O19" i="264" s="1"/>
  <c r="O20" i="264" s="1"/>
  <c r="D18" i="264"/>
  <c r="D19" i="264" s="1"/>
  <c r="D20" i="264" s="1"/>
  <c r="X12" i="264"/>
  <c r="W12" i="264"/>
  <c r="K18" i="264" s="1"/>
  <c r="K19" i="264" s="1"/>
  <c r="K20" i="264" s="1"/>
  <c r="U12" i="264"/>
  <c r="I18" i="264" s="1"/>
  <c r="I19" i="264" s="1"/>
  <c r="I20" i="264" s="1"/>
  <c r="T12" i="264"/>
  <c r="S12" i="264"/>
  <c r="Q12" i="264"/>
  <c r="O12" i="264"/>
  <c r="N18" i="264" s="1"/>
  <c r="N19" i="264" s="1"/>
  <c r="N20" i="264" s="1"/>
  <c r="M12" i="264"/>
  <c r="M18" i="264" s="1"/>
  <c r="M19" i="264" s="1"/>
  <c r="M20" i="264" s="1"/>
  <c r="L12" i="264"/>
  <c r="K12" i="264"/>
  <c r="G18" i="264" s="1"/>
  <c r="G19" i="264" s="1"/>
  <c r="G20" i="264" s="1"/>
  <c r="I12" i="264"/>
  <c r="F18" i="264" s="1"/>
  <c r="F19" i="264" s="1"/>
  <c r="F20" i="264" s="1"/>
  <c r="G12" i="264"/>
  <c r="E18" i="264" s="1"/>
  <c r="E19" i="264" s="1"/>
  <c r="E20" i="264" s="1"/>
  <c r="E12" i="264"/>
  <c r="C12" i="264"/>
  <c r="B18" i="264" s="1"/>
  <c r="B19" i="264" s="1"/>
  <c r="B20" i="264" s="1"/>
  <c r="X11" i="264"/>
  <c r="V11" i="264"/>
  <c r="T11" i="264"/>
  <c r="R11" i="264"/>
  <c r="P11" i="264"/>
  <c r="N11" i="264"/>
  <c r="L11" i="264"/>
  <c r="J11" i="264"/>
  <c r="H11" i="264"/>
  <c r="F11" i="264"/>
  <c r="D11" i="264"/>
  <c r="Y11" i="264" s="1"/>
  <c r="X10" i="264"/>
  <c r="V10" i="264"/>
  <c r="T10" i="264"/>
  <c r="R10" i="264"/>
  <c r="P10" i="264"/>
  <c r="N10" i="264"/>
  <c r="L10" i="264"/>
  <c r="J10" i="264"/>
  <c r="H10" i="264"/>
  <c r="F10" i="264"/>
  <c r="D10" i="264"/>
  <c r="Y10" i="264" s="1"/>
  <c r="X9" i="264"/>
  <c r="V9" i="264"/>
  <c r="T9" i="264"/>
  <c r="R9" i="264"/>
  <c r="P9" i="264"/>
  <c r="N9" i="264"/>
  <c r="L9" i="264"/>
  <c r="J9" i="264"/>
  <c r="H9" i="264"/>
  <c r="F9" i="264"/>
  <c r="D9" i="264"/>
  <c r="X8" i="264"/>
  <c r="V8" i="264"/>
  <c r="T8" i="264"/>
  <c r="R8" i="264"/>
  <c r="P8" i="264"/>
  <c r="N8" i="264"/>
  <c r="L8" i="264"/>
  <c r="J8" i="264"/>
  <c r="H8" i="264"/>
  <c r="F8" i="264"/>
  <c r="D8" i="264"/>
  <c r="X7" i="264"/>
  <c r="V7" i="264"/>
  <c r="T7" i="264"/>
  <c r="R7" i="264"/>
  <c r="P7" i="264"/>
  <c r="N7" i="264"/>
  <c r="L7" i="264"/>
  <c r="J7" i="264"/>
  <c r="H7" i="264"/>
  <c r="F7" i="264"/>
  <c r="D7" i="264"/>
  <c r="X6" i="264"/>
  <c r="V6" i="264"/>
  <c r="V12" i="264" s="1"/>
  <c r="T6" i="264"/>
  <c r="R6" i="264"/>
  <c r="R12" i="264" s="1"/>
  <c r="P6" i="264"/>
  <c r="P12" i="264" s="1"/>
  <c r="N6" i="264"/>
  <c r="N12" i="264" s="1"/>
  <c r="L6" i="264"/>
  <c r="J6" i="264"/>
  <c r="H6" i="264"/>
  <c r="F6" i="264"/>
  <c r="F12" i="264" s="1"/>
  <c r="D6" i="264"/>
  <c r="V25" i="263"/>
  <c r="F22" i="263"/>
  <c r="S19" i="263"/>
  <c r="S20" i="263" s="1"/>
  <c r="Q19" i="263"/>
  <c r="Q20" i="263" s="1"/>
  <c r="P19" i="263"/>
  <c r="P20" i="263" s="1"/>
  <c r="L19" i="263"/>
  <c r="L20" i="263" s="1"/>
  <c r="J19" i="263"/>
  <c r="J20" i="263" s="1"/>
  <c r="H19" i="263"/>
  <c r="H20" i="263" s="1"/>
  <c r="W12" i="263"/>
  <c r="K18" i="263" s="1"/>
  <c r="K19" i="263" s="1"/>
  <c r="K20" i="263" s="1"/>
  <c r="U12" i="263"/>
  <c r="I18" i="263" s="1"/>
  <c r="I19" i="263" s="1"/>
  <c r="I20" i="263" s="1"/>
  <c r="S12" i="263"/>
  <c r="Q12" i="263"/>
  <c r="O18" i="263" s="1"/>
  <c r="O19" i="263" s="1"/>
  <c r="O20" i="263" s="1"/>
  <c r="O12" i="263"/>
  <c r="N18" i="263" s="1"/>
  <c r="N19" i="263" s="1"/>
  <c r="N20" i="263" s="1"/>
  <c r="M12" i="263"/>
  <c r="M18" i="263" s="1"/>
  <c r="M19" i="263" s="1"/>
  <c r="M20" i="263" s="1"/>
  <c r="K12" i="263"/>
  <c r="G18" i="263" s="1"/>
  <c r="G19" i="263" s="1"/>
  <c r="G20" i="263" s="1"/>
  <c r="I12" i="263"/>
  <c r="F18" i="263" s="1"/>
  <c r="F19" i="263" s="1"/>
  <c r="F20" i="263" s="1"/>
  <c r="G12" i="263"/>
  <c r="E18" i="263" s="1"/>
  <c r="E19" i="263" s="1"/>
  <c r="E20" i="263" s="1"/>
  <c r="E12" i="263"/>
  <c r="D18" i="263" s="1"/>
  <c r="D19" i="263" s="1"/>
  <c r="D20" i="263" s="1"/>
  <c r="C12" i="263"/>
  <c r="B18" i="263" s="1"/>
  <c r="B19" i="263" s="1"/>
  <c r="B20" i="263" s="1"/>
  <c r="X11" i="263"/>
  <c r="V11" i="263"/>
  <c r="T11" i="263"/>
  <c r="R11" i="263"/>
  <c r="P11" i="263"/>
  <c r="N11" i="263"/>
  <c r="L11" i="263"/>
  <c r="J11" i="263"/>
  <c r="H11" i="263"/>
  <c r="F11" i="263"/>
  <c r="D11" i="263"/>
  <c r="Y11" i="263" s="1"/>
  <c r="X10" i="263"/>
  <c r="V10" i="263"/>
  <c r="T10" i="263"/>
  <c r="R10" i="263"/>
  <c r="P10" i="263"/>
  <c r="N10" i="263"/>
  <c r="L10" i="263"/>
  <c r="J10" i="263"/>
  <c r="H10" i="263"/>
  <c r="F10" i="263"/>
  <c r="D10" i="263"/>
  <c r="Y10" i="263" s="1"/>
  <c r="X9" i="263"/>
  <c r="V9" i="263"/>
  <c r="T9" i="263"/>
  <c r="R9" i="263"/>
  <c r="P9" i="263"/>
  <c r="N9" i="263"/>
  <c r="L9" i="263"/>
  <c r="J9" i="263"/>
  <c r="H9" i="263"/>
  <c r="F9" i="263"/>
  <c r="D9" i="263"/>
  <c r="X8" i="263"/>
  <c r="V8" i="263"/>
  <c r="T8" i="263"/>
  <c r="R8" i="263"/>
  <c r="P8" i="263"/>
  <c r="N8" i="263"/>
  <c r="L8" i="263"/>
  <c r="J8" i="263"/>
  <c r="H8" i="263"/>
  <c r="F8" i="263"/>
  <c r="D8" i="263"/>
  <c r="X7" i="263"/>
  <c r="V7" i="263"/>
  <c r="T7" i="263"/>
  <c r="R7" i="263"/>
  <c r="P7" i="263"/>
  <c r="N7" i="263"/>
  <c r="L7" i="263"/>
  <c r="J7" i="263"/>
  <c r="H7" i="263"/>
  <c r="F7" i="263"/>
  <c r="D7" i="263"/>
  <c r="X6" i="263"/>
  <c r="V6" i="263"/>
  <c r="T6" i="263"/>
  <c r="T12" i="263" s="1"/>
  <c r="R6" i="263"/>
  <c r="R12" i="263" s="1"/>
  <c r="P6" i="263"/>
  <c r="P12" i="263" s="1"/>
  <c r="N6" i="263"/>
  <c r="N12" i="263" s="1"/>
  <c r="L6" i="263"/>
  <c r="L12" i="263" s="1"/>
  <c r="J6" i="263"/>
  <c r="H6" i="263"/>
  <c r="F6" i="263"/>
  <c r="D6" i="263"/>
  <c r="V25" i="262"/>
  <c r="F22" i="262"/>
  <c r="S19" i="262"/>
  <c r="S20" i="262" s="1"/>
  <c r="Q19" i="262"/>
  <c r="Q20" i="262" s="1"/>
  <c r="P19" i="262"/>
  <c r="P20" i="262" s="1"/>
  <c r="L19" i="262"/>
  <c r="L20" i="262" s="1"/>
  <c r="J19" i="262"/>
  <c r="J20" i="262" s="1"/>
  <c r="H19" i="262"/>
  <c r="H20" i="262" s="1"/>
  <c r="O18" i="262"/>
  <c r="O19" i="262" s="1"/>
  <c r="O20" i="262" s="1"/>
  <c r="K18" i="262"/>
  <c r="K19" i="262" s="1"/>
  <c r="K20" i="262" s="1"/>
  <c r="E18" i="262"/>
  <c r="E19" i="262" s="1"/>
  <c r="E20" i="262" s="1"/>
  <c r="D18" i="262"/>
  <c r="D19" i="262" s="1"/>
  <c r="D20" i="262" s="1"/>
  <c r="X12" i="262"/>
  <c r="W12" i="262"/>
  <c r="U12" i="262"/>
  <c r="I18" i="262" s="1"/>
  <c r="I19" i="262" s="1"/>
  <c r="I20" i="262" s="1"/>
  <c r="T12" i="262"/>
  <c r="S12" i="262"/>
  <c r="Q12" i="262"/>
  <c r="O12" i="262"/>
  <c r="N18" i="262" s="1"/>
  <c r="N19" i="262" s="1"/>
  <c r="N20" i="262" s="1"/>
  <c r="M12" i="262"/>
  <c r="M18" i="262" s="1"/>
  <c r="M19" i="262" s="1"/>
  <c r="M20" i="262" s="1"/>
  <c r="L12" i="262"/>
  <c r="K12" i="262"/>
  <c r="G18" i="262" s="1"/>
  <c r="G19" i="262" s="1"/>
  <c r="G20" i="262" s="1"/>
  <c r="I12" i="262"/>
  <c r="F18" i="262" s="1"/>
  <c r="F19" i="262" s="1"/>
  <c r="F20" i="262" s="1"/>
  <c r="G12" i="262"/>
  <c r="E12" i="262"/>
  <c r="C12" i="262"/>
  <c r="B18" i="262" s="1"/>
  <c r="B19" i="262" s="1"/>
  <c r="B20" i="262" s="1"/>
  <c r="X11" i="262"/>
  <c r="V11" i="262"/>
  <c r="T11" i="262"/>
  <c r="R11" i="262"/>
  <c r="P11" i="262"/>
  <c r="N11" i="262"/>
  <c r="L11" i="262"/>
  <c r="J11" i="262"/>
  <c r="H11" i="262"/>
  <c r="F11" i="262"/>
  <c r="D11" i="262"/>
  <c r="Y11" i="262" s="1"/>
  <c r="X10" i="262"/>
  <c r="V10" i="262"/>
  <c r="T10" i="262"/>
  <c r="R10" i="262"/>
  <c r="P10" i="262"/>
  <c r="N10" i="262"/>
  <c r="L10" i="262"/>
  <c r="J10" i="262"/>
  <c r="H10" i="262"/>
  <c r="F10" i="262"/>
  <c r="D10" i="262"/>
  <c r="Y10" i="262" s="1"/>
  <c r="X9" i="262"/>
  <c r="V9" i="262"/>
  <c r="T9" i="262"/>
  <c r="R9" i="262"/>
  <c r="P9" i="262"/>
  <c r="N9" i="262"/>
  <c r="L9" i="262"/>
  <c r="J9" i="262"/>
  <c r="H9" i="262"/>
  <c r="F9" i="262"/>
  <c r="D9" i="262"/>
  <c r="X8" i="262"/>
  <c r="V8" i="262"/>
  <c r="T8" i="262"/>
  <c r="R8" i="262"/>
  <c r="P8" i="262"/>
  <c r="P12" i="262" s="1"/>
  <c r="N8" i="262"/>
  <c r="L8" i="262"/>
  <c r="J8" i="262"/>
  <c r="H8" i="262"/>
  <c r="F8" i="262"/>
  <c r="D8" i="262"/>
  <c r="X7" i="262"/>
  <c r="V7" i="262"/>
  <c r="T7" i="262"/>
  <c r="R7" i="262"/>
  <c r="P7" i="262"/>
  <c r="N7" i="262"/>
  <c r="L7" i="262"/>
  <c r="J7" i="262"/>
  <c r="H7" i="262"/>
  <c r="H12" i="262" s="1"/>
  <c r="F7" i="262"/>
  <c r="D7" i="262"/>
  <c r="X6" i="262"/>
  <c r="V6" i="262"/>
  <c r="T6" i="262"/>
  <c r="R6" i="262"/>
  <c r="R12" i="262" s="1"/>
  <c r="P6" i="262"/>
  <c r="N6" i="262"/>
  <c r="N12" i="262" s="1"/>
  <c r="L6" i="262"/>
  <c r="J6" i="262"/>
  <c r="H6" i="262"/>
  <c r="F6" i="262"/>
  <c r="F12" i="262" s="1"/>
  <c r="D6" i="262"/>
  <c r="Y8" i="266" l="1"/>
  <c r="H12" i="266"/>
  <c r="Y6" i="266"/>
  <c r="V12" i="266"/>
  <c r="J12" i="266"/>
  <c r="Y7" i="266"/>
  <c r="Y9" i="266"/>
  <c r="D12" i="266"/>
  <c r="B21" i="266"/>
  <c r="V12" i="265"/>
  <c r="J12" i="265"/>
  <c r="Y8" i="265"/>
  <c r="H12" i="265"/>
  <c r="D12" i="265"/>
  <c r="Y7" i="265"/>
  <c r="B21" i="265"/>
  <c r="Y6" i="265"/>
  <c r="H12" i="264"/>
  <c r="Y6" i="264"/>
  <c r="Y9" i="264"/>
  <c r="J12" i="264"/>
  <c r="Y7" i="264"/>
  <c r="Y8" i="264"/>
  <c r="D12" i="264"/>
  <c r="B21" i="264"/>
  <c r="F12" i="263"/>
  <c r="Y9" i="263"/>
  <c r="X12" i="263"/>
  <c r="V12" i="263"/>
  <c r="H12" i="263"/>
  <c r="D12" i="263"/>
  <c r="Y8" i="263"/>
  <c r="Y7" i="263"/>
  <c r="J12" i="263"/>
  <c r="B21" i="263"/>
  <c r="Y6" i="263"/>
  <c r="V12" i="262"/>
  <c r="Y9" i="262"/>
  <c r="J12" i="262"/>
  <c r="Y7" i="262"/>
  <c r="Y6" i="262"/>
  <c r="Y8" i="262"/>
  <c r="D12" i="262"/>
  <c r="B21" i="262"/>
  <c r="V25" i="261"/>
  <c r="F22" i="261"/>
  <c r="S19" i="261"/>
  <c r="S20" i="261" s="1"/>
  <c r="Q19" i="261"/>
  <c r="Q20" i="261" s="1"/>
  <c r="P19" i="261"/>
  <c r="P20" i="261" s="1"/>
  <c r="L19" i="261"/>
  <c r="L20" i="261" s="1"/>
  <c r="J19" i="261"/>
  <c r="J20" i="261" s="1"/>
  <c r="H19" i="261"/>
  <c r="H20" i="261" s="1"/>
  <c r="O18" i="261"/>
  <c r="O19" i="261" s="1"/>
  <c r="O20" i="261" s="1"/>
  <c r="D18" i="261"/>
  <c r="D19" i="261" s="1"/>
  <c r="D20" i="261" s="1"/>
  <c r="X12" i="261"/>
  <c r="W12" i="261"/>
  <c r="K18" i="261" s="1"/>
  <c r="K19" i="261" s="1"/>
  <c r="K20" i="261" s="1"/>
  <c r="U12" i="261"/>
  <c r="I18" i="261" s="1"/>
  <c r="I19" i="261" s="1"/>
  <c r="I20" i="261" s="1"/>
  <c r="S12" i="261"/>
  <c r="Q12" i="261"/>
  <c r="O12" i="261"/>
  <c r="N18" i="261" s="1"/>
  <c r="N19" i="261" s="1"/>
  <c r="N20" i="261" s="1"/>
  <c r="M12" i="261"/>
  <c r="M18" i="261" s="1"/>
  <c r="M19" i="261" s="1"/>
  <c r="M20" i="261" s="1"/>
  <c r="K12" i="261"/>
  <c r="G18" i="261" s="1"/>
  <c r="G19" i="261" s="1"/>
  <c r="G20" i="261" s="1"/>
  <c r="I12" i="261"/>
  <c r="F18" i="261" s="1"/>
  <c r="F19" i="261" s="1"/>
  <c r="F20" i="261" s="1"/>
  <c r="G12" i="261"/>
  <c r="E18" i="261" s="1"/>
  <c r="E19" i="261" s="1"/>
  <c r="E20" i="261" s="1"/>
  <c r="E12" i="261"/>
  <c r="C12" i="261"/>
  <c r="B18" i="261" s="1"/>
  <c r="B19" i="261" s="1"/>
  <c r="B20" i="261" s="1"/>
  <c r="X11" i="261"/>
  <c r="V11" i="261"/>
  <c r="T11" i="261"/>
  <c r="R11" i="261"/>
  <c r="P11" i="261"/>
  <c r="N11" i="261"/>
  <c r="L11" i="261"/>
  <c r="J11" i="261"/>
  <c r="H11" i="261"/>
  <c r="F11" i="261"/>
  <c r="D11" i="261"/>
  <c r="Y11" i="261" s="1"/>
  <c r="X10" i="261"/>
  <c r="V10" i="261"/>
  <c r="T10" i="261"/>
  <c r="R10" i="261"/>
  <c r="P10" i="261"/>
  <c r="N10" i="261"/>
  <c r="L10" i="261"/>
  <c r="J10" i="261"/>
  <c r="H10" i="261"/>
  <c r="F10" i="261"/>
  <c r="D10" i="261"/>
  <c r="Y10" i="261" s="1"/>
  <c r="X9" i="261"/>
  <c r="V9" i="261"/>
  <c r="T9" i="261"/>
  <c r="R9" i="261"/>
  <c r="P9" i="261"/>
  <c r="N9" i="261"/>
  <c r="L9" i="261"/>
  <c r="J9" i="261"/>
  <c r="H9" i="261"/>
  <c r="F9" i="261"/>
  <c r="D9" i="261"/>
  <c r="Y9" i="261" s="1"/>
  <c r="X8" i="261"/>
  <c r="V8" i="261"/>
  <c r="T8" i="261"/>
  <c r="R8" i="261"/>
  <c r="P8" i="261"/>
  <c r="P12" i="261" s="1"/>
  <c r="N8" i="261"/>
  <c r="L8" i="261"/>
  <c r="J8" i="261"/>
  <c r="H8" i="261"/>
  <c r="F8" i="261"/>
  <c r="D8" i="261"/>
  <c r="X7" i="261"/>
  <c r="V7" i="261"/>
  <c r="T7" i="261"/>
  <c r="R7" i="261"/>
  <c r="P7" i="261"/>
  <c r="N7" i="261"/>
  <c r="L7" i="261"/>
  <c r="J7" i="261"/>
  <c r="H7" i="261"/>
  <c r="F7" i="261"/>
  <c r="D7" i="261"/>
  <c r="X6" i="261"/>
  <c r="V6" i="261"/>
  <c r="V12" i="261" s="1"/>
  <c r="T6" i="261"/>
  <c r="R6" i="261"/>
  <c r="R12" i="261" s="1"/>
  <c r="P6" i="261"/>
  <c r="N6" i="261"/>
  <c r="N12" i="261" s="1"/>
  <c r="L6" i="261"/>
  <c r="L12" i="261" s="1"/>
  <c r="J6" i="261"/>
  <c r="H6" i="261"/>
  <c r="H12" i="261" s="1"/>
  <c r="F6" i="261"/>
  <c r="F12" i="261" s="1"/>
  <c r="D6" i="261"/>
  <c r="Y12" i="266" l="1"/>
  <c r="V16" i="266" s="1"/>
  <c r="V24" i="266" s="1"/>
  <c r="Y12" i="265"/>
  <c r="V16" i="265" s="1"/>
  <c r="V24" i="265" s="1"/>
  <c r="Y12" i="264"/>
  <c r="V16" i="264" s="1"/>
  <c r="V24" i="264" s="1"/>
  <c r="Y12" i="263"/>
  <c r="V16" i="263" s="1"/>
  <c r="V24" i="263" s="1"/>
  <c r="Y12" i="262"/>
  <c r="V16" i="262" s="1"/>
  <c r="V24" i="262" s="1"/>
  <c r="Y8" i="261"/>
  <c r="T12" i="261"/>
  <c r="J12" i="261"/>
  <c r="Y7" i="261"/>
  <c r="Y6" i="261"/>
  <c r="B21" i="261"/>
  <c r="D12" i="261"/>
  <c r="Y12" i="261" l="1"/>
  <c r="V16" i="261" s="1"/>
  <c r="V24" i="261" s="1"/>
  <c r="V25" i="260" l="1"/>
  <c r="F22" i="260"/>
  <c r="S19" i="260"/>
  <c r="S20" i="260" s="1"/>
  <c r="Q19" i="260"/>
  <c r="Q20" i="260" s="1"/>
  <c r="P19" i="260"/>
  <c r="P20" i="260" s="1"/>
  <c r="L19" i="260"/>
  <c r="L20" i="260" s="1"/>
  <c r="J19" i="260"/>
  <c r="J20" i="260" s="1"/>
  <c r="H19" i="260"/>
  <c r="H20" i="260" s="1"/>
  <c r="M18" i="260"/>
  <c r="M19" i="260" s="1"/>
  <c r="M20" i="260" s="1"/>
  <c r="W12" i="260"/>
  <c r="K18" i="260" s="1"/>
  <c r="K19" i="260" s="1"/>
  <c r="K20" i="260" s="1"/>
  <c r="V12" i="260"/>
  <c r="U12" i="260"/>
  <c r="I18" i="260" s="1"/>
  <c r="I19" i="260" s="1"/>
  <c r="I20" i="260" s="1"/>
  <c r="S12" i="260"/>
  <c r="Q12" i="260"/>
  <c r="O18" i="260" s="1"/>
  <c r="O19" i="260" s="1"/>
  <c r="O20" i="260" s="1"/>
  <c r="O12" i="260"/>
  <c r="N18" i="260" s="1"/>
  <c r="N19" i="260" s="1"/>
  <c r="N20" i="260" s="1"/>
  <c r="N12" i="260"/>
  <c r="M12" i="260"/>
  <c r="K12" i="260"/>
  <c r="G18" i="260" s="1"/>
  <c r="G19" i="260" s="1"/>
  <c r="G20" i="260" s="1"/>
  <c r="I12" i="260"/>
  <c r="F18" i="260" s="1"/>
  <c r="F19" i="260" s="1"/>
  <c r="F20" i="260" s="1"/>
  <c r="G12" i="260"/>
  <c r="E18" i="260" s="1"/>
  <c r="E19" i="260" s="1"/>
  <c r="E20" i="260" s="1"/>
  <c r="F12" i="260"/>
  <c r="E12" i="260"/>
  <c r="D18" i="260" s="1"/>
  <c r="D19" i="260" s="1"/>
  <c r="D20" i="260" s="1"/>
  <c r="C12" i="260"/>
  <c r="B18" i="260" s="1"/>
  <c r="B19" i="260" s="1"/>
  <c r="B20" i="260" s="1"/>
  <c r="X11" i="260"/>
  <c r="V11" i="260"/>
  <c r="T11" i="260"/>
  <c r="R11" i="260"/>
  <c r="P11" i="260"/>
  <c r="N11" i="260"/>
  <c r="L11" i="260"/>
  <c r="J11" i="260"/>
  <c r="H11" i="260"/>
  <c r="F11" i="260"/>
  <c r="D11" i="260"/>
  <c r="X10" i="260"/>
  <c r="V10" i="260"/>
  <c r="T10" i="260"/>
  <c r="R10" i="260"/>
  <c r="P10" i="260"/>
  <c r="N10" i="260"/>
  <c r="L10" i="260"/>
  <c r="J10" i="260"/>
  <c r="Y10" i="260" s="1"/>
  <c r="H10" i="260"/>
  <c r="F10" i="260"/>
  <c r="D10" i="260"/>
  <c r="X9" i="260"/>
  <c r="V9" i="260"/>
  <c r="T9" i="260"/>
  <c r="R9" i="260"/>
  <c r="P9" i="260"/>
  <c r="N9" i="260"/>
  <c r="L9" i="260"/>
  <c r="J9" i="260"/>
  <c r="H9" i="260"/>
  <c r="F9" i="260"/>
  <c r="D9" i="260"/>
  <c r="X8" i="260"/>
  <c r="V8" i="260"/>
  <c r="T8" i="260"/>
  <c r="R8" i="260"/>
  <c r="P8" i="260"/>
  <c r="N8" i="260"/>
  <c r="L8" i="260"/>
  <c r="J8" i="260"/>
  <c r="H8" i="260"/>
  <c r="F8" i="260"/>
  <c r="D8" i="260"/>
  <c r="X7" i="260"/>
  <c r="V7" i="260"/>
  <c r="T7" i="260"/>
  <c r="R7" i="260"/>
  <c r="P7" i="260"/>
  <c r="N7" i="260"/>
  <c r="L7" i="260"/>
  <c r="J7" i="260"/>
  <c r="H7" i="260"/>
  <c r="F7" i="260"/>
  <c r="D7" i="260"/>
  <c r="X6" i="260"/>
  <c r="V6" i="260"/>
  <c r="T6" i="260"/>
  <c r="T12" i="260" s="1"/>
  <c r="R6" i="260"/>
  <c r="R12" i="260" s="1"/>
  <c r="P6" i="260"/>
  <c r="N6" i="260"/>
  <c r="L6" i="260"/>
  <c r="L12" i="260" s="1"/>
  <c r="J6" i="260"/>
  <c r="H6" i="260"/>
  <c r="H12" i="260" s="1"/>
  <c r="F6" i="260"/>
  <c r="D6" i="260"/>
  <c r="Y10" i="259"/>
  <c r="Y11" i="259"/>
  <c r="Y9" i="259"/>
  <c r="V25" i="259"/>
  <c r="F22" i="259"/>
  <c r="S19" i="259"/>
  <c r="S20" i="259" s="1"/>
  <c r="Q19" i="259"/>
  <c r="Q20" i="259" s="1"/>
  <c r="P19" i="259"/>
  <c r="P20" i="259" s="1"/>
  <c r="L19" i="259"/>
  <c r="L20" i="259" s="1"/>
  <c r="J19" i="259"/>
  <c r="J20" i="259" s="1"/>
  <c r="I19" i="259"/>
  <c r="I20" i="259" s="1"/>
  <c r="H19" i="259"/>
  <c r="H20" i="259" s="1"/>
  <c r="O18" i="259"/>
  <c r="O19" i="259" s="1"/>
  <c r="O20" i="259" s="1"/>
  <c r="I18" i="259"/>
  <c r="D18" i="259"/>
  <c r="D19" i="259" s="1"/>
  <c r="D20" i="259" s="1"/>
  <c r="W12" i="259"/>
  <c r="K18" i="259" s="1"/>
  <c r="K19" i="259" s="1"/>
  <c r="K20" i="259" s="1"/>
  <c r="U12" i="259"/>
  <c r="S12" i="259"/>
  <c r="Q12" i="259"/>
  <c r="O12" i="259"/>
  <c r="N18" i="259" s="1"/>
  <c r="N19" i="259" s="1"/>
  <c r="N20" i="259" s="1"/>
  <c r="M12" i="259"/>
  <c r="M18" i="259" s="1"/>
  <c r="M19" i="259" s="1"/>
  <c r="M20" i="259" s="1"/>
  <c r="K12" i="259"/>
  <c r="G18" i="259" s="1"/>
  <c r="G19" i="259" s="1"/>
  <c r="G20" i="259" s="1"/>
  <c r="I12" i="259"/>
  <c r="F18" i="259" s="1"/>
  <c r="F19" i="259" s="1"/>
  <c r="F20" i="259" s="1"/>
  <c r="G12" i="259"/>
  <c r="E18" i="259" s="1"/>
  <c r="E19" i="259" s="1"/>
  <c r="E20" i="259" s="1"/>
  <c r="E12" i="259"/>
  <c r="C12" i="259"/>
  <c r="B18" i="259" s="1"/>
  <c r="B19" i="259" s="1"/>
  <c r="B20" i="259" s="1"/>
  <c r="X11" i="259"/>
  <c r="X12" i="259" s="1"/>
  <c r="V11" i="259"/>
  <c r="T11" i="259"/>
  <c r="R11" i="259"/>
  <c r="P11" i="259"/>
  <c r="N11" i="259"/>
  <c r="L11" i="259"/>
  <c r="J11" i="259"/>
  <c r="H11" i="259"/>
  <c r="F11" i="259"/>
  <c r="D11" i="259"/>
  <c r="X10" i="259"/>
  <c r="V10" i="259"/>
  <c r="T10" i="259"/>
  <c r="R10" i="259"/>
  <c r="P10" i="259"/>
  <c r="N10" i="259"/>
  <c r="L10" i="259"/>
  <c r="J10" i="259"/>
  <c r="H10" i="259"/>
  <c r="F10" i="259"/>
  <c r="D10" i="259"/>
  <c r="X9" i="259"/>
  <c r="V9" i="259"/>
  <c r="T9" i="259"/>
  <c r="R9" i="259"/>
  <c r="P9" i="259"/>
  <c r="N9" i="259"/>
  <c r="L9" i="259"/>
  <c r="J9" i="259"/>
  <c r="H9" i="259"/>
  <c r="F9" i="259"/>
  <c r="D9" i="259"/>
  <c r="X8" i="259"/>
  <c r="V8" i="259"/>
  <c r="T8" i="259"/>
  <c r="R8" i="259"/>
  <c r="P8" i="259"/>
  <c r="N8" i="259"/>
  <c r="L8" i="259"/>
  <c r="J8" i="259"/>
  <c r="H8" i="259"/>
  <c r="H12" i="259" s="1"/>
  <c r="F8" i="259"/>
  <c r="D8" i="259"/>
  <c r="X7" i="259"/>
  <c r="V7" i="259"/>
  <c r="T7" i="259"/>
  <c r="R7" i="259"/>
  <c r="P7" i="259"/>
  <c r="N7" i="259"/>
  <c r="L7" i="259"/>
  <c r="J7" i="259"/>
  <c r="H7" i="259"/>
  <c r="F7" i="259"/>
  <c r="D7" i="259"/>
  <c r="X6" i="259"/>
  <c r="V6" i="259"/>
  <c r="V12" i="259" s="1"/>
  <c r="T6" i="259"/>
  <c r="T12" i="259" s="1"/>
  <c r="R6" i="259"/>
  <c r="R12" i="259" s="1"/>
  <c r="P6" i="259"/>
  <c r="N6" i="259"/>
  <c r="N12" i="259" s="1"/>
  <c r="L6" i="259"/>
  <c r="L12" i="259" s="1"/>
  <c r="J6" i="259"/>
  <c r="H6" i="259"/>
  <c r="F6" i="259"/>
  <c r="F12" i="259" s="1"/>
  <c r="D6" i="259"/>
  <c r="X12" i="260" l="1"/>
  <c r="Y11" i="260"/>
  <c r="Y7" i="260"/>
  <c r="P12" i="260"/>
  <c r="J12" i="260"/>
  <c r="Y9" i="260"/>
  <c r="D12" i="260"/>
  <c r="Y8" i="260"/>
  <c r="B21" i="260"/>
  <c r="Y6" i="260"/>
  <c r="J12" i="259"/>
  <c r="Y7" i="259"/>
  <c r="P12" i="259"/>
  <c r="Y6" i="259"/>
  <c r="Y8" i="259"/>
  <c r="B21" i="259"/>
  <c r="D12" i="259"/>
  <c r="Y12" i="260" l="1"/>
  <c r="V16" i="260" s="1"/>
  <c r="V24" i="260" s="1"/>
  <c r="Y12" i="259"/>
  <c r="V16" i="259" s="1"/>
  <c r="V24" i="259" s="1"/>
  <c r="V25" i="258" l="1"/>
  <c r="F22" i="258"/>
  <c r="S19" i="258"/>
  <c r="S20" i="258" s="1"/>
  <c r="Q19" i="258"/>
  <c r="Q20" i="258" s="1"/>
  <c r="P19" i="258"/>
  <c r="P20" i="258" s="1"/>
  <c r="L19" i="258"/>
  <c r="L20" i="258" s="1"/>
  <c r="J19" i="258"/>
  <c r="J20" i="258" s="1"/>
  <c r="I19" i="258"/>
  <c r="I20" i="258" s="1"/>
  <c r="H19" i="258"/>
  <c r="H20" i="258" s="1"/>
  <c r="O18" i="258"/>
  <c r="O19" i="258" s="1"/>
  <c r="O20" i="258" s="1"/>
  <c r="I18" i="258"/>
  <c r="D18" i="258"/>
  <c r="D19" i="258" s="1"/>
  <c r="D20" i="258" s="1"/>
  <c r="X12" i="258"/>
  <c r="W12" i="258"/>
  <c r="K18" i="258" s="1"/>
  <c r="K19" i="258" s="1"/>
  <c r="K20" i="258" s="1"/>
  <c r="U12" i="258"/>
  <c r="S12" i="258"/>
  <c r="Q12" i="258"/>
  <c r="O12" i="258"/>
  <c r="N18" i="258" s="1"/>
  <c r="N19" i="258" s="1"/>
  <c r="N20" i="258" s="1"/>
  <c r="M12" i="258"/>
  <c r="M18" i="258" s="1"/>
  <c r="M19" i="258" s="1"/>
  <c r="M20" i="258" s="1"/>
  <c r="K12" i="258"/>
  <c r="G18" i="258" s="1"/>
  <c r="G19" i="258" s="1"/>
  <c r="G20" i="258" s="1"/>
  <c r="I12" i="258"/>
  <c r="F18" i="258" s="1"/>
  <c r="F19" i="258" s="1"/>
  <c r="F20" i="258" s="1"/>
  <c r="G12" i="258"/>
  <c r="E18" i="258" s="1"/>
  <c r="E19" i="258" s="1"/>
  <c r="E20" i="258" s="1"/>
  <c r="E12" i="258"/>
  <c r="C12" i="258"/>
  <c r="B18" i="258" s="1"/>
  <c r="B19" i="258" s="1"/>
  <c r="B20" i="258" s="1"/>
  <c r="X11" i="258"/>
  <c r="V11" i="258"/>
  <c r="T11" i="258"/>
  <c r="R11" i="258"/>
  <c r="P11" i="258"/>
  <c r="N11" i="258"/>
  <c r="L11" i="258"/>
  <c r="J11" i="258"/>
  <c r="H11" i="258"/>
  <c r="F11" i="258"/>
  <c r="D11" i="258"/>
  <c r="X10" i="258"/>
  <c r="V10" i="258"/>
  <c r="T10" i="258"/>
  <c r="R10" i="258"/>
  <c r="P10" i="258"/>
  <c r="N10" i="258"/>
  <c r="L10" i="258"/>
  <c r="J10" i="258"/>
  <c r="H10" i="258"/>
  <c r="F10" i="258"/>
  <c r="D10" i="258"/>
  <c r="X9" i="258"/>
  <c r="V9" i="258"/>
  <c r="T9" i="258"/>
  <c r="R9" i="258"/>
  <c r="P9" i="258"/>
  <c r="N9" i="258"/>
  <c r="L9" i="258"/>
  <c r="J9" i="258"/>
  <c r="H9" i="258"/>
  <c r="F9" i="258"/>
  <c r="D9" i="258"/>
  <c r="X8" i="258"/>
  <c r="V8" i="258"/>
  <c r="T8" i="258"/>
  <c r="R8" i="258"/>
  <c r="P8" i="258"/>
  <c r="N8" i="258"/>
  <c r="L8" i="258"/>
  <c r="J8" i="258"/>
  <c r="H8" i="258"/>
  <c r="H12" i="258" s="1"/>
  <c r="F8" i="258"/>
  <c r="D8" i="258"/>
  <c r="X7" i="258"/>
  <c r="V7" i="258"/>
  <c r="T7" i="258"/>
  <c r="R7" i="258"/>
  <c r="P7" i="258"/>
  <c r="N7" i="258"/>
  <c r="L7" i="258"/>
  <c r="J7" i="258"/>
  <c r="H7" i="258"/>
  <c r="F7" i="258"/>
  <c r="D7" i="258"/>
  <c r="X6" i="258"/>
  <c r="V6" i="258"/>
  <c r="V12" i="258" s="1"/>
  <c r="T6" i="258"/>
  <c r="T12" i="258" s="1"/>
  <c r="R6" i="258"/>
  <c r="R12" i="258" s="1"/>
  <c r="P6" i="258"/>
  <c r="N6" i="258"/>
  <c r="N12" i="258" s="1"/>
  <c r="L6" i="258"/>
  <c r="L12" i="258" s="1"/>
  <c r="J6" i="258"/>
  <c r="H6" i="258"/>
  <c r="F6" i="258"/>
  <c r="F12" i="258" s="1"/>
  <c r="D6" i="258"/>
  <c r="V25" i="257"/>
  <c r="F22" i="257"/>
  <c r="S20" i="257"/>
  <c r="Q20" i="257"/>
  <c r="P20" i="257"/>
  <c r="H20" i="257"/>
  <c r="S19" i="257"/>
  <c r="Q19" i="257"/>
  <c r="P19" i="257"/>
  <c r="O19" i="257"/>
  <c r="O20" i="257" s="1"/>
  <c r="M19" i="257"/>
  <c r="M20" i="257" s="1"/>
  <c r="L19" i="257"/>
  <c r="L20" i="257" s="1"/>
  <c r="J19" i="257"/>
  <c r="J20" i="257" s="1"/>
  <c r="I19" i="257"/>
  <c r="I20" i="257" s="1"/>
  <c r="H19" i="257"/>
  <c r="D19" i="257"/>
  <c r="D20" i="257" s="1"/>
  <c r="O18" i="257"/>
  <c r="M18" i="257"/>
  <c r="K18" i="257"/>
  <c r="K19" i="257" s="1"/>
  <c r="K20" i="257" s="1"/>
  <c r="I18" i="257"/>
  <c r="F18" i="257"/>
  <c r="F19" i="257" s="1"/>
  <c r="F20" i="257" s="1"/>
  <c r="D18" i="257"/>
  <c r="B18" i="257"/>
  <c r="B19" i="257" s="1"/>
  <c r="B20" i="257" s="1"/>
  <c r="X12" i="257"/>
  <c r="W12" i="257"/>
  <c r="V12" i="257"/>
  <c r="U12" i="257"/>
  <c r="T12" i="257"/>
  <c r="S12" i="257"/>
  <c r="R12" i="257"/>
  <c r="Q12" i="257"/>
  <c r="O12" i="257"/>
  <c r="N18" i="257" s="1"/>
  <c r="N19" i="257" s="1"/>
  <c r="N20" i="257" s="1"/>
  <c r="N12" i="257"/>
  <c r="M12" i="257"/>
  <c r="K12" i="257"/>
  <c r="G18" i="257" s="1"/>
  <c r="G19" i="257" s="1"/>
  <c r="G20" i="257" s="1"/>
  <c r="I12" i="257"/>
  <c r="G12" i="257"/>
  <c r="E18" i="257" s="1"/>
  <c r="E19" i="257" s="1"/>
  <c r="E20" i="257" s="1"/>
  <c r="F12" i="257"/>
  <c r="E12" i="257"/>
  <c r="C12" i="257"/>
  <c r="Y11" i="257"/>
  <c r="X11" i="257"/>
  <c r="V11" i="257"/>
  <c r="T11" i="257"/>
  <c r="R11" i="257"/>
  <c r="P11" i="257"/>
  <c r="N11" i="257"/>
  <c r="L11" i="257"/>
  <c r="J11" i="257"/>
  <c r="H11" i="257"/>
  <c r="F11" i="257"/>
  <c r="D11" i="257"/>
  <c r="Y10" i="257"/>
  <c r="X10" i="257"/>
  <c r="V10" i="257"/>
  <c r="T10" i="257"/>
  <c r="R10" i="257"/>
  <c r="P10" i="257"/>
  <c r="N10" i="257"/>
  <c r="L10" i="257"/>
  <c r="J10" i="257"/>
  <c r="H10" i="257"/>
  <c r="F10" i="257"/>
  <c r="D10" i="257"/>
  <c r="X9" i="257"/>
  <c r="V9" i="257"/>
  <c r="T9" i="257"/>
  <c r="R9" i="257"/>
  <c r="P9" i="257"/>
  <c r="N9" i="257"/>
  <c r="L9" i="257"/>
  <c r="J9" i="257"/>
  <c r="H9" i="257"/>
  <c r="H12" i="257" s="1"/>
  <c r="F9" i="257"/>
  <c r="D9" i="257"/>
  <c r="X8" i="257"/>
  <c r="V8" i="257"/>
  <c r="T8" i="257"/>
  <c r="R8" i="257"/>
  <c r="P8" i="257"/>
  <c r="N8" i="257"/>
  <c r="L8" i="257"/>
  <c r="L12" i="257" s="1"/>
  <c r="J8" i="257"/>
  <c r="H8" i="257"/>
  <c r="F8" i="257"/>
  <c r="D8" i="257"/>
  <c r="X7" i="257"/>
  <c r="V7" i="257"/>
  <c r="T7" i="257"/>
  <c r="R7" i="257"/>
  <c r="P7" i="257"/>
  <c r="N7" i="257"/>
  <c r="L7" i="257"/>
  <c r="J7" i="257"/>
  <c r="H7" i="257"/>
  <c r="F7" i="257"/>
  <c r="D7" i="257"/>
  <c r="X6" i="257"/>
  <c r="V6" i="257"/>
  <c r="T6" i="257"/>
  <c r="R6" i="257"/>
  <c r="P6" i="257"/>
  <c r="N6" i="257"/>
  <c r="L6" i="257"/>
  <c r="J6" i="257"/>
  <c r="H6" i="257"/>
  <c r="F6" i="257"/>
  <c r="D6" i="257"/>
  <c r="Y10" i="258" l="1"/>
  <c r="Y11" i="258"/>
  <c r="P12" i="258"/>
  <c r="Y6" i="258"/>
  <c r="Y8" i="258"/>
  <c r="Y9" i="258"/>
  <c r="J12" i="258"/>
  <c r="Y7" i="258"/>
  <c r="B21" i="258"/>
  <c r="D12" i="258"/>
  <c r="Y9" i="257"/>
  <c r="P12" i="257"/>
  <c r="J12" i="257"/>
  <c r="D12" i="257"/>
  <c r="Y7" i="257"/>
  <c r="Y6" i="257"/>
  <c r="Y8" i="257"/>
  <c r="B21" i="257"/>
  <c r="V25" i="256"/>
  <c r="F22" i="256"/>
  <c r="S19" i="256"/>
  <c r="S20" i="256" s="1"/>
  <c r="Q19" i="256"/>
  <c r="Q20" i="256" s="1"/>
  <c r="P19" i="256"/>
  <c r="P20" i="256" s="1"/>
  <c r="M19" i="256"/>
  <c r="M20" i="256" s="1"/>
  <c r="L19" i="256"/>
  <c r="L20" i="256" s="1"/>
  <c r="J19" i="256"/>
  <c r="J20" i="256" s="1"/>
  <c r="H19" i="256"/>
  <c r="H20" i="256" s="1"/>
  <c r="M18" i="256"/>
  <c r="W12" i="256"/>
  <c r="K18" i="256" s="1"/>
  <c r="K19" i="256" s="1"/>
  <c r="K20" i="256" s="1"/>
  <c r="U12" i="256"/>
  <c r="I18" i="256" s="1"/>
  <c r="I19" i="256" s="1"/>
  <c r="I20" i="256" s="1"/>
  <c r="S12" i="256"/>
  <c r="Q12" i="256"/>
  <c r="O18" i="256" s="1"/>
  <c r="O19" i="256" s="1"/>
  <c r="O20" i="256" s="1"/>
  <c r="O12" i="256"/>
  <c r="N18" i="256" s="1"/>
  <c r="N19" i="256" s="1"/>
  <c r="N20" i="256" s="1"/>
  <c r="N12" i="256"/>
  <c r="M12" i="256"/>
  <c r="K12" i="256"/>
  <c r="G18" i="256" s="1"/>
  <c r="G19" i="256" s="1"/>
  <c r="G20" i="256" s="1"/>
  <c r="I12" i="256"/>
  <c r="F18" i="256" s="1"/>
  <c r="F19" i="256" s="1"/>
  <c r="F20" i="256" s="1"/>
  <c r="G12" i="256"/>
  <c r="E18" i="256" s="1"/>
  <c r="E19" i="256" s="1"/>
  <c r="E20" i="256" s="1"/>
  <c r="F12" i="256"/>
  <c r="E12" i="256"/>
  <c r="D18" i="256" s="1"/>
  <c r="D19" i="256" s="1"/>
  <c r="D20" i="256" s="1"/>
  <c r="C12" i="256"/>
  <c r="B18" i="256" s="1"/>
  <c r="B19" i="256" s="1"/>
  <c r="B20" i="256" s="1"/>
  <c r="X11" i="256"/>
  <c r="V11" i="256"/>
  <c r="T11" i="256"/>
  <c r="R11" i="256"/>
  <c r="P11" i="256"/>
  <c r="N11" i="256"/>
  <c r="L11" i="256"/>
  <c r="J11" i="256"/>
  <c r="H11" i="256"/>
  <c r="F11" i="256"/>
  <c r="D11" i="256"/>
  <c r="Y11" i="256" s="1"/>
  <c r="X10" i="256"/>
  <c r="V10" i="256"/>
  <c r="T10" i="256"/>
  <c r="R10" i="256"/>
  <c r="P10" i="256"/>
  <c r="N10" i="256"/>
  <c r="L10" i="256"/>
  <c r="J10" i="256"/>
  <c r="H10" i="256"/>
  <c r="F10" i="256"/>
  <c r="D10" i="256"/>
  <c r="Y10" i="256" s="1"/>
  <c r="X9" i="256"/>
  <c r="V9" i="256"/>
  <c r="T9" i="256"/>
  <c r="R9" i="256"/>
  <c r="P9" i="256"/>
  <c r="N9" i="256"/>
  <c r="L9" i="256"/>
  <c r="J9" i="256"/>
  <c r="H9" i="256"/>
  <c r="F9" i="256"/>
  <c r="D9" i="256"/>
  <c r="X8" i="256"/>
  <c r="V8" i="256"/>
  <c r="T8" i="256"/>
  <c r="R8" i="256"/>
  <c r="P8" i="256"/>
  <c r="N8" i="256"/>
  <c r="L8" i="256"/>
  <c r="J8" i="256"/>
  <c r="H8" i="256"/>
  <c r="F8" i="256"/>
  <c r="D8" i="256"/>
  <c r="X7" i="256"/>
  <c r="V7" i="256"/>
  <c r="T7" i="256"/>
  <c r="R7" i="256"/>
  <c r="P7" i="256"/>
  <c r="N7" i="256"/>
  <c r="L7" i="256"/>
  <c r="J7" i="256"/>
  <c r="H7" i="256"/>
  <c r="F7" i="256"/>
  <c r="D7" i="256"/>
  <c r="X6" i="256"/>
  <c r="X12" i="256" s="1"/>
  <c r="V6" i="256"/>
  <c r="V12" i="256" s="1"/>
  <c r="T6" i="256"/>
  <c r="T12" i="256" s="1"/>
  <c r="R6" i="256"/>
  <c r="R12" i="256" s="1"/>
  <c r="P6" i="256"/>
  <c r="P12" i="256" s="1"/>
  <c r="N6" i="256"/>
  <c r="L6" i="256"/>
  <c r="L12" i="256" s="1"/>
  <c r="J6" i="256"/>
  <c r="H6" i="256"/>
  <c r="F6" i="256"/>
  <c r="D6" i="256"/>
  <c r="Y12" i="258" l="1"/>
  <c r="V16" i="258" s="1"/>
  <c r="V24" i="258" s="1"/>
  <c r="Y12" i="257"/>
  <c r="V16" i="257" s="1"/>
  <c r="V24" i="257" s="1"/>
  <c r="Y8" i="256"/>
  <c r="H12" i="256"/>
  <c r="Y7" i="256"/>
  <c r="J12" i="256"/>
  <c r="Y9" i="256"/>
  <c r="D12" i="256"/>
  <c r="B21" i="256"/>
  <c r="Y6" i="256"/>
  <c r="Y12" i="256" l="1"/>
  <c r="V16" i="256" s="1"/>
  <c r="V24" i="256" s="1"/>
  <c r="V25" i="255"/>
  <c r="F22" i="255"/>
  <c r="S19" i="255"/>
  <c r="S20" i="255" s="1"/>
  <c r="Q19" i="255"/>
  <c r="Q20" i="255" s="1"/>
  <c r="P19" i="255"/>
  <c r="P20" i="255" s="1"/>
  <c r="L19" i="255"/>
  <c r="L20" i="255" s="1"/>
  <c r="J19" i="255"/>
  <c r="J20" i="255" s="1"/>
  <c r="H19" i="255"/>
  <c r="H20" i="255" s="1"/>
  <c r="O18" i="255"/>
  <c r="O19" i="255" s="1"/>
  <c r="O20" i="255" s="1"/>
  <c r="K18" i="255"/>
  <c r="K19" i="255" s="1"/>
  <c r="K20" i="255" s="1"/>
  <c r="D18" i="255"/>
  <c r="D19" i="255" s="1"/>
  <c r="D20" i="255" s="1"/>
  <c r="W12" i="255"/>
  <c r="U12" i="255"/>
  <c r="I18" i="255" s="1"/>
  <c r="I19" i="255" s="1"/>
  <c r="I20" i="255" s="1"/>
  <c r="T12" i="255"/>
  <c r="S12" i="255"/>
  <c r="Q12" i="255"/>
  <c r="O12" i="255"/>
  <c r="N18" i="255" s="1"/>
  <c r="N19" i="255" s="1"/>
  <c r="N20" i="255" s="1"/>
  <c r="M12" i="255"/>
  <c r="M18" i="255" s="1"/>
  <c r="M19" i="255" s="1"/>
  <c r="M20" i="255" s="1"/>
  <c r="L12" i="255"/>
  <c r="K12" i="255"/>
  <c r="G18" i="255" s="1"/>
  <c r="G19" i="255" s="1"/>
  <c r="G20" i="255" s="1"/>
  <c r="I12" i="255"/>
  <c r="F18" i="255" s="1"/>
  <c r="F19" i="255" s="1"/>
  <c r="F20" i="255" s="1"/>
  <c r="G12" i="255"/>
  <c r="E18" i="255" s="1"/>
  <c r="E19" i="255" s="1"/>
  <c r="E20" i="255" s="1"/>
  <c r="E12" i="255"/>
  <c r="C12" i="255"/>
  <c r="B18" i="255" s="1"/>
  <c r="B19" i="255" s="1"/>
  <c r="B20" i="255" s="1"/>
  <c r="X11" i="255"/>
  <c r="V11" i="255"/>
  <c r="T11" i="255"/>
  <c r="R11" i="255"/>
  <c r="P11" i="255"/>
  <c r="N11" i="255"/>
  <c r="L11" i="255"/>
  <c r="J11" i="255"/>
  <c r="H11" i="255"/>
  <c r="F11" i="255"/>
  <c r="Y11" i="255" s="1"/>
  <c r="D11" i="255"/>
  <c r="X10" i="255"/>
  <c r="V10" i="255"/>
  <c r="T10" i="255"/>
  <c r="R10" i="255"/>
  <c r="P10" i="255"/>
  <c r="N10" i="255"/>
  <c r="L10" i="255"/>
  <c r="J10" i="255"/>
  <c r="H10" i="255"/>
  <c r="F10" i="255"/>
  <c r="Y10" i="255" s="1"/>
  <c r="D10" i="255"/>
  <c r="X9" i="255"/>
  <c r="V9" i="255"/>
  <c r="T9" i="255"/>
  <c r="R9" i="255"/>
  <c r="P9" i="255"/>
  <c r="N9" i="255"/>
  <c r="L9" i="255"/>
  <c r="J9" i="255"/>
  <c r="H9" i="255"/>
  <c r="H12" i="255" s="1"/>
  <c r="F9" i="255"/>
  <c r="D9" i="255"/>
  <c r="X8" i="255"/>
  <c r="V8" i="255"/>
  <c r="T8" i="255"/>
  <c r="R8" i="255"/>
  <c r="P8" i="255"/>
  <c r="N8" i="255"/>
  <c r="L8" i="255"/>
  <c r="J8" i="255"/>
  <c r="H8" i="255"/>
  <c r="F8" i="255"/>
  <c r="D8" i="255"/>
  <c r="X7" i="255"/>
  <c r="V7" i="255"/>
  <c r="T7" i="255"/>
  <c r="R7" i="255"/>
  <c r="P7" i="255"/>
  <c r="N7" i="255"/>
  <c r="L7" i="255"/>
  <c r="J7" i="255"/>
  <c r="H7" i="255"/>
  <c r="F7" i="255"/>
  <c r="D7" i="255"/>
  <c r="X6" i="255"/>
  <c r="X12" i="255" s="1"/>
  <c r="V6" i="255"/>
  <c r="T6" i="255"/>
  <c r="R6" i="255"/>
  <c r="R12" i="255" s="1"/>
  <c r="P6" i="255"/>
  <c r="P12" i="255" s="1"/>
  <c r="N6" i="255"/>
  <c r="N12" i="255" s="1"/>
  <c r="L6" i="255"/>
  <c r="J6" i="255"/>
  <c r="H6" i="255"/>
  <c r="F6" i="255"/>
  <c r="F12" i="255" s="1"/>
  <c r="D6" i="255"/>
  <c r="V25" i="254"/>
  <c r="F22" i="254"/>
  <c r="S19" i="254"/>
  <c r="S20" i="254" s="1"/>
  <c r="Q19" i="254"/>
  <c r="Q20" i="254" s="1"/>
  <c r="P19" i="254"/>
  <c r="P20" i="254" s="1"/>
  <c r="L19" i="254"/>
  <c r="L20" i="254" s="1"/>
  <c r="J19" i="254"/>
  <c r="J20" i="254" s="1"/>
  <c r="H19" i="254"/>
  <c r="H20" i="254" s="1"/>
  <c r="K18" i="254"/>
  <c r="K19" i="254" s="1"/>
  <c r="K20" i="254" s="1"/>
  <c r="W12" i="254"/>
  <c r="U12" i="254"/>
  <c r="I18" i="254" s="1"/>
  <c r="I19" i="254" s="1"/>
  <c r="I20" i="254" s="1"/>
  <c r="T12" i="254"/>
  <c r="S12" i="254"/>
  <c r="Q12" i="254"/>
  <c r="O18" i="254" s="1"/>
  <c r="O19" i="254" s="1"/>
  <c r="O20" i="254" s="1"/>
  <c r="O12" i="254"/>
  <c r="N18" i="254" s="1"/>
  <c r="N19" i="254" s="1"/>
  <c r="N20" i="254" s="1"/>
  <c r="M12" i="254"/>
  <c r="M18" i="254" s="1"/>
  <c r="M19" i="254" s="1"/>
  <c r="M20" i="254" s="1"/>
  <c r="L12" i="254"/>
  <c r="K12" i="254"/>
  <c r="G18" i="254" s="1"/>
  <c r="G19" i="254" s="1"/>
  <c r="G20" i="254" s="1"/>
  <c r="I12" i="254"/>
  <c r="F18" i="254" s="1"/>
  <c r="F19" i="254" s="1"/>
  <c r="F20" i="254" s="1"/>
  <c r="G12" i="254"/>
  <c r="E18" i="254" s="1"/>
  <c r="E19" i="254" s="1"/>
  <c r="E20" i="254" s="1"/>
  <c r="E12" i="254"/>
  <c r="D18" i="254" s="1"/>
  <c r="D19" i="254" s="1"/>
  <c r="D20" i="254" s="1"/>
  <c r="C12" i="254"/>
  <c r="B18" i="254" s="1"/>
  <c r="B19" i="254" s="1"/>
  <c r="B20" i="254" s="1"/>
  <c r="X11" i="254"/>
  <c r="V11" i="254"/>
  <c r="T11" i="254"/>
  <c r="R11" i="254"/>
  <c r="P11" i="254"/>
  <c r="N11" i="254"/>
  <c r="L11" i="254"/>
  <c r="J11" i="254"/>
  <c r="H11" i="254"/>
  <c r="F11" i="254"/>
  <c r="D11" i="254"/>
  <c r="Y11" i="254" s="1"/>
  <c r="X10" i="254"/>
  <c r="V10" i="254"/>
  <c r="T10" i="254"/>
  <c r="R10" i="254"/>
  <c r="P10" i="254"/>
  <c r="N10" i="254"/>
  <c r="L10" i="254"/>
  <c r="J10" i="254"/>
  <c r="H10" i="254"/>
  <c r="F10" i="254"/>
  <c r="D10" i="254"/>
  <c r="Y10" i="254" s="1"/>
  <c r="X9" i="254"/>
  <c r="V9" i="254"/>
  <c r="T9" i="254"/>
  <c r="R9" i="254"/>
  <c r="P9" i="254"/>
  <c r="N9" i="254"/>
  <c r="L9" i="254"/>
  <c r="J9" i="254"/>
  <c r="H9" i="254"/>
  <c r="F9" i="254"/>
  <c r="D9" i="254"/>
  <c r="Y9" i="254" s="1"/>
  <c r="X8" i="254"/>
  <c r="V8" i="254"/>
  <c r="T8" i="254"/>
  <c r="R8" i="254"/>
  <c r="P8" i="254"/>
  <c r="N8" i="254"/>
  <c r="L8" i="254"/>
  <c r="J8" i="254"/>
  <c r="H8" i="254"/>
  <c r="F8" i="254"/>
  <c r="D8" i="254"/>
  <c r="X7" i="254"/>
  <c r="V7" i="254"/>
  <c r="T7" i="254"/>
  <c r="R7" i="254"/>
  <c r="P7" i="254"/>
  <c r="N7" i="254"/>
  <c r="L7" i="254"/>
  <c r="J7" i="254"/>
  <c r="H7" i="254"/>
  <c r="F7" i="254"/>
  <c r="D7" i="254"/>
  <c r="X6" i="254"/>
  <c r="X12" i="254" s="1"/>
  <c r="V6" i="254"/>
  <c r="V12" i="254" s="1"/>
  <c r="T6" i="254"/>
  <c r="R6" i="254"/>
  <c r="R12" i="254" s="1"/>
  <c r="P6" i="254"/>
  <c r="P12" i="254" s="1"/>
  <c r="N6" i="254"/>
  <c r="N12" i="254" s="1"/>
  <c r="L6" i="254"/>
  <c r="J6" i="254"/>
  <c r="H6" i="254"/>
  <c r="F6" i="254"/>
  <c r="F12" i="254" s="1"/>
  <c r="D6" i="254"/>
  <c r="V25" i="253"/>
  <c r="F22" i="253"/>
  <c r="S19" i="253"/>
  <c r="S20" i="253" s="1"/>
  <c r="Q19" i="253"/>
  <c r="Q20" i="253" s="1"/>
  <c r="P19" i="253"/>
  <c r="P20" i="253" s="1"/>
  <c r="L19" i="253"/>
  <c r="L20" i="253" s="1"/>
  <c r="J19" i="253"/>
  <c r="J20" i="253" s="1"/>
  <c r="H19" i="253"/>
  <c r="H20" i="253" s="1"/>
  <c r="W12" i="253"/>
  <c r="K18" i="253" s="1"/>
  <c r="K19" i="253" s="1"/>
  <c r="K20" i="253" s="1"/>
  <c r="U12" i="253"/>
  <c r="I18" i="253" s="1"/>
  <c r="I19" i="253" s="1"/>
  <c r="I20" i="253" s="1"/>
  <c r="S12" i="253"/>
  <c r="Q12" i="253"/>
  <c r="O18" i="253" s="1"/>
  <c r="O19" i="253" s="1"/>
  <c r="O20" i="253" s="1"/>
  <c r="O12" i="253"/>
  <c r="N18" i="253" s="1"/>
  <c r="N19" i="253" s="1"/>
  <c r="N20" i="253" s="1"/>
  <c r="M12" i="253"/>
  <c r="M18" i="253" s="1"/>
  <c r="M19" i="253" s="1"/>
  <c r="M20" i="253" s="1"/>
  <c r="K12" i="253"/>
  <c r="G18" i="253" s="1"/>
  <c r="G19" i="253" s="1"/>
  <c r="G20" i="253" s="1"/>
  <c r="I12" i="253"/>
  <c r="F18" i="253" s="1"/>
  <c r="F19" i="253" s="1"/>
  <c r="F20" i="253" s="1"/>
  <c r="G12" i="253"/>
  <c r="E18" i="253" s="1"/>
  <c r="E19" i="253" s="1"/>
  <c r="E20" i="253" s="1"/>
  <c r="E12" i="253"/>
  <c r="D18" i="253" s="1"/>
  <c r="D19" i="253" s="1"/>
  <c r="D20" i="253" s="1"/>
  <c r="C12" i="253"/>
  <c r="B18" i="253" s="1"/>
  <c r="B19" i="253" s="1"/>
  <c r="B20" i="253" s="1"/>
  <c r="X11" i="253"/>
  <c r="V11" i="253"/>
  <c r="T11" i="253"/>
  <c r="R11" i="253"/>
  <c r="P11" i="253"/>
  <c r="N11" i="253"/>
  <c r="L11" i="253"/>
  <c r="J11" i="253"/>
  <c r="H11" i="253"/>
  <c r="F11" i="253"/>
  <c r="D11" i="253"/>
  <c r="Y11" i="253" s="1"/>
  <c r="X10" i="253"/>
  <c r="V10" i="253"/>
  <c r="T10" i="253"/>
  <c r="R10" i="253"/>
  <c r="P10" i="253"/>
  <c r="N10" i="253"/>
  <c r="L10" i="253"/>
  <c r="J10" i="253"/>
  <c r="H10" i="253"/>
  <c r="F10" i="253"/>
  <c r="D10" i="253"/>
  <c r="Y10" i="253" s="1"/>
  <c r="X9" i="253"/>
  <c r="V9" i="253"/>
  <c r="T9" i="253"/>
  <c r="R9" i="253"/>
  <c r="P9" i="253"/>
  <c r="N9" i="253"/>
  <c r="L9" i="253"/>
  <c r="J9" i="253"/>
  <c r="H9" i="253"/>
  <c r="F9" i="253"/>
  <c r="D9" i="253"/>
  <c r="X8" i="253"/>
  <c r="V8" i="253"/>
  <c r="T8" i="253"/>
  <c r="R8" i="253"/>
  <c r="P8" i="253"/>
  <c r="N8" i="253"/>
  <c r="L8" i="253"/>
  <c r="J8" i="253"/>
  <c r="H8" i="253"/>
  <c r="F8" i="253"/>
  <c r="D8" i="253"/>
  <c r="X7" i="253"/>
  <c r="V7" i="253"/>
  <c r="T7" i="253"/>
  <c r="R7" i="253"/>
  <c r="P7" i="253"/>
  <c r="N7" i="253"/>
  <c r="L7" i="253"/>
  <c r="J7" i="253"/>
  <c r="H7" i="253"/>
  <c r="F7" i="253"/>
  <c r="D7" i="253"/>
  <c r="X6" i="253"/>
  <c r="X12" i="253" s="1"/>
  <c r="V6" i="253"/>
  <c r="T6" i="253"/>
  <c r="R6" i="253"/>
  <c r="R12" i="253" s="1"/>
  <c r="P6" i="253"/>
  <c r="P12" i="253" s="1"/>
  <c r="N6" i="253"/>
  <c r="N12" i="253" s="1"/>
  <c r="L6" i="253"/>
  <c r="J6" i="253"/>
  <c r="H6" i="253"/>
  <c r="F6" i="253"/>
  <c r="F12" i="253" s="1"/>
  <c r="D6" i="253"/>
  <c r="V25" i="252"/>
  <c r="F22" i="252"/>
  <c r="S19" i="252"/>
  <c r="S20" i="252" s="1"/>
  <c r="Q19" i="252"/>
  <c r="Q20" i="252" s="1"/>
  <c r="P19" i="252"/>
  <c r="P20" i="252" s="1"/>
  <c r="L19" i="252"/>
  <c r="L20" i="252" s="1"/>
  <c r="J19" i="252"/>
  <c r="J20" i="252" s="1"/>
  <c r="H19" i="252"/>
  <c r="H20" i="252" s="1"/>
  <c r="O18" i="252"/>
  <c r="O19" i="252" s="1"/>
  <c r="O20" i="252" s="1"/>
  <c r="D18" i="252"/>
  <c r="D19" i="252" s="1"/>
  <c r="D20" i="252" s="1"/>
  <c r="W12" i="252"/>
  <c r="K18" i="252" s="1"/>
  <c r="K19" i="252" s="1"/>
  <c r="K20" i="252" s="1"/>
  <c r="U12" i="252"/>
  <c r="I18" i="252" s="1"/>
  <c r="I19" i="252" s="1"/>
  <c r="I20" i="252" s="1"/>
  <c r="T12" i="252"/>
  <c r="S12" i="252"/>
  <c r="Q12" i="252"/>
  <c r="P12" i="252"/>
  <c r="O12" i="252"/>
  <c r="N18" i="252" s="1"/>
  <c r="N19" i="252" s="1"/>
  <c r="N20" i="252" s="1"/>
  <c r="M12" i="252"/>
  <c r="M18" i="252" s="1"/>
  <c r="M19" i="252" s="1"/>
  <c r="M20" i="252" s="1"/>
  <c r="K12" i="252"/>
  <c r="G18" i="252" s="1"/>
  <c r="G19" i="252" s="1"/>
  <c r="G20" i="252" s="1"/>
  <c r="I12" i="252"/>
  <c r="F18" i="252" s="1"/>
  <c r="F19" i="252" s="1"/>
  <c r="F20" i="252" s="1"/>
  <c r="G12" i="252"/>
  <c r="E18" i="252" s="1"/>
  <c r="E19" i="252" s="1"/>
  <c r="E20" i="252" s="1"/>
  <c r="E12" i="252"/>
  <c r="C12" i="252"/>
  <c r="B18" i="252" s="1"/>
  <c r="B19" i="252" s="1"/>
  <c r="B20" i="252" s="1"/>
  <c r="X11" i="252"/>
  <c r="V11" i="252"/>
  <c r="T11" i="252"/>
  <c r="R11" i="252"/>
  <c r="P11" i="252"/>
  <c r="N11" i="252"/>
  <c r="L11" i="252"/>
  <c r="J11" i="252"/>
  <c r="H11" i="252"/>
  <c r="F11" i="252"/>
  <c r="D11" i="252"/>
  <c r="Y11" i="252" s="1"/>
  <c r="X10" i="252"/>
  <c r="V10" i="252"/>
  <c r="T10" i="252"/>
  <c r="R10" i="252"/>
  <c r="P10" i="252"/>
  <c r="N10" i="252"/>
  <c r="L10" i="252"/>
  <c r="J10" i="252"/>
  <c r="H10" i="252"/>
  <c r="F10" i="252"/>
  <c r="D10" i="252"/>
  <c r="Y10" i="252" s="1"/>
  <c r="X9" i="252"/>
  <c r="V9" i="252"/>
  <c r="T9" i="252"/>
  <c r="R9" i="252"/>
  <c r="P9" i="252"/>
  <c r="N9" i="252"/>
  <c r="L9" i="252"/>
  <c r="J9" i="252"/>
  <c r="H9" i="252"/>
  <c r="F9" i="252"/>
  <c r="D9" i="252"/>
  <c r="X8" i="252"/>
  <c r="V8" i="252"/>
  <c r="T8" i="252"/>
  <c r="R8" i="252"/>
  <c r="P8" i="252"/>
  <c r="N8" i="252"/>
  <c r="L8" i="252"/>
  <c r="L12" i="252" s="1"/>
  <c r="J8" i="252"/>
  <c r="H8" i="252"/>
  <c r="F8" i="252"/>
  <c r="D8" i="252"/>
  <c r="X7" i="252"/>
  <c r="V7" i="252"/>
  <c r="T7" i="252"/>
  <c r="R7" i="252"/>
  <c r="P7" i="252"/>
  <c r="N7" i="252"/>
  <c r="L7" i="252"/>
  <c r="J7" i="252"/>
  <c r="H7" i="252"/>
  <c r="F7" i="252"/>
  <c r="D7" i="252"/>
  <c r="Y7" i="252" s="1"/>
  <c r="X6" i="252"/>
  <c r="V6" i="252"/>
  <c r="V12" i="252" s="1"/>
  <c r="T6" i="252"/>
  <c r="R6" i="252"/>
  <c r="R12" i="252" s="1"/>
  <c r="P6" i="252"/>
  <c r="N6" i="252"/>
  <c r="N12" i="252" s="1"/>
  <c r="L6" i="252"/>
  <c r="J6" i="252"/>
  <c r="H6" i="252"/>
  <c r="F6" i="252"/>
  <c r="F12" i="252" s="1"/>
  <c r="D6" i="252"/>
  <c r="V25" i="251"/>
  <c r="F22" i="251"/>
  <c r="S19" i="251"/>
  <c r="S20" i="251" s="1"/>
  <c r="Q19" i="251"/>
  <c r="Q20" i="251" s="1"/>
  <c r="P19" i="251"/>
  <c r="P20" i="251" s="1"/>
  <c r="L19" i="251"/>
  <c r="L20" i="251" s="1"/>
  <c r="J19" i="251"/>
  <c r="J20" i="251" s="1"/>
  <c r="H19" i="251"/>
  <c r="H20" i="251" s="1"/>
  <c r="E18" i="251"/>
  <c r="E19" i="251" s="1"/>
  <c r="E20" i="251" s="1"/>
  <c r="W12" i="251"/>
  <c r="K18" i="251" s="1"/>
  <c r="K19" i="251" s="1"/>
  <c r="K20" i="251" s="1"/>
  <c r="U12" i="251"/>
  <c r="I18" i="251" s="1"/>
  <c r="I19" i="251" s="1"/>
  <c r="I20" i="251" s="1"/>
  <c r="S12" i="251"/>
  <c r="Q12" i="251"/>
  <c r="O18" i="251" s="1"/>
  <c r="O19" i="251" s="1"/>
  <c r="O20" i="251" s="1"/>
  <c r="O12" i="251"/>
  <c r="N18" i="251" s="1"/>
  <c r="N19" i="251" s="1"/>
  <c r="N20" i="251" s="1"/>
  <c r="N12" i="251"/>
  <c r="M12" i="251"/>
  <c r="M18" i="251" s="1"/>
  <c r="M19" i="251" s="1"/>
  <c r="M20" i="251" s="1"/>
  <c r="K12" i="251"/>
  <c r="G18" i="251" s="1"/>
  <c r="G19" i="251" s="1"/>
  <c r="G20" i="251" s="1"/>
  <c r="I12" i="251"/>
  <c r="F18" i="251" s="1"/>
  <c r="F19" i="251" s="1"/>
  <c r="F20" i="251" s="1"/>
  <c r="G12" i="251"/>
  <c r="F12" i="251"/>
  <c r="E12" i="251"/>
  <c r="D18" i="251" s="1"/>
  <c r="D19" i="251" s="1"/>
  <c r="D20" i="251" s="1"/>
  <c r="C12" i="251"/>
  <c r="B18" i="251" s="1"/>
  <c r="B19" i="251" s="1"/>
  <c r="B20" i="251" s="1"/>
  <c r="X11" i="251"/>
  <c r="V11" i="251"/>
  <c r="T11" i="251"/>
  <c r="R11" i="251"/>
  <c r="P11" i="251"/>
  <c r="N11" i="251"/>
  <c r="L11" i="251"/>
  <c r="J11" i="251"/>
  <c r="H11" i="251"/>
  <c r="Y11" i="251" s="1"/>
  <c r="F11" i="251"/>
  <c r="D11" i="251"/>
  <c r="X10" i="251"/>
  <c r="V10" i="251"/>
  <c r="T10" i="251"/>
  <c r="R10" i="251"/>
  <c r="P10" i="251"/>
  <c r="N10" i="251"/>
  <c r="L10" i="251"/>
  <c r="J10" i="251"/>
  <c r="H10" i="251"/>
  <c r="Y10" i="251" s="1"/>
  <c r="F10" i="251"/>
  <c r="D10" i="251"/>
  <c r="X9" i="251"/>
  <c r="V9" i="251"/>
  <c r="T9" i="251"/>
  <c r="R9" i="251"/>
  <c r="P9" i="251"/>
  <c r="N9" i="251"/>
  <c r="L9" i="251"/>
  <c r="J9" i="251"/>
  <c r="H9" i="251"/>
  <c r="F9" i="251"/>
  <c r="D9" i="251"/>
  <c r="X8" i="251"/>
  <c r="V8" i="251"/>
  <c r="T8" i="251"/>
  <c r="R8" i="251"/>
  <c r="P8" i="251"/>
  <c r="N8" i="251"/>
  <c r="L8" i="251"/>
  <c r="J8" i="251"/>
  <c r="H8" i="251"/>
  <c r="F8" i="251"/>
  <c r="D8" i="251"/>
  <c r="X7" i="251"/>
  <c r="V7" i="251"/>
  <c r="T7" i="251"/>
  <c r="R7" i="251"/>
  <c r="P7" i="251"/>
  <c r="N7" i="251"/>
  <c r="L7" i="251"/>
  <c r="J7" i="251"/>
  <c r="H7" i="251"/>
  <c r="F7" i="251"/>
  <c r="D7" i="251"/>
  <c r="X6" i="251"/>
  <c r="V6" i="251"/>
  <c r="T6" i="251"/>
  <c r="T12" i="251" s="1"/>
  <c r="R6" i="251"/>
  <c r="R12" i="251" s="1"/>
  <c r="P6" i="251"/>
  <c r="P12" i="251" s="1"/>
  <c r="N6" i="251"/>
  <c r="L6" i="251"/>
  <c r="L12" i="251" s="1"/>
  <c r="J6" i="251"/>
  <c r="H6" i="251"/>
  <c r="F6" i="251"/>
  <c r="D6" i="251"/>
  <c r="V25" i="250"/>
  <c r="F22" i="250"/>
  <c r="S19" i="250"/>
  <c r="S20" i="250" s="1"/>
  <c r="Q19" i="250"/>
  <c r="Q20" i="250" s="1"/>
  <c r="P19" i="250"/>
  <c r="P20" i="250" s="1"/>
  <c r="L19" i="250"/>
  <c r="L20" i="250" s="1"/>
  <c r="J19" i="250"/>
  <c r="J20" i="250" s="1"/>
  <c r="H19" i="250"/>
  <c r="H20" i="250" s="1"/>
  <c r="W12" i="250"/>
  <c r="K18" i="250" s="1"/>
  <c r="K19" i="250" s="1"/>
  <c r="K20" i="250" s="1"/>
  <c r="U12" i="250"/>
  <c r="I18" i="250" s="1"/>
  <c r="I19" i="250" s="1"/>
  <c r="I20" i="250" s="1"/>
  <c r="S12" i="250"/>
  <c r="Q12" i="250"/>
  <c r="O18" i="250" s="1"/>
  <c r="O19" i="250" s="1"/>
  <c r="O20" i="250" s="1"/>
  <c r="O12" i="250"/>
  <c r="N18" i="250" s="1"/>
  <c r="N19" i="250" s="1"/>
  <c r="N20" i="250" s="1"/>
  <c r="M12" i="250"/>
  <c r="M18" i="250" s="1"/>
  <c r="M19" i="250" s="1"/>
  <c r="M20" i="250" s="1"/>
  <c r="K12" i="250"/>
  <c r="G18" i="250" s="1"/>
  <c r="G19" i="250" s="1"/>
  <c r="G20" i="250" s="1"/>
  <c r="I12" i="250"/>
  <c r="F18" i="250" s="1"/>
  <c r="F19" i="250" s="1"/>
  <c r="F20" i="250" s="1"/>
  <c r="G12" i="250"/>
  <c r="E18" i="250" s="1"/>
  <c r="E19" i="250" s="1"/>
  <c r="E20" i="250" s="1"/>
  <c r="E12" i="250"/>
  <c r="D18" i="250" s="1"/>
  <c r="D19" i="250" s="1"/>
  <c r="D20" i="250" s="1"/>
  <c r="C12" i="250"/>
  <c r="B18" i="250" s="1"/>
  <c r="B19" i="250" s="1"/>
  <c r="B20" i="250" s="1"/>
  <c r="X11" i="250"/>
  <c r="V11" i="250"/>
  <c r="T11" i="250"/>
  <c r="R11" i="250"/>
  <c r="P11" i="250"/>
  <c r="N11" i="250"/>
  <c r="L11" i="250"/>
  <c r="J11" i="250"/>
  <c r="H11" i="250"/>
  <c r="F11" i="250"/>
  <c r="D11" i="250"/>
  <c r="Y11" i="250" s="1"/>
  <c r="X10" i="250"/>
  <c r="V10" i="250"/>
  <c r="T10" i="250"/>
  <c r="R10" i="250"/>
  <c r="P10" i="250"/>
  <c r="N10" i="250"/>
  <c r="L10" i="250"/>
  <c r="J10" i="250"/>
  <c r="H10" i="250"/>
  <c r="F10" i="250"/>
  <c r="D10" i="250"/>
  <c r="X9" i="250"/>
  <c r="V9" i="250"/>
  <c r="T9" i="250"/>
  <c r="R9" i="250"/>
  <c r="P9" i="250"/>
  <c r="N9" i="250"/>
  <c r="L9" i="250"/>
  <c r="J9" i="250"/>
  <c r="H9" i="250"/>
  <c r="F9" i="250"/>
  <c r="D9" i="250"/>
  <c r="X8" i="250"/>
  <c r="V8" i="250"/>
  <c r="T8" i="250"/>
  <c r="R8" i="250"/>
  <c r="P8" i="250"/>
  <c r="N8" i="250"/>
  <c r="L8" i="250"/>
  <c r="J8" i="250"/>
  <c r="H8" i="250"/>
  <c r="F8" i="250"/>
  <c r="D8" i="250"/>
  <c r="X7" i="250"/>
  <c r="V7" i="250"/>
  <c r="T7" i="250"/>
  <c r="R7" i="250"/>
  <c r="P7" i="250"/>
  <c r="N7" i="250"/>
  <c r="L7" i="250"/>
  <c r="J7" i="250"/>
  <c r="H7" i="250"/>
  <c r="F7" i="250"/>
  <c r="D7" i="250"/>
  <c r="X6" i="250"/>
  <c r="X12" i="250" s="1"/>
  <c r="V6" i="250"/>
  <c r="T6" i="250"/>
  <c r="T12" i="250" s="1"/>
  <c r="R6" i="250"/>
  <c r="R12" i="250" s="1"/>
  <c r="P6" i="250"/>
  <c r="P12" i="250" s="1"/>
  <c r="N6" i="250"/>
  <c r="N12" i="250" s="1"/>
  <c r="L6" i="250"/>
  <c r="L12" i="250" s="1"/>
  <c r="J6" i="250"/>
  <c r="H6" i="250"/>
  <c r="F6" i="250"/>
  <c r="F12" i="250" s="1"/>
  <c r="D6" i="250"/>
  <c r="Y9" i="255" l="1"/>
  <c r="V12" i="255"/>
  <c r="D12" i="255"/>
  <c r="J12" i="255"/>
  <c r="Y8" i="255"/>
  <c r="Y7" i="255"/>
  <c r="B21" i="255"/>
  <c r="Y6" i="255"/>
  <c r="H12" i="254"/>
  <c r="Y8" i="254"/>
  <c r="J12" i="254"/>
  <c r="Y7" i="254"/>
  <c r="Y6" i="254"/>
  <c r="D12" i="254"/>
  <c r="B21" i="254"/>
  <c r="Y12" i="254"/>
  <c r="V16" i="254" s="1"/>
  <c r="V24" i="254" s="1"/>
  <c r="T12" i="253"/>
  <c r="Y9" i="253"/>
  <c r="V12" i="253"/>
  <c r="L12" i="253"/>
  <c r="Y8" i="253"/>
  <c r="J12" i="253"/>
  <c r="H12" i="253"/>
  <c r="Y7" i="253"/>
  <c r="D12" i="253"/>
  <c r="B21" i="253"/>
  <c r="Y6" i="253"/>
  <c r="J12" i="252"/>
  <c r="H12" i="252"/>
  <c r="X12" i="252"/>
  <c r="Y6" i="252"/>
  <c r="Y9" i="252"/>
  <c r="Y8" i="252"/>
  <c r="D12" i="252"/>
  <c r="B21" i="252"/>
  <c r="X12" i="251"/>
  <c r="H12" i="251"/>
  <c r="V12" i="251"/>
  <c r="Y9" i="251"/>
  <c r="J12" i="251"/>
  <c r="D12" i="251"/>
  <c r="Y8" i="251"/>
  <c r="Y7" i="251"/>
  <c r="B21" i="251"/>
  <c r="Y6" i="251"/>
  <c r="Y10" i="250"/>
  <c r="V12" i="250"/>
  <c r="Y9" i="250"/>
  <c r="J12" i="250"/>
  <c r="Y7" i="250"/>
  <c r="H12" i="250"/>
  <c r="Y8" i="250"/>
  <c r="D12" i="250"/>
  <c r="B21" i="250"/>
  <c r="Y6" i="250"/>
  <c r="Y12" i="255" l="1"/>
  <c r="V16" i="255" s="1"/>
  <c r="V24" i="255" s="1"/>
  <c r="Y12" i="253"/>
  <c r="V16" i="253" s="1"/>
  <c r="V24" i="253" s="1"/>
  <c r="Y12" i="252"/>
  <c r="V16" i="252" s="1"/>
  <c r="V24" i="252" s="1"/>
  <c r="Y12" i="251"/>
  <c r="V16" i="251" s="1"/>
  <c r="V24" i="251" s="1"/>
  <c r="Y12" i="250"/>
  <c r="V16" i="250" s="1"/>
  <c r="V24" i="250" s="1"/>
  <c r="V25" i="249" l="1"/>
  <c r="F22" i="249"/>
  <c r="S19" i="249"/>
  <c r="S20" i="249" s="1"/>
  <c r="Q19" i="249"/>
  <c r="Q20" i="249" s="1"/>
  <c r="P19" i="249"/>
  <c r="P20" i="249" s="1"/>
  <c r="L19" i="249"/>
  <c r="L20" i="249" s="1"/>
  <c r="J19" i="249"/>
  <c r="J20" i="249" s="1"/>
  <c r="H19" i="249"/>
  <c r="H20" i="249" s="1"/>
  <c r="D19" i="249"/>
  <c r="D20" i="249" s="1"/>
  <c r="O18" i="249"/>
  <c r="O19" i="249" s="1"/>
  <c r="O20" i="249" s="1"/>
  <c r="M18" i="249"/>
  <c r="M19" i="249" s="1"/>
  <c r="M20" i="249" s="1"/>
  <c r="D18" i="249"/>
  <c r="W12" i="249"/>
  <c r="K18" i="249" s="1"/>
  <c r="K19" i="249" s="1"/>
  <c r="K20" i="249" s="1"/>
  <c r="U12" i="249"/>
  <c r="I18" i="249" s="1"/>
  <c r="I19" i="249" s="1"/>
  <c r="I20" i="249" s="1"/>
  <c r="S12" i="249"/>
  <c r="Q12" i="249"/>
  <c r="P12" i="249"/>
  <c r="O12" i="249"/>
  <c r="N18" i="249" s="1"/>
  <c r="N19" i="249" s="1"/>
  <c r="N20" i="249" s="1"/>
  <c r="N12" i="249"/>
  <c r="M12" i="249"/>
  <c r="K12" i="249"/>
  <c r="G18" i="249" s="1"/>
  <c r="G19" i="249" s="1"/>
  <c r="G20" i="249" s="1"/>
  <c r="I12" i="249"/>
  <c r="F18" i="249" s="1"/>
  <c r="F19" i="249" s="1"/>
  <c r="F20" i="249" s="1"/>
  <c r="G12" i="249"/>
  <c r="E18" i="249" s="1"/>
  <c r="E19" i="249" s="1"/>
  <c r="E20" i="249" s="1"/>
  <c r="F12" i="249"/>
  <c r="E12" i="249"/>
  <c r="C12" i="249"/>
  <c r="B18" i="249" s="1"/>
  <c r="B19" i="249" s="1"/>
  <c r="B20" i="249" s="1"/>
  <c r="X11" i="249"/>
  <c r="V11" i="249"/>
  <c r="T11" i="249"/>
  <c r="R11" i="249"/>
  <c r="P11" i="249"/>
  <c r="N11" i="249"/>
  <c r="L11" i="249"/>
  <c r="J11" i="249"/>
  <c r="Y11" i="249" s="1"/>
  <c r="H11" i="249"/>
  <c r="F11" i="249"/>
  <c r="D11" i="249"/>
  <c r="X10" i="249"/>
  <c r="V10" i="249"/>
  <c r="T10" i="249"/>
  <c r="R10" i="249"/>
  <c r="P10" i="249"/>
  <c r="N10" i="249"/>
  <c r="L10" i="249"/>
  <c r="J10" i="249"/>
  <c r="Y10" i="249" s="1"/>
  <c r="H10" i="249"/>
  <c r="F10" i="249"/>
  <c r="D10" i="249"/>
  <c r="X9" i="249"/>
  <c r="V9" i="249"/>
  <c r="T9" i="249"/>
  <c r="R9" i="249"/>
  <c r="P9" i="249"/>
  <c r="N9" i="249"/>
  <c r="L9" i="249"/>
  <c r="J9" i="249"/>
  <c r="H9" i="249"/>
  <c r="F9" i="249"/>
  <c r="D9" i="249"/>
  <c r="X8" i="249"/>
  <c r="V8" i="249"/>
  <c r="T8" i="249"/>
  <c r="R8" i="249"/>
  <c r="P8" i="249"/>
  <c r="N8" i="249"/>
  <c r="L8" i="249"/>
  <c r="J8" i="249"/>
  <c r="H8" i="249"/>
  <c r="H12" i="249" s="1"/>
  <c r="F8" i="249"/>
  <c r="D8" i="249"/>
  <c r="X7" i="249"/>
  <c r="V7" i="249"/>
  <c r="T7" i="249"/>
  <c r="R7" i="249"/>
  <c r="P7" i="249"/>
  <c r="N7" i="249"/>
  <c r="L7" i="249"/>
  <c r="J7" i="249"/>
  <c r="H7" i="249"/>
  <c r="F7" i="249"/>
  <c r="D7" i="249"/>
  <c r="X6" i="249"/>
  <c r="V6" i="249"/>
  <c r="V12" i="249" s="1"/>
  <c r="T6" i="249"/>
  <c r="T12" i="249" s="1"/>
  <c r="R6" i="249"/>
  <c r="R12" i="249" s="1"/>
  <c r="P6" i="249"/>
  <c r="N6" i="249"/>
  <c r="L6" i="249"/>
  <c r="L12" i="249" s="1"/>
  <c r="J6" i="249"/>
  <c r="H6" i="249"/>
  <c r="F6" i="249"/>
  <c r="D6" i="249"/>
  <c r="V25" i="248"/>
  <c r="F22" i="248"/>
  <c r="S19" i="248"/>
  <c r="S20" i="248" s="1"/>
  <c r="Q19" i="248"/>
  <c r="Q20" i="248" s="1"/>
  <c r="P19" i="248"/>
  <c r="P20" i="248" s="1"/>
  <c r="L19" i="248"/>
  <c r="L20" i="248" s="1"/>
  <c r="J19" i="248"/>
  <c r="J20" i="248" s="1"/>
  <c r="H19" i="248"/>
  <c r="H20" i="248" s="1"/>
  <c r="K18" i="248"/>
  <c r="K19" i="248" s="1"/>
  <c r="K20" i="248" s="1"/>
  <c r="W12" i="248"/>
  <c r="U12" i="248"/>
  <c r="I18" i="248" s="1"/>
  <c r="I19" i="248" s="1"/>
  <c r="I20" i="248" s="1"/>
  <c r="S12" i="248"/>
  <c r="Q12" i="248"/>
  <c r="O18" i="248" s="1"/>
  <c r="O19" i="248" s="1"/>
  <c r="O20" i="248" s="1"/>
  <c r="O12" i="248"/>
  <c r="N18" i="248" s="1"/>
  <c r="N19" i="248" s="1"/>
  <c r="N20" i="248" s="1"/>
  <c r="N12" i="248"/>
  <c r="M12" i="248"/>
  <c r="M18" i="248" s="1"/>
  <c r="M19" i="248" s="1"/>
  <c r="M20" i="248" s="1"/>
  <c r="K12" i="248"/>
  <c r="G18" i="248" s="1"/>
  <c r="G19" i="248" s="1"/>
  <c r="G20" i="248" s="1"/>
  <c r="I12" i="248"/>
  <c r="F18" i="248" s="1"/>
  <c r="F19" i="248" s="1"/>
  <c r="F20" i="248" s="1"/>
  <c r="G12" i="248"/>
  <c r="E18" i="248" s="1"/>
  <c r="E19" i="248" s="1"/>
  <c r="E20" i="248" s="1"/>
  <c r="F12" i="248"/>
  <c r="E12" i="248"/>
  <c r="D18" i="248" s="1"/>
  <c r="D19" i="248" s="1"/>
  <c r="D20" i="248" s="1"/>
  <c r="C12" i="248"/>
  <c r="B18" i="248" s="1"/>
  <c r="B19" i="248" s="1"/>
  <c r="B20" i="248" s="1"/>
  <c r="X11" i="248"/>
  <c r="V11" i="248"/>
  <c r="T11" i="248"/>
  <c r="R11" i="248"/>
  <c r="P11" i="248"/>
  <c r="N11" i="248"/>
  <c r="L11" i="248"/>
  <c r="J11" i="248"/>
  <c r="H11" i="248"/>
  <c r="Y11" i="248" s="1"/>
  <c r="F11" i="248"/>
  <c r="D11" i="248"/>
  <c r="X10" i="248"/>
  <c r="V10" i="248"/>
  <c r="T10" i="248"/>
  <c r="R10" i="248"/>
  <c r="P10" i="248"/>
  <c r="N10" i="248"/>
  <c r="L10" i="248"/>
  <c r="J10" i="248"/>
  <c r="H10" i="248"/>
  <c r="Y10" i="248" s="1"/>
  <c r="F10" i="248"/>
  <c r="D10" i="248"/>
  <c r="X9" i="248"/>
  <c r="V9" i="248"/>
  <c r="T9" i="248"/>
  <c r="R9" i="248"/>
  <c r="P9" i="248"/>
  <c r="N9" i="248"/>
  <c r="L9" i="248"/>
  <c r="J9" i="248"/>
  <c r="H9" i="248"/>
  <c r="F9" i="248"/>
  <c r="D9" i="248"/>
  <c r="X8" i="248"/>
  <c r="V8" i="248"/>
  <c r="T8" i="248"/>
  <c r="R8" i="248"/>
  <c r="P8" i="248"/>
  <c r="N8" i="248"/>
  <c r="L8" i="248"/>
  <c r="J8" i="248"/>
  <c r="H8" i="248"/>
  <c r="F8" i="248"/>
  <c r="D8" i="248"/>
  <c r="X7" i="248"/>
  <c r="V7" i="248"/>
  <c r="T7" i="248"/>
  <c r="R7" i="248"/>
  <c r="P7" i="248"/>
  <c r="N7" i="248"/>
  <c r="L7" i="248"/>
  <c r="J7" i="248"/>
  <c r="H7" i="248"/>
  <c r="F7" i="248"/>
  <c r="D7" i="248"/>
  <c r="X6" i="248"/>
  <c r="V6" i="248"/>
  <c r="T6" i="248"/>
  <c r="T12" i="248" s="1"/>
  <c r="R6" i="248"/>
  <c r="R12" i="248" s="1"/>
  <c r="P6" i="248"/>
  <c r="P12" i="248" s="1"/>
  <c r="N6" i="248"/>
  <c r="L6" i="248"/>
  <c r="L12" i="248" s="1"/>
  <c r="J6" i="248"/>
  <c r="H6" i="248"/>
  <c r="F6" i="248"/>
  <c r="D6" i="248"/>
  <c r="Y9" i="249" l="1"/>
  <c r="Y7" i="249"/>
  <c r="X12" i="249"/>
  <c r="J12" i="249"/>
  <c r="D12" i="249"/>
  <c r="Y8" i="249"/>
  <c r="B21" i="249"/>
  <c r="Y6" i="249"/>
  <c r="X12" i="248"/>
  <c r="H12" i="248"/>
  <c r="D12" i="248"/>
  <c r="V12" i="248"/>
  <c r="Y8" i="248"/>
  <c r="J12" i="248"/>
  <c r="Y7" i="248"/>
  <c r="Y9" i="248"/>
  <c r="B21" i="248"/>
  <c r="Y12" i="248"/>
  <c r="V16" i="248" s="1"/>
  <c r="V24" i="248" s="1"/>
  <c r="Y6" i="248"/>
  <c r="Y12" i="249" l="1"/>
  <c r="V16" i="249" s="1"/>
  <c r="V24" i="249" s="1"/>
  <c r="V25" i="247"/>
  <c r="F22" i="247"/>
  <c r="S19" i="247"/>
  <c r="S20" i="247" s="1"/>
  <c r="Q19" i="247"/>
  <c r="Q20" i="247" s="1"/>
  <c r="P19" i="247"/>
  <c r="P20" i="247" s="1"/>
  <c r="L19" i="247"/>
  <c r="L20" i="247" s="1"/>
  <c r="J19" i="247"/>
  <c r="J20" i="247" s="1"/>
  <c r="H19" i="247"/>
  <c r="H20" i="247" s="1"/>
  <c r="W12" i="247"/>
  <c r="K18" i="247" s="1"/>
  <c r="K19" i="247" s="1"/>
  <c r="K20" i="247" s="1"/>
  <c r="U12" i="247"/>
  <c r="I18" i="247" s="1"/>
  <c r="I19" i="247" s="1"/>
  <c r="I20" i="247" s="1"/>
  <c r="S12" i="247"/>
  <c r="Q12" i="247"/>
  <c r="O18" i="247" s="1"/>
  <c r="O19" i="247" s="1"/>
  <c r="O20" i="247" s="1"/>
  <c r="O12" i="247"/>
  <c r="N18" i="247" s="1"/>
  <c r="N19" i="247" s="1"/>
  <c r="N20" i="247" s="1"/>
  <c r="M12" i="247"/>
  <c r="M18" i="247" s="1"/>
  <c r="M19" i="247" s="1"/>
  <c r="M20" i="247" s="1"/>
  <c r="K12" i="247"/>
  <c r="G18" i="247" s="1"/>
  <c r="G19" i="247" s="1"/>
  <c r="G20" i="247" s="1"/>
  <c r="I12" i="247"/>
  <c r="F18" i="247" s="1"/>
  <c r="F19" i="247" s="1"/>
  <c r="F20" i="247" s="1"/>
  <c r="G12" i="247"/>
  <c r="E18" i="247" s="1"/>
  <c r="E19" i="247" s="1"/>
  <c r="E20" i="247" s="1"/>
  <c r="E12" i="247"/>
  <c r="D18" i="247" s="1"/>
  <c r="D19" i="247" s="1"/>
  <c r="D20" i="247" s="1"/>
  <c r="C12" i="247"/>
  <c r="B18" i="247" s="1"/>
  <c r="B19" i="247" s="1"/>
  <c r="B20" i="247" s="1"/>
  <c r="X11" i="247"/>
  <c r="V11" i="247"/>
  <c r="T11" i="247"/>
  <c r="R11" i="247"/>
  <c r="P11" i="247"/>
  <c r="N11" i="247"/>
  <c r="L11" i="247"/>
  <c r="J11" i="247"/>
  <c r="H11" i="247"/>
  <c r="F11" i="247"/>
  <c r="D11" i="247"/>
  <c r="Y11" i="247" s="1"/>
  <c r="X10" i="247"/>
  <c r="V10" i="247"/>
  <c r="T10" i="247"/>
  <c r="R10" i="247"/>
  <c r="P10" i="247"/>
  <c r="N10" i="247"/>
  <c r="L10" i="247"/>
  <c r="J10" i="247"/>
  <c r="H10" i="247"/>
  <c r="F10" i="247"/>
  <c r="D10" i="247"/>
  <c r="Y10" i="247" s="1"/>
  <c r="X9" i="247"/>
  <c r="V9" i="247"/>
  <c r="T9" i="247"/>
  <c r="R9" i="247"/>
  <c r="P9" i="247"/>
  <c r="N9" i="247"/>
  <c r="L9" i="247"/>
  <c r="J9" i="247"/>
  <c r="H9" i="247"/>
  <c r="F9" i="247"/>
  <c r="D9" i="247"/>
  <c r="X8" i="247"/>
  <c r="V8" i="247"/>
  <c r="T8" i="247"/>
  <c r="R8" i="247"/>
  <c r="P8" i="247"/>
  <c r="N8" i="247"/>
  <c r="L8" i="247"/>
  <c r="J8" i="247"/>
  <c r="H8" i="247"/>
  <c r="F8" i="247"/>
  <c r="D8" i="247"/>
  <c r="X7" i="247"/>
  <c r="V7" i="247"/>
  <c r="T7" i="247"/>
  <c r="R7" i="247"/>
  <c r="P7" i="247"/>
  <c r="N7" i="247"/>
  <c r="L7" i="247"/>
  <c r="J7" i="247"/>
  <c r="H7" i="247"/>
  <c r="F7" i="247"/>
  <c r="D7" i="247"/>
  <c r="X6" i="247"/>
  <c r="X12" i="247" s="1"/>
  <c r="V6" i="247"/>
  <c r="T6" i="247"/>
  <c r="R6" i="247"/>
  <c r="R12" i="247" s="1"/>
  <c r="P6" i="247"/>
  <c r="P12" i="247" s="1"/>
  <c r="N6" i="247"/>
  <c r="N12" i="247" s="1"/>
  <c r="L6" i="247"/>
  <c r="L12" i="247" s="1"/>
  <c r="J6" i="247"/>
  <c r="H6" i="247"/>
  <c r="F6" i="247"/>
  <c r="F12" i="247" s="1"/>
  <c r="D6" i="247"/>
  <c r="V25" i="246"/>
  <c r="F22" i="246"/>
  <c r="S19" i="246"/>
  <c r="S20" i="246" s="1"/>
  <c r="Q19" i="246"/>
  <c r="Q20" i="246" s="1"/>
  <c r="P19" i="246"/>
  <c r="P20" i="246" s="1"/>
  <c r="L19" i="246"/>
  <c r="L20" i="246" s="1"/>
  <c r="J19" i="246"/>
  <c r="J20" i="246" s="1"/>
  <c r="H19" i="246"/>
  <c r="H20" i="246" s="1"/>
  <c r="K18" i="246"/>
  <c r="K19" i="246" s="1"/>
  <c r="K20" i="246" s="1"/>
  <c r="W12" i="246"/>
  <c r="U12" i="246"/>
  <c r="I18" i="246" s="1"/>
  <c r="I19" i="246" s="1"/>
  <c r="I20" i="246" s="1"/>
  <c r="S12" i="246"/>
  <c r="Q12" i="246"/>
  <c r="O18" i="246" s="1"/>
  <c r="O19" i="246" s="1"/>
  <c r="O20" i="246" s="1"/>
  <c r="O12" i="246"/>
  <c r="N18" i="246" s="1"/>
  <c r="N19" i="246" s="1"/>
  <c r="N20" i="246" s="1"/>
  <c r="M12" i="246"/>
  <c r="M18" i="246" s="1"/>
  <c r="M19" i="246" s="1"/>
  <c r="M20" i="246" s="1"/>
  <c r="K12" i="246"/>
  <c r="G18" i="246" s="1"/>
  <c r="G19" i="246" s="1"/>
  <c r="G20" i="246" s="1"/>
  <c r="I12" i="246"/>
  <c r="F18" i="246" s="1"/>
  <c r="F19" i="246" s="1"/>
  <c r="F20" i="246" s="1"/>
  <c r="G12" i="246"/>
  <c r="E18" i="246" s="1"/>
  <c r="E19" i="246" s="1"/>
  <c r="E20" i="246" s="1"/>
  <c r="E12" i="246"/>
  <c r="D18" i="246" s="1"/>
  <c r="D19" i="246" s="1"/>
  <c r="D20" i="246" s="1"/>
  <c r="C12" i="246"/>
  <c r="B18" i="246" s="1"/>
  <c r="B19" i="246" s="1"/>
  <c r="B20" i="246" s="1"/>
  <c r="X11" i="246"/>
  <c r="V11" i="246"/>
  <c r="T11" i="246"/>
  <c r="R11" i="246"/>
  <c r="P11" i="246"/>
  <c r="N11" i="246"/>
  <c r="L11" i="246"/>
  <c r="J11" i="246"/>
  <c r="H11" i="246"/>
  <c r="Y11" i="246" s="1"/>
  <c r="F11" i="246"/>
  <c r="D11" i="246"/>
  <c r="X10" i="246"/>
  <c r="V10" i="246"/>
  <c r="T10" i="246"/>
  <c r="R10" i="246"/>
  <c r="P10" i="246"/>
  <c r="N10" i="246"/>
  <c r="L10" i="246"/>
  <c r="J10" i="246"/>
  <c r="H10" i="246"/>
  <c r="Y10" i="246" s="1"/>
  <c r="F10" i="246"/>
  <c r="D10" i="246"/>
  <c r="X9" i="246"/>
  <c r="V9" i="246"/>
  <c r="T9" i="246"/>
  <c r="R9" i="246"/>
  <c r="P9" i="246"/>
  <c r="N9" i="246"/>
  <c r="L9" i="246"/>
  <c r="J9" i="246"/>
  <c r="H9" i="246"/>
  <c r="F9" i="246"/>
  <c r="D9" i="246"/>
  <c r="X8" i="246"/>
  <c r="V8" i="246"/>
  <c r="T8" i="246"/>
  <c r="R8" i="246"/>
  <c r="P8" i="246"/>
  <c r="N8" i="246"/>
  <c r="L8" i="246"/>
  <c r="J8" i="246"/>
  <c r="H8" i="246"/>
  <c r="F8" i="246"/>
  <c r="D8" i="246"/>
  <c r="X7" i="246"/>
  <c r="V7" i="246"/>
  <c r="T7" i="246"/>
  <c r="R7" i="246"/>
  <c r="P7" i="246"/>
  <c r="N7" i="246"/>
  <c r="L7" i="246"/>
  <c r="J7" i="246"/>
  <c r="H7" i="246"/>
  <c r="F7" i="246"/>
  <c r="D7" i="246"/>
  <c r="X6" i="246"/>
  <c r="X12" i="246" s="1"/>
  <c r="V6" i="246"/>
  <c r="V12" i="246" s="1"/>
  <c r="T6" i="246"/>
  <c r="R6" i="246"/>
  <c r="R12" i="246" s="1"/>
  <c r="P6" i="246"/>
  <c r="P12" i="246" s="1"/>
  <c r="N6" i="246"/>
  <c r="N12" i="246" s="1"/>
  <c r="L6" i="246"/>
  <c r="L12" i="246" s="1"/>
  <c r="J6" i="246"/>
  <c r="H6" i="246"/>
  <c r="F6" i="246"/>
  <c r="F12" i="246" s="1"/>
  <c r="D6" i="246"/>
  <c r="V25" i="245"/>
  <c r="F22" i="245"/>
  <c r="S19" i="245"/>
  <c r="S20" i="245" s="1"/>
  <c r="Q19" i="245"/>
  <c r="Q20" i="245" s="1"/>
  <c r="P19" i="245"/>
  <c r="P20" i="245" s="1"/>
  <c r="L19" i="245"/>
  <c r="L20" i="245" s="1"/>
  <c r="J19" i="245"/>
  <c r="J20" i="245" s="1"/>
  <c r="H19" i="245"/>
  <c r="H20" i="245" s="1"/>
  <c r="O18" i="245"/>
  <c r="O19" i="245" s="1"/>
  <c r="O20" i="245" s="1"/>
  <c r="K18" i="245"/>
  <c r="K19" i="245" s="1"/>
  <c r="K20" i="245" s="1"/>
  <c r="I18" i="245"/>
  <c r="I19" i="245" s="1"/>
  <c r="I20" i="245" s="1"/>
  <c r="D18" i="245"/>
  <c r="D19" i="245" s="1"/>
  <c r="D20" i="245" s="1"/>
  <c r="W12" i="245"/>
  <c r="U12" i="245"/>
  <c r="T12" i="245"/>
  <c r="S12" i="245"/>
  <c r="Q12" i="245"/>
  <c r="O12" i="245"/>
  <c r="N18" i="245" s="1"/>
  <c r="N19" i="245" s="1"/>
  <c r="N20" i="245" s="1"/>
  <c r="M12" i="245"/>
  <c r="M18" i="245" s="1"/>
  <c r="M19" i="245" s="1"/>
  <c r="M20" i="245" s="1"/>
  <c r="L12" i="245"/>
  <c r="K12" i="245"/>
  <c r="G18" i="245" s="1"/>
  <c r="G19" i="245" s="1"/>
  <c r="G20" i="245" s="1"/>
  <c r="I12" i="245"/>
  <c r="F18" i="245" s="1"/>
  <c r="F19" i="245" s="1"/>
  <c r="F20" i="245" s="1"/>
  <c r="G12" i="245"/>
  <c r="E18" i="245" s="1"/>
  <c r="E19" i="245" s="1"/>
  <c r="E20" i="245" s="1"/>
  <c r="E12" i="245"/>
  <c r="C12" i="245"/>
  <c r="B18" i="245" s="1"/>
  <c r="B19" i="245" s="1"/>
  <c r="B20" i="245" s="1"/>
  <c r="X11" i="245"/>
  <c r="V11" i="245"/>
  <c r="T11" i="245"/>
  <c r="R11" i="245"/>
  <c r="P11" i="245"/>
  <c r="N11" i="245"/>
  <c r="L11" i="245"/>
  <c r="J11" i="245"/>
  <c r="H11" i="245"/>
  <c r="F11" i="245"/>
  <c r="D11" i="245"/>
  <c r="Y11" i="245" s="1"/>
  <c r="X10" i="245"/>
  <c r="V10" i="245"/>
  <c r="T10" i="245"/>
  <c r="R10" i="245"/>
  <c r="P10" i="245"/>
  <c r="N10" i="245"/>
  <c r="L10" i="245"/>
  <c r="J10" i="245"/>
  <c r="H10" i="245"/>
  <c r="F10" i="245"/>
  <c r="D10" i="245"/>
  <c r="X9" i="245"/>
  <c r="V9" i="245"/>
  <c r="T9" i="245"/>
  <c r="R9" i="245"/>
  <c r="P9" i="245"/>
  <c r="N9" i="245"/>
  <c r="L9" i="245"/>
  <c r="J9" i="245"/>
  <c r="H9" i="245"/>
  <c r="F9" i="245"/>
  <c r="D9" i="245"/>
  <c r="Y9" i="245" s="1"/>
  <c r="X8" i="245"/>
  <c r="V8" i="245"/>
  <c r="T8" i="245"/>
  <c r="R8" i="245"/>
  <c r="P8" i="245"/>
  <c r="N8" i="245"/>
  <c r="L8" i="245"/>
  <c r="J8" i="245"/>
  <c r="H8" i="245"/>
  <c r="F8" i="245"/>
  <c r="D8" i="245"/>
  <c r="X7" i="245"/>
  <c r="V7" i="245"/>
  <c r="T7" i="245"/>
  <c r="R7" i="245"/>
  <c r="P7" i="245"/>
  <c r="N7" i="245"/>
  <c r="L7" i="245"/>
  <c r="J7" i="245"/>
  <c r="H7" i="245"/>
  <c r="F7" i="245"/>
  <c r="D7" i="245"/>
  <c r="Y7" i="245" s="1"/>
  <c r="X6" i="245"/>
  <c r="X12" i="245" s="1"/>
  <c r="V6" i="245"/>
  <c r="V12" i="245" s="1"/>
  <c r="T6" i="245"/>
  <c r="R6" i="245"/>
  <c r="R12" i="245" s="1"/>
  <c r="P6" i="245"/>
  <c r="P12" i="245" s="1"/>
  <c r="N6" i="245"/>
  <c r="N12" i="245" s="1"/>
  <c r="L6" i="245"/>
  <c r="J6" i="245"/>
  <c r="H6" i="245"/>
  <c r="H12" i="245" s="1"/>
  <c r="F6" i="245"/>
  <c r="F12" i="245" s="1"/>
  <c r="D6" i="245"/>
  <c r="V25" i="244"/>
  <c r="F22" i="244"/>
  <c r="S19" i="244"/>
  <c r="S20" i="244" s="1"/>
  <c r="Q19" i="244"/>
  <c r="Q20" i="244" s="1"/>
  <c r="P19" i="244"/>
  <c r="P20" i="244" s="1"/>
  <c r="L19" i="244"/>
  <c r="L20" i="244" s="1"/>
  <c r="J19" i="244"/>
  <c r="J20" i="244" s="1"/>
  <c r="H19" i="244"/>
  <c r="H20" i="244" s="1"/>
  <c r="O18" i="244"/>
  <c r="O19" i="244" s="1"/>
  <c r="O20" i="244" s="1"/>
  <c r="I18" i="244"/>
  <c r="I19" i="244" s="1"/>
  <c r="I20" i="244" s="1"/>
  <c r="D18" i="244"/>
  <c r="D19" i="244" s="1"/>
  <c r="D20" i="244" s="1"/>
  <c r="X12" i="244"/>
  <c r="W12" i="244"/>
  <c r="K18" i="244" s="1"/>
  <c r="K19" i="244" s="1"/>
  <c r="K20" i="244" s="1"/>
  <c r="U12" i="244"/>
  <c r="T12" i="244"/>
  <c r="S12" i="244"/>
  <c r="Q12" i="244"/>
  <c r="P12" i="244"/>
  <c r="O12" i="244"/>
  <c r="N18" i="244" s="1"/>
  <c r="N19" i="244" s="1"/>
  <c r="N20" i="244" s="1"/>
  <c r="M12" i="244"/>
  <c r="M18" i="244" s="1"/>
  <c r="M19" i="244" s="1"/>
  <c r="M20" i="244" s="1"/>
  <c r="L12" i="244"/>
  <c r="K12" i="244"/>
  <c r="G18" i="244" s="1"/>
  <c r="G19" i="244" s="1"/>
  <c r="G20" i="244" s="1"/>
  <c r="I12" i="244"/>
  <c r="F18" i="244" s="1"/>
  <c r="F19" i="244" s="1"/>
  <c r="F20" i="244" s="1"/>
  <c r="H12" i="244"/>
  <c r="G12" i="244"/>
  <c r="E18" i="244" s="1"/>
  <c r="E19" i="244" s="1"/>
  <c r="E20" i="244" s="1"/>
  <c r="E12" i="244"/>
  <c r="C12" i="244"/>
  <c r="B18" i="244" s="1"/>
  <c r="B19" i="244" s="1"/>
  <c r="B20" i="244" s="1"/>
  <c r="X11" i="244"/>
  <c r="V11" i="244"/>
  <c r="T11" i="244"/>
  <c r="R11" i="244"/>
  <c r="P11" i="244"/>
  <c r="N11" i="244"/>
  <c r="L11" i="244"/>
  <c r="J11" i="244"/>
  <c r="H11" i="244"/>
  <c r="F11" i="244"/>
  <c r="D11" i="244"/>
  <c r="Y11" i="244" s="1"/>
  <c r="X10" i="244"/>
  <c r="V10" i="244"/>
  <c r="T10" i="244"/>
  <c r="R10" i="244"/>
  <c r="P10" i="244"/>
  <c r="N10" i="244"/>
  <c r="L10" i="244"/>
  <c r="J10" i="244"/>
  <c r="H10" i="244"/>
  <c r="F10" i="244"/>
  <c r="D10" i="244"/>
  <c r="Y10" i="244" s="1"/>
  <c r="X9" i="244"/>
  <c r="V9" i="244"/>
  <c r="T9" i="244"/>
  <c r="R9" i="244"/>
  <c r="P9" i="244"/>
  <c r="N9" i="244"/>
  <c r="L9" i="244"/>
  <c r="J9" i="244"/>
  <c r="H9" i="244"/>
  <c r="F9" i="244"/>
  <c r="D9" i="244"/>
  <c r="Y9" i="244" s="1"/>
  <c r="X8" i="244"/>
  <c r="V8" i="244"/>
  <c r="T8" i="244"/>
  <c r="R8" i="244"/>
  <c r="P8" i="244"/>
  <c r="N8" i="244"/>
  <c r="L8" i="244"/>
  <c r="J8" i="244"/>
  <c r="H8" i="244"/>
  <c r="F8" i="244"/>
  <c r="D8" i="244"/>
  <c r="X7" i="244"/>
  <c r="V7" i="244"/>
  <c r="T7" i="244"/>
  <c r="R7" i="244"/>
  <c r="P7" i="244"/>
  <c r="N7" i="244"/>
  <c r="L7" i="244"/>
  <c r="J7" i="244"/>
  <c r="H7" i="244"/>
  <c r="F7" i="244"/>
  <c r="D7" i="244"/>
  <c r="X6" i="244"/>
  <c r="V6" i="244"/>
  <c r="V12" i="244" s="1"/>
  <c r="T6" i="244"/>
  <c r="R6" i="244"/>
  <c r="R12" i="244" s="1"/>
  <c r="P6" i="244"/>
  <c r="N6" i="244"/>
  <c r="N12" i="244" s="1"/>
  <c r="L6" i="244"/>
  <c r="J6" i="244"/>
  <c r="H6" i="244"/>
  <c r="F6" i="244"/>
  <c r="F12" i="244" s="1"/>
  <c r="D6" i="244"/>
  <c r="V25" i="243"/>
  <c r="F22" i="243"/>
  <c r="S19" i="243"/>
  <c r="S20" i="243" s="1"/>
  <c r="Q19" i="243"/>
  <c r="Q20" i="243" s="1"/>
  <c r="P19" i="243"/>
  <c r="P20" i="243" s="1"/>
  <c r="L19" i="243"/>
  <c r="L20" i="243" s="1"/>
  <c r="J19" i="243"/>
  <c r="J20" i="243" s="1"/>
  <c r="H19" i="243"/>
  <c r="H20" i="243" s="1"/>
  <c r="E18" i="243"/>
  <c r="E19" i="243" s="1"/>
  <c r="E20" i="243" s="1"/>
  <c r="W12" i="243"/>
  <c r="K18" i="243" s="1"/>
  <c r="K19" i="243" s="1"/>
  <c r="K20" i="243" s="1"/>
  <c r="V12" i="243"/>
  <c r="U12" i="243"/>
  <c r="I18" i="243" s="1"/>
  <c r="I19" i="243" s="1"/>
  <c r="I20" i="243" s="1"/>
  <c r="S12" i="243"/>
  <c r="Q12" i="243"/>
  <c r="O18" i="243" s="1"/>
  <c r="O19" i="243" s="1"/>
  <c r="O20" i="243" s="1"/>
  <c r="O12" i="243"/>
  <c r="N18" i="243" s="1"/>
  <c r="N19" i="243" s="1"/>
  <c r="N20" i="243" s="1"/>
  <c r="N12" i="243"/>
  <c r="M12" i="243"/>
  <c r="M18" i="243" s="1"/>
  <c r="M19" i="243" s="1"/>
  <c r="M20" i="243" s="1"/>
  <c r="K12" i="243"/>
  <c r="G18" i="243" s="1"/>
  <c r="G19" i="243" s="1"/>
  <c r="G20" i="243" s="1"/>
  <c r="I12" i="243"/>
  <c r="F18" i="243" s="1"/>
  <c r="F19" i="243" s="1"/>
  <c r="F20" i="243" s="1"/>
  <c r="G12" i="243"/>
  <c r="E12" i="243"/>
  <c r="D18" i="243" s="1"/>
  <c r="D19" i="243" s="1"/>
  <c r="D20" i="243" s="1"/>
  <c r="C12" i="243"/>
  <c r="B18" i="243" s="1"/>
  <c r="B19" i="243" s="1"/>
  <c r="B20" i="243" s="1"/>
  <c r="X11" i="243"/>
  <c r="V11" i="243"/>
  <c r="T11" i="243"/>
  <c r="R11" i="243"/>
  <c r="P11" i="243"/>
  <c r="N11" i="243"/>
  <c r="L11" i="243"/>
  <c r="J11" i="243"/>
  <c r="H11" i="243"/>
  <c r="Y11" i="243" s="1"/>
  <c r="F11" i="243"/>
  <c r="D11" i="243"/>
  <c r="X10" i="243"/>
  <c r="V10" i="243"/>
  <c r="T10" i="243"/>
  <c r="R10" i="243"/>
  <c r="P10" i="243"/>
  <c r="N10" i="243"/>
  <c r="L10" i="243"/>
  <c r="J10" i="243"/>
  <c r="H10" i="243"/>
  <c r="Y10" i="243" s="1"/>
  <c r="F10" i="243"/>
  <c r="D10" i="243"/>
  <c r="X9" i="243"/>
  <c r="V9" i="243"/>
  <c r="T9" i="243"/>
  <c r="R9" i="243"/>
  <c r="P9" i="243"/>
  <c r="N9" i="243"/>
  <c r="L9" i="243"/>
  <c r="J9" i="243"/>
  <c r="H9" i="243"/>
  <c r="F9" i="243"/>
  <c r="D9" i="243"/>
  <c r="X8" i="243"/>
  <c r="V8" i="243"/>
  <c r="T8" i="243"/>
  <c r="R8" i="243"/>
  <c r="P8" i="243"/>
  <c r="N8" i="243"/>
  <c r="L8" i="243"/>
  <c r="J8" i="243"/>
  <c r="H8" i="243"/>
  <c r="F8" i="243"/>
  <c r="D8" i="243"/>
  <c r="X7" i="243"/>
  <c r="V7" i="243"/>
  <c r="T7" i="243"/>
  <c r="R7" i="243"/>
  <c r="P7" i="243"/>
  <c r="N7" i="243"/>
  <c r="L7" i="243"/>
  <c r="J7" i="243"/>
  <c r="H7" i="243"/>
  <c r="F7" i="243"/>
  <c r="F12" i="243" s="1"/>
  <c r="D7" i="243"/>
  <c r="X6" i="243"/>
  <c r="X12" i="243" s="1"/>
  <c r="V6" i="243"/>
  <c r="T6" i="243"/>
  <c r="T12" i="243" s="1"/>
  <c r="R6" i="243"/>
  <c r="R12" i="243" s="1"/>
  <c r="P6" i="243"/>
  <c r="P12" i="243" s="1"/>
  <c r="N6" i="243"/>
  <c r="L6" i="243"/>
  <c r="L12" i="243" s="1"/>
  <c r="J6" i="243"/>
  <c r="H6" i="243"/>
  <c r="F6" i="243"/>
  <c r="D6" i="243"/>
  <c r="V25" i="242"/>
  <c r="F22" i="242"/>
  <c r="S19" i="242"/>
  <c r="S20" i="242" s="1"/>
  <c r="Q19" i="242"/>
  <c r="Q20" i="242" s="1"/>
  <c r="P19" i="242"/>
  <c r="P20" i="242" s="1"/>
  <c r="L19" i="242"/>
  <c r="L20" i="242" s="1"/>
  <c r="J19" i="242"/>
  <c r="J20" i="242" s="1"/>
  <c r="H19" i="242"/>
  <c r="H20" i="242" s="1"/>
  <c r="W12" i="242"/>
  <c r="K18" i="242" s="1"/>
  <c r="K19" i="242" s="1"/>
  <c r="K20" i="242" s="1"/>
  <c r="U12" i="242"/>
  <c r="I18" i="242" s="1"/>
  <c r="I19" i="242" s="1"/>
  <c r="I20" i="242" s="1"/>
  <c r="S12" i="242"/>
  <c r="Q12" i="242"/>
  <c r="O18" i="242" s="1"/>
  <c r="O19" i="242" s="1"/>
  <c r="O20" i="242" s="1"/>
  <c r="O12" i="242"/>
  <c r="N18" i="242" s="1"/>
  <c r="N19" i="242" s="1"/>
  <c r="N20" i="242" s="1"/>
  <c r="N12" i="242"/>
  <c r="M12" i="242"/>
  <c r="M18" i="242" s="1"/>
  <c r="M19" i="242" s="1"/>
  <c r="M20" i="242" s="1"/>
  <c r="K12" i="242"/>
  <c r="G18" i="242" s="1"/>
  <c r="G19" i="242" s="1"/>
  <c r="G20" i="242" s="1"/>
  <c r="I12" i="242"/>
  <c r="F18" i="242" s="1"/>
  <c r="F19" i="242" s="1"/>
  <c r="F20" i="242" s="1"/>
  <c r="G12" i="242"/>
  <c r="E18" i="242" s="1"/>
  <c r="E19" i="242" s="1"/>
  <c r="E20" i="242" s="1"/>
  <c r="E12" i="242"/>
  <c r="D18" i="242" s="1"/>
  <c r="D19" i="242" s="1"/>
  <c r="D20" i="242" s="1"/>
  <c r="C12" i="242"/>
  <c r="B18" i="242" s="1"/>
  <c r="B19" i="242" s="1"/>
  <c r="B20" i="242" s="1"/>
  <c r="X11" i="242"/>
  <c r="V11" i="242"/>
  <c r="T11" i="242"/>
  <c r="R11" i="242"/>
  <c r="P11" i="242"/>
  <c r="N11" i="242"/>
  <c r="L11" i="242"/>
  <c r="J11" i="242"/>
  <c r="H11" i="242"/>
  <c r="F11" i="242"/>
  <c r="D11" i="242"/>
  <c r="X10" i="242"/>
  <c r="V10" i="242"/>
  <c r="T10" i="242"/>
  <c r="R10" i="242"/>
  <c r="P10" i="242"/>
  <c r="N10" i="242"/>
  <c r="L10" i="242"/>
  <c r="J10" i="242"/>
  <c r="H10" i="242"/>
  <c r="Y10" i="242" s="1"/>
  <c r="F10" i="242"/>
  <c r="D10" i="242"/>
  <c r="X9" i="242"/>
  <c r="V9" i="242"/>
  <c r="T9" i="242"/>
  <c r="R9" i="242"/>
  <c r="P9" i="242"/>
  <c r="N9" i="242"/>
  <c r="L9" i="242"/>
  <c r="J9" i="242"/>
  <c r="H9" i="242"/>
  <c r="Y9" i="242" s="1"/>
  <c r="F9" i="242"/>
  <c r="D9" i="242"/>
  <c r="X8" i="242"/>
  <c r="V8" i="242"/>
  <c r="V12" i="242" s="1"/>
  <c r="T8" i="242"/>
  <c r="R8" i="242"/>
  <c r="P8" i="242"/>
  <c r="N8" i="242"/>
  <c r="L8" i="242"/>
  <c r="J8" i="242"/>
  <c r="H8" i="242"/>
  <c r="F8" i="242"/>
  <c r="D8" i="242"/>
  <c r="X7" i="242"/>
  <c r="V7" i="242"/>
  <c r="T7" i="242"/>
  <c r="R7" i="242"/>
  <c r="P7" i="242"/>
  <c r="N7" i="242"/>
  <c r="L7" i="242"/>
  <c r="J7" i="242"/>
  <c r="H7" i="242"/>
  <c r="F7" i="242"/>
  <c r="F12" i="242" s="1"/>
  <c r="D7" i="242"/>
  <c r="X6" i="242"/>
  <c r="V6" i="242"/>
  <c r="T6" i="242"/>
  <c r="T12" i="242" s="1"/>
  <c r="R6" i="242"/>
  <c r="R12" i="242" s="1"/>
  <c r="P6" i="242"/>
  <c r="P12" i="242" s="1"/>
  <c r="N6" i="242"/>
  <c r="L6" i="242"/>
  <c r="L12" i="242" s="1"/>
  <c r="J6" i="242"/>
  <c r="H6" i="242"/>
  <c r="H12" i="242" s="1"/>
  <c r="F6" i="242"/>
  <c r="D6" i="242"/>
  <c r="V25" i="241"/>
  <c r="F22" i="241"/>
  <c r="S19" i="241"/>
  <c r="S20" i="241" s="1"/>
  <c r="Q19" i="241"/>
  <c r="Q20" i="241" s="1"/>
  <c r="P19" i="241"/>
  <c r="P20" i="241" s="1"/>
  <c r="L19" i="241"/>
  <c r="L20" i="241" s="1"/>
  <c r="J19" i="241"/>
  <c r="J20" i="241" s="1"/>
  <c r="H19" i="241"/>
  <c r="H20" i="241" s="1"/>
  <c r="O18" i="241"/>
  <c r="O19" i="241" s="1"/>
  <c r="O20" i="241" s="1"/>
  <c r="I18" i="241"/>
  <c r="I19" i="241" s="1"/>
  <c r="I20" i="241" s="1"/>
  <c r="D18" i="241"/>
  <c r="D19" i="241" s="1"/>
  <c r="D20" i="241" s="1"/>
  <c r="W12" i="241"/>
  <c r="K18" i="241" s="1"/>
  <c r="K19" i="241" s="1"/>
  <c r="K20" i="241" s="1"/>
  <c r="U12" i="241"/>
  <c r="T12" i="241"/>
  <c r="S12" i="241"/>
  <c r="Q12" i="241"/>
  <c r="P12" i="241"/>
  <c r="O12" i="241"/>
  <c r="N18" i="241" s="1"/>
  <c r="N19" i="241" s="1"/>
  <c r="N20" i="241" s="1"/>
  <c r="M12" i="241"/>
  <c r="M18" i="241" s="1"/>
  <c r="M19" i="241" s="1"/>
  <c r="M20" i="241" s="1"/>
  <c r="L12" i="241"/>
  <c r="K12" i="241"/>
  <c r="G18" i="241" s="1"/>
  <c r="G19" i="241" s="1"/>
  <c r="G20" i="241" s="1"/>
  <c r="I12" i="241"/>
  <c r="F18" i="241" s="1"/>
  <c r="F19" i="241" s="1"/>
  <c r="F20" i="241" s="1"/>
  <c r="G12" i="241"/>
  <c r="E18" i="241" s="1"/>
  <c r="E19" i="241" s="1"/>
  <c r="E20" i="241" s="1"/>
  <c r="E12" i="241"/>
  <c r="C12" i="241"/>
  <c r="B18" i="241" s="1"/>
  <c r="B19" i="241" s="1"/>
  <c r="B20" i="241" s="1"/>
  <c r="X11" i="241"/>
  <c r="V11" i="241"/>
  <c r="T11" i="241"/>
  <c r="R11" i="241"/>
  <c r="P11" i="241"/>
  <c r="N11" i="241"/>
  <c r="L11" i="241"/>
  <c r="J11" i="241"/>
  <c r="H11" i="241"/>
  <c r="F11" i="241"/>
  <c r="D11" i="241"/>
  <c r="Y11" i="241" s="1"/>
  <c r="X10" i="241"/>
  <c r="V10" i="241"/>
  <c r="T10" i="241"/>
  <c r="R10" i="241"/>
  <c r="P10" i="241"/>
  <c r="N10" i="241"/>
  <c r="L10" i="241"/>
  <c r="J10" i="241"/>
  <c r="H10" i="241"/>
  <c r="F10" i="241"/>
  <c r="D10" i="241"/>
  <c r="Y10" i="241" s="1"/>
  <c r="X9" i="241"/>
  <c r="X12" i="241" s="1"/>
  <c r="V9" i="241"/>
  <c r="T9" i="241"/>
  <c r="R9" i="241"/>
  <c r="P9" i="241"/>
  <c r="N9" i="241"/>
  <c r="L9" i="241"/>
  <c r="J9" i="241"/>
  <c r="H9" i="241"/>
  <c r="F9" i="241"/>
  <c r="D9" i="241"/>
  <c r="X8" i="241"/>
  <c r="V8" i="241"/>
  <c r="T8" i="241"/>
  <c r="R8" i="241"/>
  <c r="P8" i="241"/>
  <c r="N8" i="241"/>
  <c r="L8" i="241"/>
  <c r="J8" i="241"/>
  <c r="H8" i="241"/>
  <c r="F8" i="241"/>
  <c r="D8" i="241"/>
  <c r="X7" i="241"/>
  <c r="V7" i="241"/>
  <c r="T7" i="241"/>
  <c r="R7" i="241"/>
  <c r="P7" i="241"/>
  <c r="N7" i="241"/>
  <c r="L7" i="241"/>
  <c r="J7" i="241"/>
  <c r="H7" i="241"/>
  <c r="F7" i="241"/>
  <c r="D7" i="241"/>
  <c r="X6" i="241"/>
  <c r="V6" i="241"/>
  <c r="V12" i="241" s="1"/>
  <c r="T6" i="241"/>
  <c r="R6" i="241"/>
  <c r="R12" i="241" s="1"/>
  <c r="P6" i="241"/>
  <c r="N6" i="241"/>
  <c r="N12" i="241" s="1"/>
  <c r="L6" i="241"/>
  <c r="J6" i="241"/>
  <c r="H6" i="241"/>
  <c r="H12" i="241" s="1"/>
  <c r="F6" i="241"/>
  <c r="F12" i="241" s="1"/>
  <c r="D6" i="241"/>
  <c r="V25" i="240"/>
  <c r="F22" i="240"/>
  <c r="S19" i="240"/>
  <c r="S20" i="240" s="1"/>
  <c r="Q19" i="240"/>
  <c r="Q20" i="240" s="1"/>
  <c r="P19" i="240"/>
  <c r="P20" i="240" s="1"/>
  <c r="L19" i="240"/>
  <c r="L20" i="240" s="1"/>
  <c r="J19" i="240"/>
  <c r="J20" i="240" s="1"/>
  <c r="H19" i="240"/>
  <c r="H20" i="240" s="1"/>
  <c r="O18" i="240"/>
  <c r="O19" i="240" s="1"/>
  <c r="O20" i="240" s="1"/>
  <c r="I18" i="240"/>
  <c r="I19" i="240" s="1"/>
  <c r="I20" i="240" s="1"/>
  <c r="D18" i="240"/>
  <c r="D19" i="240" s="1"/>
  <c r="D20" i="240" s="1"/>
  <c r="X12" i="240"/>
  <c r="W12" i="240"/>
  <c r="K18" i="240" s="1"/>
  <c r="K19" i="240" s="1"/>
  <c r="K20" i="240" s="1"/>
  <c r="U12" i="240"/>
  <c r="S12" i="240"/>
  <c r="Q12" i="240"/>
  <c r="O12" i="240"/>
  <c r="N18" i="240" s="1"/>
  <c r="N19" i="240" s="1"/>
  <c r="N20" i="240" s="1"/>
  <c r="M12" i="240"/>
  <c r="M18" i="240" s="1"/>
  <c r="M19" i="240" s="1"/>
  <c r="M20" i="240" s="1"/>
  <c r="L12" i="240"/>
  <c r="K12" i="240"/>
  <c r="G18" i="240" s="1"/>
  <c r="G19" i="240" s="1"/>
  <c r="G20" i="240" s="1"/>
  <c r="I12" i="240"/>
  <c r="F18" i="240" s="1"/>
  <c r="F19" i="240" s="1"/>
  <c r="F20" i="240" s="1"/>
  <c r="G12" i="240"/>
  <c r="E18" i="240" s="1"/>
  <c r="E19" i="240" s="1"/>
  <c r="E20" i="240" s="1"/>
  <c r="E12" i="240"/>
  <c r="C12" i="240"/>
  <c r="B18" i="240" s="1"/>
  <c r="B19" i="240" s="1"/>
  <c r="B20" i="240" s="1"/>
  <c r="X11" i="240"/>
  <c r="V11" i="240"/>
  <c r="T11" i="240"/>
  <c r="R11" i="240"/>
  <c r="P11" i="240"/>
  <c r="N11" i="240"/>
  <c r="L11" i="240"/>
  <c r="J11" i="240"/>
  <c r="H11" i="240"/>
  <c r="F11" i="240"/>
  <c r="Y11" i="240" s="1"/>
  <c r="D11" i="240"/>
  <c r="X10" i="240"/>
  <c r="V10" i="240"/>
  <c r="T10" i="240"/>
  <c r="R10" i="240"/>
  <c r="P10" i="240"/>
  <c r="P12" i="240" s="1"/>
  <c r="N10" i="240"/>
  <c r="L10" i="240"/>
  <c r="J10" i="240"/>
  <c r="H10" i="240"/>
  <c r="F10" i="240"/>
  <c r="D10" i="240"/>
  <c r="X9" i="240"/>
  <c r="V9" i="240"/>
  <c r="T9" i="240"/>
  <c r="R9" i="240"/>
  <c r="P9" i="240"/>
  <c r="N9" i="240"/>
  <c r="L9" i="240"/>
  <c r="J9" i="240"/>
  <c r="H9" i="240"/>
  <c r="F9" i="240"/>
  <c r="D9" i="240"/>
  <c r="X8" i="240"/>
  <c r="V8" i="240"/>
  <c r="T8" i="240"/>
  <c r="R8" i="240"/>
  <c r="P8" i="240"/>
  <c r="N8" i="240"/>
  <c r="L8" i="240"/>
  <c r="J8" i="240"/>
  <c r="H8" i="240"/>
  <c r="F8" i="240"/>
  <c r="D8" i="240"/>
  <c r="X7" i="240"/>
  <c r="V7" i="240"/>
  <c r="T7" i="240"/>
  <c r="R7" i="240"/>
  <c r="P7" i="240"/>
  <c r="N7" i="240"/>
  <c r="L7" i="240"/>
  <c r="J7" i="240"/>
  <c r="H7" i="240"/>
  <c r="F7" i="240"/>
  <c r="D7" i="240"/>
  <c r="X6" i="240"/>
  <c r="V6" i="240"/>
  <c r="V12" i="240" s="1"/>
  <c r="T6" i="240"/>
  <c r="T12" i="240" s="1"/>
  <c r="R6" i="240"/>
  <c r="R12" i="240" s="1"/>
  <c r="P6" i="240"/>
  <c r="N6" i="240"/>
  <c r="N12" i="240" s="1"/>
  <c r="L6" i="240"/>
  <c r="J6" i="240"/>
  <c r="H6" i="240"/>
  <c r="F6" i="240"/>
  <c r="F12" i="240" s="1"/>
  <c r="D6" i="240"/>
  <c r="D12" i="240" s="1"/>
  <c r="Y9" i="247" l="1"/>
  <c r="V12" i="247"/>
  <c r="T12" i="247"/>
  <c r="Y8" i="247"/>
  <c r="J12" i="247"/>
  <c r="Y7" i="247"/>
  <c r="H12" i="247"/>
  <c r="D12" i="247"/>
  <c r="B21" i="247"/>
  <c r="Y6" i="247"/>
  <c r="T12" i="246"/>
  <c r="Y9" i="246"/>
  <c r="Y8" i="246"/>
  <c r="J12" i="246"/>
  <c r="H12" i="246"/>
  <c r="D12" i="246"/>
  <c r="Y7" i="246"/>
  <c r="B21" i="246"/>
  <c r="Y6" i="246"/>
  <c r="Y10" i="245"/>
  <c r="Y6" i="245"/>
  <c r="Y8" i="245"/>
  <c r="J12" i="245"/>
  <c r="D12" i="245"/>
  <c r="B21" i="245"/>
  <c r="Y8" i="244"/>
  <c r="J12" i="244"/>
  <c r="Y7" i="244"/>
  <c r="Y6" i="244"/>
  <c r="D12" i="244"/>
  <c r="Y12" i="244" s="1"/>
  <c r="V16" i="244" s="1"/>
  <c r="V24" i="244" s="1"/>
  <c r="B21" i="244"/>
  <c r="J12" i="243"/>
  <c r="Y9" i="243"/>
  <c r="H12" i="243"/>
  <c r="D12" i="243"/>
  <c r="Y8" i="243"/>
  <c r="Y7" i="243"/>
  <c r="B21" i="243"/>
  <c r="Y6" i="243"/>
  <c r="X12" i="242"/>
  <c r="J12" i="242"/>
  <c r="D12" i="242"/>
  <c r="Y8" i="242"/>
  <c r="Y7" i="242"/>
  <c r="Y11" i="242"/>
  <c r="B21" i="242"/>
  <c r="Y6" i="242"/>
  <c r="Y8" i="241"/>
  <c r="Y9" i="241"/>
  <c r="J12" i="241"/>
  <c r="Y6" i="241"/>
  <c r="Y7" i="241"/>
  <c r="D12" i="241"/>
  <c r="B21" i="241"/>
  <c r="Y12" i="241"/>
  <c r="V16" i="241" s="1"/>
  <c r="V24" i="241" s="1"/>
  <c r="Y9" i="240"/>
  <c r="Y8" i="240"/>
  <c r="H12" i="240"/>
  <c r="Y10" i="240"/>
  <c r="J12" i="240"/>
  <c r="Y12" i="240" s="1"/>
  <c r="V16" i="240" s="1"/>
  <c r="V24" i="240" s="1"/>
  <c r="Y7" i="240"/>
  <c r="B21" i="240"/>
  <c r="Y6" i="240"/>
  <c r="Y12" i="247" l="1"/>
  <c r="V16" i="247" s="1"/>
  <c r="V24" i="247" s="1"/>
  <c r="Y12" i="246"/>
  <c r="V16" i="246" s="1"/>
  <c r="V24" i="246" s="1"/>
  <c r="Y12" i="245"/>
  <c r="V16" i="245" s="1"/>
  <c r="V24" i="245" s="1"/>
  <c r="Y12" i="243"/>
  <c r="V16" i="243" s="1"/>
  <c r="V24" i="243" s="1"/>
  <c r="Y12" i="242"/>
  <c r="V16" i="242" s="1"/>
  <c r="V24" i="242" s="1"/>
  <c r="V25" i="239"/>
  <c r="F22" i="239"/>
  <c r="S19" i="239"/>
  <c r="S20" i="239" s="1"/>
  <c r="Q19" i="239"/>
  <c r="Q20" i="239" s="1"/>
  <c r="P19" i="239"/>
  <c r="P20" i="239" s="1"/>
  <c r="L19" i="239"/>
  <c r="L20" i="239" s="1"/>
  <c r="J19" i="239"/>
  <c r="J20" i="239" s="1"/>
  <c r="H19" i="239"/>
  <c r="H20" i="239" s="1"/>
  <c r="O18" i="239"/>
  <c r="O19" i="239" s="1"/>
  <c r="O20" i="239" s="1"/>
  <c r="I18" i="239"/>
  <c r="I19" i="239" s="1"/>
  <c r="I20" i="239" s="1"/>
  <c r="W12" i="239"/>
  <c r="K18" i="239" s="1"/>
  <c r="K19" i="239" s="1"/>
  <c r="K20" i="239" s="1"/>
  <c r="U12" i="239"/>
  <c r="T12" i="239"/>
  <c r="S12" i="239"/>
  <c r="Q12" i="239"/>
  <c r="O12" i="239"/>
  <c r="N18" i="239" s="1"/>
  <c r="N19" i="239" s="1"/>
  <c r="N20" i="239" s="1"/>
  <c r="M12" i="239"/>
  <c r="M18" i="239" s="1"/>
  <c r="M19" i="239" s="1"/>
  <c r="M20" i="239" s="1"/>
  <c r="L12" i="239"/>
  <c r="K12" i="239"/>
  <c r="G18" i="239" s="1"/>
  <c r="G19" i="239" s="1"/>
  <c r="G20" i="239" s="1"/>
  <c r="I12" i="239"/>
  <c r="F18" i="239" s="1"/>
  <c r="F19" i="239" s="1"/>
  <c r="F20" i="239" s="1"/>
  <c r="G12" i="239"/>
  <c r="E18" i="239" s="1"/>
  <c r="E19" i="239" s="1"/>
  <c r="E20" i="239" s="1"/>
  <c r="E12" i="239"/>
  <c r="D18" i="239" s="1"/>
  <c r="D19" i="239" s="1"/>
  <c r="D20" i="239" s="1"/>
  <c r="C12" i="239"/>
  <c r="B18" i="239" s="1"/>
  <c r="B19" i="239" s="1"/>
  <c r="B20" i="239" s="1"/>
  <c r="X11" i="239"/>
  <c r="V11" i="239"/>
  <c r="T11" i="239"/>
  <c r="R11" i="239"/>
  <c r="P11" i="239"/>
  <c r="N11" i="239"/>
  <c r="L11" i="239"/>
  <c r="J11" i="239"/>
  <c r="H11" i="239"/>
  <c r="F11" i="239"/>
  <c r="D11" i="239"/>
  <c r="Y11" i="239" s="1"/>
  <c r="X10" i="239"/>
  <c r="V10" i="239"/>
  <c r="T10" i="239"/>
  <c r="R10" i="239"/>
  <c r="P10" i="239"/>
  <c r="P12" i="239" s="1"/>
  <c r="N10" i="239"/>
  <c r="L10" i="239"/>
  <c r="J10" i="239"/>
  <c r="H10" i="239"/>
  <c r="F10" i="239"/>
  <c r="D10" i="239"/>
  <c r="Y10" i="239" s="1"/>
  <c r="X9" i="239"/>
  <c r="V9" i="239"/>
  <c r="T9" i="239"/>
  <c r="R9" i="239"/>
  <c r="P9" i="239"/>
  <c r="N9" i="239"/>
  <c r="L9" i="239"/>
  <c r="J9" i="239"/>
  <c r="H9" i="239"/>
  <c r="F9" i="239"/>
  <c r="D9" i="239"/>
  <c r="X8" i="239"/>
  <c r="X12" i="239" s="1"/>
  <c r="V8" i="239"/>
  <c r="T8" i="239"/>
  <c r="R8" i="239"/>
  <c r="P8" i="239"/>
  <c r="N8" i="239"/>
  <c r="L8" i="239"/>
  <c r="J8" i="239"/>
  <c r="H8" i="239"/>
  <c r="F8" i="239"/>
  <c r="D8" i="239"/>
  <c r="X7" i="239"/>
  <c r="V7" i="239"/>
  <c r="T7" i="239"/>
  <c r="R7" i="239"/>
  <c r="P7" i="239"/>
  <c r="N7" i="239"/>
  <c r="L7" i="239"/>
  <c r="J7" i="239"/>
  <c r="H7" i="239"/>
  <c r="F7" i="239"/>
  <c r="D7" i="239"/>
  <c r="X6" i="239"/>
  <c r="V6" i="239"/>
  <c r="V12" i="239" s="1"/>
  <c r="T6" i="239"/>
  <c r="R6" i="239"/>
  <c r="R12" i="239" s="1"/>
  <c r="P6" i="239"/>
  <c r="N6" i="239"/>
  <c r="N12" i="239" s="1"/>
  <c r="L6" i="239"/>
  <c r="J6" i="239"/>
  <c r="H6" i="239"/>
  <c r="F6" i="239"/>
  <c r="D6" i="239"/>
  <c r="V25" i="238"/>
  <c r="F22" i="238"/>
  <c r="S19" i="238"/>
  <c r="S20" i="238" s="1"/>
  <c r="Q19" i="238"/>
  <c r="Q20" i="238" s="1"/>
  <c r="P19" i="238"/>
  <c r="P20" i="238" s="1"/>
  <c r="L19" i="238"/>
  <c r="L20" i="238" s="1"/>
  <c r="J19" i="238"/>
  <c r="J20" i="238" s="1"/>
  <c r="H19" i="238"/>
  <c r="H20" i="238" s="1"/>
  <c r="W12" i="238"/>
  <c r="K18" i="238" s="1"/>
  <c r="K19" i="238" s="1"/>
  <c r="K20" i="238" s="1"/>
  <c r="V12" i="238"/>
  <c r="U12" i="238"/>
  <c r="I18" i="238" s="1"/>
  <c r="I19" i="238" s="1"/>
  <c r="I20" i="238" s="1"/>
  <c r="S12" i="238"/>
  <c r="Q12" i="238"/>
  <c r="O18" i="238" s="1"/>
  <c r="O19" i="238" s="1"/>
  <c r="O20" i="238" s="1"/>
  <c r="O12" i="238"/>
  <c r="N18" i="238" s="1"/>
  <c r="N19" i="238" s="1"/>
  <c r="N20" i="238" s="1"/>
  <c r="N12" i="238"/>
  <c r="M12" i="238"/>
  <c r="M18" i="238" s="1"/>
  <c r="M19" i="238" s="1"/>
  <c r="M20" i="238" s="1"/>
  <c r="K12" i="238"/>
  <c r="G18" i="238" s="1"/>
  <c r="G19" i="238" s="1"/>
  <c r="G20" i="238" s="1"/>
  <c r="I12" i="238"/>
  <c r="F18" i="238" s="1"/>
  <c r="F19" i="238" s="1"/>
  <c r="F20" i="238" s="1"/>
  <c r="G12" i="238"/>
  <c r="E18" i="238" s="1"/>
  <c r="E19" i="238" s="1"/>
  <c r="E20" i="238" s="1"/>
  <c r="E12" i="238"/>
  <c r="D18" i="238" s="1"/>
  <c r="D19" i="238" s="1"/>
  <c r="D20" i="238" s="1"/>
  <c r="C12" i="238"/>
  <c r="B18" i="238" s="1"/>
  <c r="B19" i="238" s="1"/>
  <c r="B20" i="238" s="1"/>
  <c r="X11" i="238"/>
  <c r="V11" i="238"/>
  <c r="T11" i="238"/>
  <c r="R11" i="238"/>
  <c r="P11" i="238"/>
  <c r="N11" i="238"/>
  <c r="L11" i="238"/>
  <c r="J11" i="238"/>
  <c r="H11" i="238"/>
  <c r="F11" i="238"/>
  <c r="D11" i="238"/>
  <c r="X10" i="238"/>
  <c r="V10" i="238"/>
  <c r="T10" i="238"/>
  <c r="R10" i="238"/>
  <c r="P10" i="238"/>
  <c r="N10" i="238"/>
  <c r="L10" i="238"/>
  <c r="J10" i="238"/>
  <c r="H10" i="238"/>
  <c r="F10" i="238"/>
  <c r="D10" i="238"/>
  <c r="X9" i="238"/>
  <c r="V9" i="238"/>
  <c r="T9" i="238"/>
  <c r="R9" i="238"/>
  <c r="P9" i="238"/>
  <c r="N9" i="238"/>
  <c r="L9" i="238"/>
  <c r="J9" i="238"/>
  <c r="H9" i="238"/>
  <c r="F9" i="238"/>
  <c r="F12" i="238" s="1"/>
  <c r="D9" i="238"/>
  <c r="X8" i="238"/>
  <c r="V8" i="238"/>
  <c r="T8" i="238"/>
  <c r="R8" i="238"/>
  <c r="P8" i="238"/>
  <c r="N8" i="238"/>
  <c r="L8" i="238"/>
  <c r="J8" i="238"/>
  <c r="H8" i="238"/>
  <c r="F8" i="238"/>
  <c r="D8" i="238"/>
  <c r="X7" i="238"/>
  <c r="V7" i="238"/>
  <c r="T7" i="238"/>
  <c r="R7" i="238"/>
  <c r="P7" i="238"/>
  <c r="N7" i="238"/>
  <c r="L7" i="238"/>
  <c r="J7" i="238"/>
  <c r="H7" i="238"/>
  <c r="F7" i="238"/>
  <c r="D7" i="238"/>
  <c r="X6" i="238"/>
  <c r="V6" i="238"/>
  <c r="T6" i="238"/>
  <c r="T12" i="238" s="1"/>
  <c r="R6" i="238"/>
  <c r="R12" i="238" s="1"/>
  <c r="P6" i="238"/>
  <c r="P12" i="238" s="1"/>
  <c r="N6" i="238"/>
  <c r="L6" i="238"/>
  <c r="L12" i="238" s="1"/>
  <c r="J6" i="238"/>
  <c r="H6" i="238"/>
  <c r="F6" i="238"/>
  <c r="D6" i="238"/>
  <c r="V25" i="237"/>
  <c r="F22" i="237"/>
  <c r="S19" i="237"/>
  <c r="S20" i="237" s="1"/>
  <c r="Q19" i="237"/>
  <c r="Q20" i="237" s="1"/>
  <c r="P19" i="237"/>
  <c r="P20" i="237" s="1"/>
  <c r="L19" i="237"/>
  <c r="L20" i="237" s="1"/>
  <c r="J19" i="237"/>
  <c r="J20" i="237" s="1"/>
  <c r="H19" i="237"/>
  <c r="H20" i="237" s="1"/>
  <c r="O18" i="237"/>
  <c r="O19" i="237" s="1"/>
  <c r="O20" i="237" s="1"/>
  <c r="M18" i="237"/>
  <c r="M19" i="237" s="1"/>
  <c r="M20" i="237" s="1"/>
  <c r="D18" i="237"/>
  <c r="D19" i="237" s="1"/>
  <c r="D20" i="237" s="1"/>
  <c r="X12" i="237"/>
  <c r="W12" i="237"/>
  <c r="K18" i="237" s="1"/>
  <c r="K19" i="237" s="1"/>
  <c r="K20" i="237" s="1"/>
  <c r="U12" i="237"/>
  <c r="I18" i="237" s="1"/>
  <c r="I19" i="237" s="1"/>
  <c r="I20" i="237" s="1"/>
  <c r="T12" i="237"/>
  <c r="S12" i="237"/>
  <c r="Q12" i="237"/>
  <c r="P12" i="237"/>
  <c r="O12" i="237"/>
  <c r="N18" i="237" s="1"/>
  <c r="N19" i="237" s="1"/>
  <c r="N20" i="237" s="1"/>
  <c r="M12" i="237"/>
  <c r="L12" i="237"/>
  <c r="K12" i="237"/>
  <c r="G18" i="237" s="1"/>
  <c r="G19" i="237" s="1"/>
  <c r="G20" i="237" s="1"/>
  <c r="I12" i="237"/>
  <c r="F18" i="237" s="1"/>
  <c r="F19" i="237" s="1"/>
  <c r="F20" i="237" s="1"/>
  <c r="G12" i="237"/>
  <c r="E18" i="237" s="1"/>
  <c r="E19" i="237" s="1"/>
  <c r="E20" i="237" s="1"/>
  <c r="E12" i="237"/>
  <c r="C12" i="237"/>
  <c r="B18" i="237" s="1"/>
  <c r="B19" i="237" s="1"/>
  <c r="B20" i="237" s="1"/>
  <c r="X11" i="237"/>
  <c r="V11" i="237"/>
  <c r="T11" i="237"/>
  <c r="R11" i="237"/>
  <c r="P11" i="237"/>
  <c r="N11" i="237"/>
  <c r="L11" i="237"/>
  <c r="J11" i="237"/>
  <c r="H11" i="237"/>
  <c r="F11" i="237"/>
  <c r="Y11" i="237" s="1"/>
  <c r="D11" i="237"/>
  <c r="X10" i="237"/>
  <c r="V10" i="237"/>
  <c r="T10" i="237"/>
  <c r="R10" i="237"/>
  <c r="P10" i="237"/>
  <c r="N10" i="237"/>
  <c r="L10" i="237"/>
  <c r="J10" i="237"/>
  <c r="H10" i="237"/>
  <c r="F10" i="237"/>
  <c r="Y10" i="237" s="1"/>
  <c r="D10" i="237"/>
  <c r="X9" i="237"/>
  <c r="V9" i="237"/>
  <c r="T9" i="237"/>
  <c r="R9" i="237"/>
  <c r="P9" i="237"/>
  <c r="N9" i="237"/>
  <c r="L9" i="237"/>
  <c r="J9" i="237"/>
  <c r="H9" i="237"/>
  <c r="F9" i="237"/>
  <c r="D9" i="237"/>
  <c r="X8" i="237"/>
  <c r="V8" i="237"/>
  <c r="T8" i="237"/>
  <c r="R8" i="237"/>
  <c r="P8" i="237"/>
  <c r="N8" i="237"/>
  <c r="L8" i="237"/>
  <c r="J8" i="237"/>
  <c r="H8" i="237"/>
  <c r="F8" i="237"/>
  <c r="D8" i="237"/>
  <c r="X7" i="237"/>
  <c r="V7" i="237"/>
  <c r="T7" i="237"/>
  <c r="R7" i="237"/>
  <c r="P7" i="237"/>
  <c r="N7" i="237"/>
  <c r="L7" i="237"/>
  <c r="J7" i="237"/>
  <c r="H7" i="237"/>
  <c r="F7" i="237"/>
  <c r="D7" i="237"/>
  <c r="X6" i="237"/>
  <c r="V6" i="237"/>
  <c r="T6" i="237"/>
  <c r="R6" i="237"/>
  <c r="R12" i="237" s="1"/>
  <c r="P6" i="237"/>
  <c r="N6" i="237"/>
  <c r="N12" i="237" s="1"/>
  <c r="L6" i="237"/>
  <c r="J6" i="237"/>
  <c r="H6" i="237"/>
  <c r="F6" i="237"/>
  <c r="F12" i="237" s="1"/>
  <c r="D6" i="237"/>
  <c r="V25" i="236"/>
  <c r="F22" i="236"/>
  <c r="S19" i="236"/>
  <c r="S20" i="236" s="1"/>
  <c r="Q19" i="236"/>
  <c r="Q20" i="236" s="1"/>
  <c r="P19" i="236"/>
  <c r="P20" i="236" s="1"/>
  <c r="L19" i="236"/>
  <c r="L20" i="236" s="1"/>
  <c r="J19" i="236"/>
  <c r="J20" i="236" s="1"/>
  <c r="H19" i="236"/>
  <c r="H20" i="236" s="1"/>
  <c r="M18" i="236"/>
  <c r="M19" i="236" s="1"/>
  <c r="M20" i="236" s="1"/>
  <c r="W12" i="236"/>
  <c r="K18" i="236" s="1"/>
  <c r="K19" i="236" s="1"/>
  <c r="K20" i="236" s="1"/>
  <c r="V12" i="236"/>
  <c r="U12" i="236"/>
  <c r="I18" i="236" s="1"/>
  <c r="I19" i="236" s="1"/>
  <c r="I20" i="236" s="1"/>
  <c r="S12" i="236"/>
  <c r="Q12" i="236"/>
  <c r="O18" i="236" s="1"/>
  <c r="O19" i="236" s="1"/>
  <c r="O20" i="236" s="1"/>
  <c r="O12" i="236"/>
  <c r="N18" i="236" s="1"/>
  <c r="N19" i="236" s="1"/>
  <c r="N20" i="236" s="1"/>
  <c r="N12" i="236"/>
  <c r="M12" i="236"/>
  <c r="K12" i="236"/>
  <c r="G18" i="236" s="1"/>
  <c r="G19" i="236" s="1"/>
  <c r="G20" i="236" s="1"/>
  <c r="I12" i="236"/>
  <c r="F18" i="236" s="1"/>
  <c r="F19" i="236" s="1"/>
  <c r="F20" i="236" s="1"/>
  <c r="G12" i="236"/>
  <c r="E18" i="236" s="1"/>
  <c r="E19" i="236" s="1"/>
  <c r="E20" i="236" s="1"/>
  <c r="F12" i="236"/>
  <c r="E12" i="236"/>
  <c r="D18" i="236" s="1"/>
  <c r="D19" i="236" s="1"/>
  <c r="D20" i="236" s="1"/>
  <c r="C12" i="236"/>
  <c r="B18" i="236" s="1"/>
  <c r="B19" i="236" s="1"/>
  <c r="B20" i="236" s="1"/>
  <c r="X11" i="236"/>
  <c r="V11" i="236"/>
  <c r="T11" i="236"/>
  <c r="R11" i="236"/>
  <c r="P11" i="236"/>
  <c r="N11" i="236"/>
  <c r="L11" i="236"/>
  <c r="J11" i="236"/>
  <c r="Y11" i="236" s="1"/>
  <c r="H11" i="236"/>
  <c r="F11" i="236"/>
  <c r="D11" i="236"/>
  <c r="X10" i="236"/>
  <c r="V10" i="236"/>
  <c r="T10" i="236"/>
  <c r="R10" i="236"/>
  <c r="P10" i="236"/>
  <c r="N10" i="236"/>
  <c r="L10" i="236"/>
  <c r="J10" i="236"/>
  <c r="Y10" i="236" s="1"/>
  <c r="H10" i="236"/>
  <c r="F10" i="236"/>
  <c r="D10" i="236"/>
  <c r="X9" i="236"/>
  <c r="V9" i="236"/>
  <c r="T9" i="236"/>
  <c r="R9" i="236"/>
  <c r="P9" i="236"/>
  <c r="N9" i="236"/>
  <c r="L9" i="236"/>
  <c r="J9" i="236"/>
  <c r="H9" i="236"/>
  <c r="F9" i="236"/>
  <c r="D9" i="236"/>
  <c r="X8" i="236"/>
  <c r="V8" i="236"/>
  <c r="T8" i="236"/>
  <c r="R8" i="236"/>
  <c r="P8" i="236"/>
  <c r="N8" i="236"/>
  <c r="L8" i="236"/>
  <c r="J8" i="236"/>
  <c r="H8" i="236"/>
  <c r="F8" i="236"/>
  <c r="D8" i="236"/>
  <c r="X7" i="236"/>
  <c r="V7" i="236"/>
  <c r="T7" i="236"/>
  <c r="R7" i="236"/>
  <c r="P7" i="236"/>
  <c r="N7" i="236"/>
  <c r="L7" i="236"/>
  <c r="J7" i="236"/>
  <c r="H7" i="236"/>
  <c r="F7" i="236"/>
  <c r="D7" i="236"/>
  <c r="X6" i="236"/>
  <c r="V6" i="236"/>
  <c r="T6" i="236"/>
  <c r="T12" i="236" s="1"/>
  <c r="R6" i="236"/>
  <c r="R12" i="236" s="1"/>
  <c r="P6" i="236"/>
  <c r="P12" i="236" s="1"/>
  <c r="N6" i="236"/>
  <c r="L6" i="236"/>
  <c r="L12" i="236" s="1"/>
  <c r="J6" i="236"/>
  <c r="H6" i="236"/>
  <c r="F6" i="236"/>
  <c r="D6" i="236"/>
  <c r="D6" i="235"/>
  <c r="V25" i="235"/>
  <c r="F22" i="235"/>
  <c r="S19" i="235"/>
  <c r="S20" i="235" s="1"/>
  <c r="Q19" i="235"/>
  <c r="Q20" i="235" s="1"/>
  <c r="P19" i="235"/>
  <c r="P20" i="235" s="1"/>
  <c r="L19" i="235"/>
  <c r="L20" i="235" s="1"/>
  <c r="J19" i="235"/>
  <c r="J20" i="235" s="1"/>
  <c r="H19" i="235"/>
  <c r="H20" i="235" s="1"/>
  <c r="E18" i="235"/>
  <c r="E19" i="235" s="1"/>
  <c r="E20" i="235" s="1"/>
  <c r="W12" i="235"/>
  <c r="K18" i="235" s="1"/>
  <c r="K19" i="235" s="1"/>
  <c r="K20" i="235" s="1"/>
  <c r="U12" i="235"/>
  <c r="I18" i="235" s="1"/>
  <c r="I19" i="235" s="1"/>
  <c r="I20" i="235" s="1"/>
  <c r="S12" i="235"/>
  <c r="Q12" i="235"/>
  <c r="O18" i="235" s="1"/>
  <c r="O19" i="235" s="1"/>
  <c r="O20" i="235" s="1"/>
  <c r="O12" i="235"/>
  <c r="N18" i="235" s="1"/>
  <c r="N19" i="235" s="1"/>
  <c r="N20" i="235" s="1"/>
  <c r="M12" i="235"/>
  <c r="M18" i="235" s="1"/>
  <c r="M19" i="235" s="1"/>
  <c r="M20" i="235" s="1"/>
  <c r="K12" i="235"/>
  <c r="G18" i="235" s="1"/>
  <c r="G19" i="235" s="1"/>
  <c r="G20" i="235" s="1"/>
  <c r="I12" i="235"/>
  <c r="F18" i="235" s="1"/>
  <c r="F19" i="235" s="1"/>
  <c r="F20" i="235" s="1"/>
  <c r="G12" i="235"/>
  <c r="E12" i="235"/>
  <c r="D18" i="235" s="1"/>
  <c r="D19" i="235" s="1"/>
  <c r="D20" i="235" s="1"/>
  <c r="C12" i="235"/>
  <c r="B18" i="235" s="1"/>
  <c r="B19" i="235" s="1"/>
  <c r="B20" i="235" s="1"/>
  <c r="X11" i="235"/>
  <c r="V11" i="235"/>
  <c r="T11" i="235"/>
  <c r="R11" i="235"/>
  <c r="P11" i="235"/>
  <c r="N11" i="235"/>
  <c r="L11" i="235"/>
  <c r="J11" i="235"/>
  <c r="H11" i="235"/>
  <c r="F11" i="235"/>
  <c r="D11" i="235"/>
  <c r="Y11" i="235" s="1"/>
  <c r="X10" i="235"/>
  <c r="V10" i="235"/>
  <c r="T10" i="235"/>
  <c r="R10" i="235"/>
  <c r="P10" i="235"/>
  <c r="N10" i="235"/>
  <c r="L10" i="235"/>
  <c r="J10" i="235"/>
  <c r="H10" i="235"/>
  <c r="F10" i="235"/>
  <c r="D10" i="235"/>
  <c r="Y10" i="235" s="1"/>
  <c r="X9" i="235"/>
  <c r="V9" i="235"/>
  <c r="T9" i="235"/>
  <c r="R9" i="235"/>
  <c r="P9" i="235"/>
  <c r="N9" i="235"/>
  <c r="L9" i="235"/>
  <c r="J9" i="235"/>
  <c r="H9" i="235"/>
  <c r="F9" i="235"/>
  <c r="D9" i="235"/>
  <c r="X8" i="235"/>
  <c r="V8" i="235"/>
  <c r="T8" i="235"/>
  <c r="R8" i="235"/>
  <c r="P8" i="235"/>
  <c r="N8" i="235"/>
  <c r="L8" i="235"/>
  <c r="J8" i="235"/>
  <c r="H8" i="235"/>
  <c r="F8" i="235"/>
  <c r="D8" i="235"/>
  <c r="X7" i="235"/>
  <c r="V7" i="235"/>
  <c r="T7" i="235"/>
  <c r="R7" i="235"/>
  <c r="P7" i="235"/>
  <c r="N7" i="235"/>
  <c r="L7" i="235"/>
  <c r="J7" i="235"/>
  <c r="H7" i="235"/>
  <c r="F7" i="235"/>
  <c r="D7" i="235"/>
  <c r="X6" i="235"/>
  <c r="X12" i="235" s="1"/>
  <c r="V6" i="235"/>
  <c r="V12" i="235" s="1"/>
  <c r="T6" i="235"/>
  <c r="R6" i="235"/>
  <c r="R12" i="235" s="1"/>
  <c r="P6" i="235"/>
  <c r="P12" i="235" s="1"/>
  <c r="N6" i="235"/>
  <c r="N12" i="235" s="1"/>
  <c r="L6" i="235"/>
  <c r="L12" i="235" s="1"/>
  <c r="J6" i="235"/>
  <c r="H6" i="235"/>
  <c r="H12" i="235" s="1"/>
  <c r="F6" i="235"/>
  <c r="F12" i="235" s="1"/>
  <c r="H12" i="239" l="1"/>
  <c r="Y8" i="239"/>
  <c r="F12" i="239"/>
  <c r="Y7" i="239"/>
  <c r="J12" i="239"/>
  <c r="Y6" i="239"/>
  <c r="Y9" i="239"/>
  <c r="D12" i="239"/>
  <c r="B21" i="239"/>
  <c r="Y10" i="238"/>
  <c r="X12" i="238"/>
  <c r="H12" i="238"/>
  <c r="J12" i="238"/>
  <c r="Y9" i="238"/>
  <c r="D12" i="238"/>
  <c r="Y8" i="238"/>
  <c r="Y7" i="238"/>
  <c r="Y11" i="238"/>
  <c r="B21" i="238"/>
  <c r="Y6" i="238"/>
  <c r="H12" i="237"/>
  <c r="D12" i="237"/>
  <c r="V12" i="237"/>
  <c r="J12" i="237"/>
  <c r="Y7" i="237"/>
  <c r="Y9" i="237"/>
  <c r="Y8" i="237"/>
  <c r="B21" i="237"/>
  <c r="Y6" i="237"/>
  <c r="Y9" i="236"/>
  <c r="H12" i="236"/>
  <c r="X12" i="236"/>
  <c r="Y7" i="236"/>
  <c r="J12" i="236"/>
  <c r="D12" i="236"/>
  <c r="Y8" i="236"/>
  <c r="B21" i="236"/>
  <c r="Y6" i="236"/>
  <c r="J12" i="235"/>
  <c r="Y7" i="235"/>
  <c r="T12" i="235"/>
  <c r="Y9" i="235"/>
  <c r="Y8" i="235"/>
  <c r="D12" i="235"/>
  <c r="B21" i="235"/>
  <c r="Y6" i="235"/>
  <c r="V25" i="234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Y12" i="239" l="1"/>
  <c r="V16" i="239" s="1"/>
  <c r="V24" i="239" s="1"/>
  <c r="Y12" i="238"/>
  <c r="V16" i="238" s="1"/>
  <c r="V24" i="238" s="1"/>
  <c r="Y12" i="237"/>
  <c r="V16" i="237" s="1"/>
  <c r="V24" i="237" s="1"/>
  <c r="Y12" i="236"/>
  <c r="V16" i="236" s="1"/>
  <c r="V24" i="236" s="1"/>
  <c r="Y12" i="235"/>
  <c r="V16" i="235" s="1"/>
  <c r="V24" i="235" s="1"/>
  <c r="T12" i="234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sharedStrings.xml><?xml version="1.0" encoding="utf-8"?>
<sst xmlns="http://schemas.openxmlformats.org/spreadsheetml/2006/main" count="26234" uniqueCount="551">
  <si>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</si>
  <si>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</si>
  <si>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</si>
  <si>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</si>
  <si>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</si>
  <si>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</si>
  <si>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</si>
  <si>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</si>
  <si>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</si>
  <si>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</si>
  <si>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</si>
  <si>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</si>
  <si>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</si>
  <si>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</si>
  <si>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</si>
  <si>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</si>
  <si>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</si>
  <si>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</si>
  <si>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</si>
  <si>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</si>
  <si>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</si>
  <si>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</si>
  <si>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</si>
  <si>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</si>
  <si>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</si>
  <si>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</si>
  <si>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</si>
  <si>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</si>
  <si>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</si>
  <si>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</si>
  <si>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</si>
  <si>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</si>
  <si>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</si>
  <si>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</si>
  <si>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</si>
  <si>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</si>
  <si>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</si>
  <si>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</si>
  <si>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</si>
  <si>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</si>
  <si>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</si>
  <si>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</si>
  <si>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</si>
  <si>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</si>
  <si>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</si>
  <si>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</si>
  <si>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</si>
  <si>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</si>
  <si>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</si>
  <si>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</si>
  <si>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</si>
  <si>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</si>
  <si>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</si>
  <si>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</si>
  <si>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</si>
  <si>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</si>
  <si>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</si>
  <si>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</si>
  <si>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</si>
  <si>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</si>
  <si>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</si>
  <si>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</si>
  <si>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</si>
  <si>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</si>
  <si>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</si>
  <si>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</si>
  <si>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</si>
  <si>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</si>
  <si>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</si>
  <si>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</si>
  <si>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</si>
  <si>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</si>
  <si>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</si>
  <si>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</si>
  <si>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</si>
  <si>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</si>
  <si>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</si>
  <si>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</si>
  <si>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</si>
  <si>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</si>
  <si>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</si>
  <si>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</si>
  <si>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</si>
  <si>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</si>
  <si>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</si>
  <si>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</si>
  <si>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</si>
  <si>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</si>
  <si>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</si>
  <si>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</si>
  <si>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</si>
  <si>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</si>
  <si>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</si>
  <si>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</si>
  <si>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</si>
  <si>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</si>
  <si>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</si>
  <si>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</si>
  <si>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</si>
  <si>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</si>
  <si>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</si>
  <si>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</si>
  <si>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</si>
  <si>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</si>
  <si>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</si>
  <si>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</si>
  <si>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</si>
  <si>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</si>
  <si>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</si>
  <si>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</si>
  <si>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</si>
  <si>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</si>
  <si>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</si>
  <si>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</si>
  <si>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</si>
  <si>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</si>
  <si>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</si>
  <si>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</si>
  <si>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</si>
  <si>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</si>
  <si>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</si>
  <si>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</si>
  <si>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</si>
  <si>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</si>
  <si>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</si>
  <si>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</si>
  <si>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</si>
  <si>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</si>
  <si>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</si>
  <si>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</si>
  <si>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</si>
  <si>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</si>
  <si>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</si>
  <si>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</si>
  <si>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</si>
  <si>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</si>
  <si>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</si>
  <si>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</si>
  <si>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</si>
  <si>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</si>
  <si>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</si>
  <si>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</si>
  <si>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</si>
  <si>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</si>
  <si>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</si>
  <si>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</si>
  <si>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</si>
  <si>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</si>
  <si>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</si>
  <si>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</si>
  <si>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</si>
  <si>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</si>
  <si>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</si>
  <si>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</si>
  <si>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</si>
  <si>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</si>
  <si>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</si>
  <si>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</si>
  <si>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</si>
  <si>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</si>
  <si>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</si>
  <si>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</si>
  <si>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</si>
  <si>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</si>
  <si>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</si>
  <si>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</si>
  <si>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</si>
  <si>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</si>
  <si>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</si>
  <si>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</si>
  <si>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</si>
  <si>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</si>
  <si>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</si>
  <si>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</si>
  <si>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</si>
  <si>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</si>
  <si>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</si>
  <si>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</si>
  <si>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</si>
  <si>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</si>
  <si>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</si>
  <si>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</si>
  <si>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</si>
  <si>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</si>
  <si>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</si>
  <si>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</si>
  <si>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</si>
  <si>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</si>
  <si>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</si>
  <si>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</si>
  <si>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</si>
  <si>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</si>
  <si>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</si>
  <si>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</si>
  <si>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</si>
  <si>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</si>
  <si>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</si>
  <si>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</si>
  <si>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</si>
  <si>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</si>
  <si>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</si>
  <si>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</si>
  <si>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</si>
  <si>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</si>
  <si>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</si>
  <si>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</si>
  <si>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</si>
  <si>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</si>
  <si>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</si>
  <si>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</si>
  <si>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</si>
  <si>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</si>
  <si>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</si>
  <si>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</si>
  <si>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</si>
  <si>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</si>
  <si>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</si>
  <si>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</si>
  <si>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</si>
  <si>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</si>
  <si>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</si>
  <si>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</si>
  <si>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</si>
  <si>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</si>
  <si>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</si>
  <si>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</si>
  <si>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</si>
  <si>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</si>
  <si>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</si>
  <si>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</si>
  <si>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</si>
  <si>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</si>
  <si>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</si>
  <si>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</si>
  <si>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</si>
  <si>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</si>
  <si>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</si>
  <si>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</si>
  <si>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</si>
  <si>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</si>
  <si>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</si>
  <si>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</si>
  <si>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</si>
  <si>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</si>
  <si>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</si>
  <si>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</si>
  <si>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</si>
  <si>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</si>
  <si>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</si>
  <si>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</si>
  <si>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</si>
  <si>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</si>
  <si>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</si>
  <si>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</si>
  <si>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</si>
  <si>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</si>
  <si>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</si>
  <si>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</si>
  <si>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</si>
  <si>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</si>
  <si>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</si>
  <si>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</si>
  <si>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</si>
  <si>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</si>
  <si>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</si>
  <si>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</si>
  <si>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</si>
  <si>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</si>
  <si>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</si>
  <si>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</si>
  <si>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</si>
  <si>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</si>
  <si>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</si>
  <si>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</si>
  <si>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</si>
  <si>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</si>
  <si>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</si>
  <si>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</si>
  <si>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</si>
  <si>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</si>
  <si>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</si>
  <si>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</si>
  <si>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</si>
  <si>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</si>
  <si>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</si>
  <si>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</si>
  <si>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</si>
  <si>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</si>
  <si>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</si>
  <si>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</si>
  <si>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</si>
  <si>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</si>
  <si>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</si>
  <si>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</si>
  <si>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</si>
  <si>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</si>
  <si>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</si>
  <si>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</si>
  <si>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</si>
  <si>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</si>
  <si>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</si>
  <si>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</si>
  <si>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</si>
  <si>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</si>
  <si>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</si>
  <si>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</si>
  <si>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</si>
  <si>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</si>
  <si>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</si>
  <si>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</si>
  <si>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</si>
  <si>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</si>
  <si>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</si>
  <si>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</si>
  <si>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</si>
  <si>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</si>
  <si>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</si>
  <si>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</si>
  <si>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</si>
  <si>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</si>
  <si>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</si>
  <si>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</si>
  <si>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</si>
  <si>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</si>
  <si>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</si>
  <si>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</si>
  <si>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</si>
  <si>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</si>
  <si>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</si>
  <si>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</si>
  <si>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</si>
  <si>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</si>
  <si>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</si>
  <si>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</si>
  <si>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</si>
  <si>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</si>
  <si>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</si>
  <si>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</si>
  <si>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</si>
  <si>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</si>
  <si>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</si>
  <si>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</si>
  <si>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</si>
  <si>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</si>
  <si>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</si>
  <si>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</si>
  <si>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</si>
  <si>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</si>
  <si>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</si>
  <si>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</si>
  <si>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</si>
  <si>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</si>
  <si>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</si>
  <si>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</si>
  <si>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</si>
  <si>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</si>
  <si>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</si>
  <si>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</si>
  <si>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</si>
  <si>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</si>
  <si>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</si>
  <si>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</si>
  <si>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</si>
  <si>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</si>
  <si>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</si>
  <si>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</si>
  <si>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</si>
  <si>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</si>
  <si>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</si>
  <si>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</si>
  <si>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</si>
  <si>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</si>
  <si>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</si>
  <si>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</si>
  <si>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</si>
  <si>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</si>
  <si>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</si>
  <si>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</si>
  <si>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</si>
  <si>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</si>
  <si>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</si>
  <si>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</si>
  <si>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</si>
  <si>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</si>
  <si>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</si>
  <si>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</si>
  <si>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</si>
  <si>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</si>
  <si>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</si>
  <si>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</si>
  <si>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</si>
  <si>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</si>
  <si>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</si>
  <si>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</si>
  <si>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</si>
  <si>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</si>
  <si>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</si>
  <si>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</si>
  <si>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</si>
  <si>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</si>
  <si>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</si>
  <si>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</si>
  <si>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</si>
  <si>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</si>
  <si>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</si>
  <si>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</si>
  <si>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</si>
  <si>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</si>
  <si>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</si>
  <si>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</si>
  <si>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</si>
  <si>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</si>
  <si>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</si>
  <si>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</si>
  <si>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</si>
  <si>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</si>
  <si>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</si>
  <si>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</si>
  <si>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</si>
  <si>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</si>
  <si>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</si>
  <si>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</si>
  <si>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</si>
  <si>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</si>
  <si>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</si>
  <si>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</si>
  <si>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</si>
  <si>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</si>
  <si>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</si>
  <si>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</si>
  <si>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</si>
  <si>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</si>
  <si>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</si>
  <si>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</si>
  <si>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</si>
  <si>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</si>
  <si>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</si>
  <si>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</si>
  <si>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</si>
  <si>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</si>
  <si>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</si>
  <si>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</si>
  <si>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</si>
  <si>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</si>
  <si>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</si>
  <si>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</si>
  <si>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</si>
  <si>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</si>
  <si>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</si>
  <si>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</si>
  <si>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</si>
  <si>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</si>
  <si>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</si>
  <si>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</si>
  <si>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</si>
  <si>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</si>
  <si>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</si>
  <si>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</si>
  <si>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</si>
  <si>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</si>
  <si>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</si>
  <si>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</si>
  <si>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</si>
  <si>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</si>
  <si>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</si>
  <si>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</si>
  <si>
    <t xml:space="preserve"> Date…01..10..2024..</t>
  </si>
  <si>
    <t xml:space="preserve"> Date…02..10..2024..</t>
  </si>
  <si>
    <t xml:space="preserve"> Date…03..10..2024..</t>
  </si>
  <si>
    <t xml:space="preserve"> Date…05..10..2024..</t>
  </si>
  <si>
    <t xml:space="preserve"> Date…06..10..2024..</t>
  </si>
  <si>
    <t xml:space="preserve"> Date…07..10..2024..</t>
  </si>
  <si>
    <t xml:space="preserve"> Date…08..10..2024..</t>
  </si>
  <si>
    <t xml:space="preserve"> Ripon Due Collection (+)</t>
  </si>
  <si>
    <t>Ripon Due Back  (-)</t>
  </si>
  <si>
    <t xml:space="preserve"> Date…09..10..2024..</t>
  </si>
  <si>
    <t xml:space="preserve"> Date…10..10..2024..</t>
  </si>
  <si>
    <t xml:space="preserve"> Date…12..10..2024..</t>
  </si>
  <si>
    <t xml:space="preserve"> Date…14..10..2024..</t>
  </si>
  <si>
    <t>NEW STD DRC (470)</t>
  </si>
  <si>
    <t xml:space="preserve"> Date…15..10..2024..</t>
  </si>
  <si>
    <t xml:space="preserve"> Date…16..10..2024..</t>
  </si>
  <si>
    <t xml:space="preserve"> Date…17..10..2024..</t>
  </si>
  <si>
    <t xml:space="preserve"> Date…19..10..2024..</t>
  </si>
  <si>
    <t xml:space="preserve"> Date…20..10..2024..</t>
  </si>
  <si>
    <t xml:space="preserve"> Date…21..10..2024..</t>
  </si>
  <si>
    <t xml:space="preserve"> Date…22..10..2024..</t>
  </si>
  <si>
    <t>Loan Refund Mist  (-)</t>
  </si>
  <si>
    <t xml:space="preserve"> Date…23..10..2024..</t>
  </si>
  <si>
    <t xml:space="preserve"> Date…24..10..2024..</t>
  </si>
  <si>
    <t xml:space="preserve"> Date…26..10..2024..</t>
  </si>
  <si>
    <t xml:space="preserve"> Date…27..10..2024..</t>
  </si>
  <si>
    <t xml:space="preserve"> Date…28..10..2024..</t>
  </si>
  <si>
    <t xml:space="preserve"> Date…29..10..2024..</t>
  </si>
  <si>
    <t xml:space="preserve"> Date…30..10..2024..</t>
  </si>
  <si>
    <t xml:space="preserve"> Date…31..10..2024..</t>
  </si>
  <si>
    <t xml:space="preserve"> Date…02..11..2024..</t>
  </si>
  <si>
    <t xml:space="preserve"> Date…03..11..2024..</t>
  </si>
  <si>
    <t xml:space="preserve"> Date…04..11..2024..</t>
  </si>
  <si>
    <t xml:space="preserve"> Date…05..11..2024..</t>
  </si>
  <si>
    <t xml:space="preserve"> Date…06..11..2024..</t>
  </si>
  <si>
    <t xml:space="preserve"> Date…07..11..2024..</t>
  </si>
  <si>
    <t xml:space="preserve"> Date…09..11..2024..</t>
  </si>
  <si>
    <t xml:space="preserve"> Date…10..11..2024..</t>
  </si>
  <si>
    <t xml:space="preserve"> Date…11..11..2024..</t>
  </si>
  <si>
    <t xml:space="preserve"> Date…12..11..2024..</t>
  </si>
  <si>
    <t xml:space="preserve"> Date…13..11..2024..</t>
  </si>
  <si>
    <t xml:space="preserve"> Date…14..11..2024..</t>
  </si>
  <si>
    <t xml:space="preserve"> Date…16..11..2024..</t>
  </si>
  <si>
    <t>Prince</t>
  </si>
  <si>
    <t xml:space="preserve"> Date…17..11..2024..</t>
  </si>
  <si>
    <t xml:space="preserve"> Date…18..11..2024..</t>
  </si>
  <si>
    <t xml:space="preserve"> Date…19..11..2024..</t>
  </si>
  <si>
    <t xml:space="preserve"> Date…20..11..2024..</t>
  </si>
  <si>
    <t xml:space="preserve"> Date…21..11..2024..</t>
  </si>
  <si>
    <t>Loan to E-life (-)</t>
  </si>
  <si>
    <t xml:space="preserve"> Date…23..11..2024..</t>
  </si>
  <si>
    <t xml:space="preserve"> Date…24..11..2024..</t>
  </si>
  <si>
    <t xml:space="preserve"> (-)</t>
  </si>
  <si>
    <t>Loan Back E-life  (+)</t>
  </si>
  <si>
    <t xml:space="preserve"> Date…25..11..2024..</t>
  </si>
  <si>
    <t xml:space="preserve"> (+)</t>
  </si>
  <si>
    <t xml:space="preserve"> Date…26..11..2024..</t>
  </si>
  <si>
    <t xml:space="preserve"> Date…27..11..2024..</t>
  </si>
  <si>
    <t xml:space="preserve"> Date…28..11..2024..</t>
  </si>
  <si>
    <t xml:space="preserve"> Date…30..11..2024..</t>
  </si>
  <si>
    <t xml:space="preserve"> Date…01..12..2024..</t>
  </si>
  <si>
    <t xml:space="preserve"> Date…02..12..2024..</t>
  </si>
  <si>
    <t xml:space="preserve"> Date…03..12..2024..</t>
  </si>
  <si>
    <t xml:space="preserve"> Date…04..12..2024..</t>
  </si>
  <si>
    <t xml:space="preserve"> Date…05..12..2024..</t>
  </si>
  <si>
    <t xml:space="preserve"> Date…07..12..2024..</t>
  </si>
  <si>
    <t xml:space="preserve"> Date…08..12..2024..</t>
  </si>
  <si>
    <t xml:space="preserve"> Date…09..12..2024..</t>
  </si>
  <si>
    <t xml:space="preserve"> Date…10..12..2024..</t>
  </si>
  <si>
    <t xml:space="preserve"> Date…11..12..2024..</t>
  </si>
  <si>
    <t xml:space="preserve"> Date…12..12..2024..</t>
  </si>
  <si>
    <t xml:space="preserve"> Date…14..12..2024..</t>
  </si>
  <si>
    <t xml:space="preserve"> Date…15..12..2024..</t>
  </si>
  <si>
    <t xml:space="preserve"> Date…16..12..2024..</t>
  </si>
  <si>
    <t xml:space="preserve"> Date…17..12..2024..</t>
  </si>
  <si>
    <t xml:space="preserve"> Date…18..12..2024..</t>
  </si>
  <si>
    <t xml:space="preserve"> Date…19..12..2024..</t>
  </si>
  <si>
    <t>SC-20 TK</t>
  </si>
  <si>
    <t>SC-20TK</t>
  </si>
  <si>
    <t xml:space="preserve"> Date…21..12..2024..</t>
  </si>
  <si>
    <t xml:space="preserve"> Date…22..12..2024..</t>
  </si>
  <si>
    <t xml:space="preserve"> Date…23..12..2024..</t>
  </si>
  <si>
    <t xml:space="preserve"> Date…24..12..2024..</t>
  </si>
  <si>
    <t>NEW MMST SIM</t>
  </si>
  <si>
    <t xml:space="preserve"> Date…25..12..2024..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</si>
</sst>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1960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0" fontId="5" fillId="0" borderId="5" xfId="0" applyFont="1" applyBorder="1" applyAlignment="1">
      <alignment horizontal="center" vertical="center" textRotation="90"/>
    </xf>
    <xf numFmtId="0" fontId="5" fillId="0" borderId="5" xfId="0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right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styles" Target="styles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sharedStrings" Target="sharedStrings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theme" Target="theme/theme1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1880" t="s">
        <v>1</v>
      </c>
      <c r="C2" s="1880"/>
      <c r="D2" s="1880"/>
      <c r="E2" s="1880"/>
      <c r="F2" s="1880"/>
      <c r="G2" s="1880"/>
    </row>
    <row r="3" spans="2:7" ht="15.75" x14ac:dyDescent="0.25">
      <c r="B3" s="1881" t="s">
        <v>0</v>
      </c>
      <c r="C3" s="1881"/>
      <c r="D3" s="1881"/>
      <c r="E3" s="1881"/>
      <c r="F3" s="1881"/>
      <c r="G3" s="1881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1878" t="s">
        <v>18</v>
      </c>
      <c r="C15" s="1878"/>
      <c r="D15" s="1878"/>
      <c r="E15" s="1878"/>
      <c r="F15" s="1879"/>
      <c r="G15" s="1"/>
    </row>
    <row r="16" spans="2:7" ht="18.75" customHeight="1" x14ac:dyDescent="0.25">
      <c r="B16" s="1878" t="s">
        <v>19</v>
      </c>
      <c r="C16" s="1878"/>
      <c r="D16" s="1878"/>
      <c r="E16" s="1878"/>
      <c r="F16" s="1879"/>
      <c r="G16" s="1"/>
    </row>
    <row r="17" spans="1:7" ht="20.25" customHeight="1" x14ac:dyDescent="0.25">
      <c r="B17" s="1878" t="s">
        <v>20</v>
      </c>
      <c r="C17" s="1878"/>
      <c r="D17" s="1878"/>
      <c r="E17" s="1878"/>
      <c r="F17" s="1879"/>
      <c r="G17" s="1"/>
    </row>
    <row r="18" spans="1:7" ht="19.5" customHeight="1" x14ac:dyDescent="0.25">
      <c r="B18" s="1878" t="s">
        <v>21</v>
      </c>
      <c r="C18" s="1878"/>
      <c r="D18" s="1878"/>
      <c r="E18" s="1878"/>
      <c r="F18" s="1879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1880" t="s">
        <v>1</v>
      </c>
      <c r="C26" s="1880"/>
      <c r="D26" s="1880"/>
      <c r="E26" s="1880"/>
      <c r="F26" s="1880"/>
      <c r="G26" s="1880"/>
    </row>
    <row r="27" spans="1:7" ht="15.75" x14ac:dyDescent="0.25">
      <c r="B27" s="1881" t="s">
        <v>0</v>
      </c>
      <c r="C27" s="1881"/>
      <c r="D27" s="1881"/>
      <c r="E27" s="1881"/>
      <c r="F27" s="1881"/>
      <c r="G27" s="1881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1878" t="s">
        <v>18</v>
      </c>
      <c r="C39" s="1878"/>
      <c r="D39" s="1878"/>
      <c r="E39" s="1878"/>
      <c r="F39" s="1879"/>
      <c r="G39" s="8"/>
    </row>
    <row r="40" spans="2:7" ht="17.25" customHeight="1" x14ac:dyDescent="0.25">
      <c r="B40" s="1878" t="s">
        <v>19</v>
      </c>
      <c r="C40" s="1878"/>
      <c r="D40" s="1878"/>
      <c r="E40" s="1878"/>
      <c r="F40" s="1879"/>
      <c r="G40" s="8"/>
    </row>
    <row r="41" spans="2:7" ht="16.5" customHeight="1" x14ac:dyDescent="0.25">
      <c r="B41" s="1878" t="s">
        <v>20</v>
      </c>
      <c r="C41" s="1878"/>
      <c r="D41" s="1878"/>
      <c r="E41" s="1878"/>
      <c r="F41" s="1879"/>
      <c r="G41" s="8"/>
    </row>
    <row r="42" spans="2:7" ht="20.25" customHeight="1" x14ac:dyDescent="0.25">
      <c r="B42" s="1878" t="s">
        <v>21</v>
      </c>
      <c r="C42" s="1878"/>
      <c r="D42" s="1878"/>
      <c r="E42" s="1878"/>
      <c r="F42" s="1879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2:G2"/>
    <mergeCell ref="B3:G3"/>
    <mergeCell ref="B15:F15"/>
    <mergeCell ref="B16:F16"/>
    <mergeCell ref="B17:F17"/>
    <mergeCell ref="B41:F41"/>
    <mergeCell ref="B42:F42"/>
    <mergeCell ref="B18:F18"/>
    <mergeCell ref="B26:G26"/>
    <mergeCell ref="B27:G27"/>
    <mergeCell ref="B39:F39"/>
    <mergeCell ref="B40:F40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</row>
    <row r="2" spans="1:23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1900" t="s">
        <v>78</v>
      </c>
      <c r="S3" s="1900"/>
      <c r="T3" s="1900"/>
      <c r="U3" s="1900"/>
      <c r="V3" s="1900"/>
      <c r="W3" s="1900"/>
    </row>
    <row r="4" spans="1:23" s="2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2" t="s">
        <v>35</v>
      </c>
      <c r="R4" s="1902"/>
      <c r="S4" s="1903" t="s">
        <v>17</v>
      </c>
      <c r="T4" s="1904"/>
      <c r="U4" s="1905" t="s">
        <v>36</v>
      </c>
      <c r="V4" s="1906"/>
      <c r="W4" s="1896" t="s">
        <v>30</v>
      </c>
    </row>
    <row r="5" spans="1:23" s="25" customFormat="1" ht="25.5" customHeight="1" x14ac:dyDescent="0.25">
      <c r="A5" s="1901"/>
      <c r="B5" s="1901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897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893" t="s">
        <v>31</v>
      </c>
      <c r="B12" s="1893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886" t="s">
        <v>46</v>
      </c>
      <c r="S14" s="24" t="s">
        <v>54</v>
      </c>
      <c r="T14" s="1889">
        <v>18790</v>
      </c>
      <c r="U14" s="1895"/>
      <c r="V14" s="1888"/>
    </row>
    <row r="15" spans="1:23" ht="22.5" customHeight="1" x14ac:dyDescent="0.25">
      <c r="A15" s="11" t="s">
        <v>38</v>
      </c>
      <c r="B15" s="1889">
        <v>228814</v>
      </c>
      <c r="C15" s="1888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1886"/>
      <c r="S15" s="24" t="s">
        <v>64</v>
      </c>
      <c r="T15" s="1883">
        <v>10551</v>
      </c>
      <c r="U15" s="1883"/>
      <c r="V15" s="1883"/>
    </row>
    <row r="16" spans="1:23" ht="24.75" customHeight="1" x14ac:dyDescent="0.25">
      <c r="A16" s="11" t="s">
        <v>39</v>
      </c>
      <c r="B16" s="1889">
        <v>306468</v>
      </c>
      <c r="C16" s="1888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1884" t="s">
        <v>55</v>
      </c>
      <c r="S16" s="1884"/>
      <c r="T16" s="1892">
        <f>W12</f>
        <v>201989.47</v>
      </c>
      <c r="U16" s="1892"/>
      <c r="V16" s="1883"/>
    </row>
    <row r="17" spans="1:23" ht="24.75" customHeight="1" x14ac:dyDescent="0.25">
      <c r="A17" s="11" t="s">
        <v>44</v>
      </c>
      <c r="B17" s="1889">
        <v>73611</v>
      </c>
      <c r="C17" s="188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1884" t="s">
        <v>56</v>
      </c>
      <c r="S17" s="1884"/>
      <c r="T17" s="1883"/>
      <c r="U17" s="1883"/>
      <c r="V17" s="1883"/>
    </row>
    <row r="18" spans="1:23" ht="27" customHeight="1" x14ac:dyDescent="0.25">
      <c r="A18" s="11" t="s">
        <v>40</v>
      </c>
      <c r="B18" s="1887">
        <f>C12</f>
        <v>192892</v>
      </c>
      <c r="C18" s="1888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1884" t="s">
        <v>57</v>
      </c>
      <c r="S18" s="1884"/>
      <c r="T18" s="1883">
        <v>3570</v>
      </c>
      <c r="U18" s="1883"/>
      <c r="V18" s="1883"/>
      <c r="W18" s="14" t="s">
        <v>53</v>
      </c>
    </row>
    <row r="19" spans="1:23" ht="25.5" customHeight="1" x14ac:dyDescent="0.25">
      <c r="A19" s="11" t="s">
        <v>41</v>
      </c>
      <c r="B19" s="1889">
        <f>B15+B16+B17-B18</f>
        <v>416001</v>
      </c>
      <c r="C19" s="1888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1890" t="s">
        <v>48</v>
      </c>
      <c r="S19" s="16" t="s">
        <v>58</v>
      </c>
      <c r="T19" s="1883">
        <v>205300</v>
      </c>
      <c r="U19" s="1883"/>
      <c r="V19" s="188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891"/>
      <c r="S20" s="16" t="s">
        <v>59</v>
      </c>
      <c r="T20" s="1883"/>
      <c r="U20" s="1883"/>
      <c r="V20" s="1883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884" t="s">
        <v>60</v>
      </c>
      <c r="S21" s="1884"/>
      <c r="T21" s="1883">
        <v>205300</v>
      </c>
      <c r="U21" s="1883"/>
      <c r="V21" s="1883"/>
    </row>
    <row r="22" spans="1:23" ht="20.25" customHeight="1" x14ac:dyDescent="0.25">
      <c r="A22" s="10"/>
      <c r="B22" s="1885" t="s">
        <v>49</v>
      </c>
      <c r="C22" s="1883">
        <v>573346</v>
      </c>
      <c r="D22" s="1883">
        <v>205300</v>
      </c>
      <c r="E22" s="1883">
        <v>580775</v>
      </c>
      <c r="F22" s="1883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884" t="s">
        <v>61</v>
      </c>
      <c r="S22" s="1884"/>
      <c r="T22" s="1883">
        <v>205300</v>
      </c>
      <c r="U22" s="1883"/>
      <c r="V22" s="1883"/>
    </row>
    <row r="23" spans="1:23" ht="47.25" customHeight="1" x14ac:dyDescent="0.25">
      <c r="A23" s="10"/>
      <c r="B23" s="1885"/>
      <c r="C23" s="1883"/>
      <c r="D23" s="1883"/>
      <c r="E23" s="1883"/>
      <c r="F23" s="188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886" t="s">
        <v>47</v>
      </c>
      <c r="S23" s="17" t="s">
        <v>62</v>
      </c>
      <c r="T23" s="1882">
        <f>T14+T16+T17-T18-T19-T20-T21+T22</f>
        <v>11909.470000000001</v>
      </c>
      <c r="U23" s="1882"/>
      <c r="V23" s="1882"/>
    </row>
    <row r="24" spans="1:23" ht="27" customHeight="1" x14ac:dyDescent="0.25">
      <c r="B24" s="1885"/>
      <c r="C24" s="24" t="s">
        <v>46</v>
      </c>
      <c r="D24" s="24" t="s">
        <v>50</v>
      </c>
      <c r="E24" s="24" t="s">
        <v>51</v>
      </c>
      <c r="F24" s="24" t="s">
        <v>52</v>
      </c>
      <c r="R24" s="1886"/>
      <c r="S24" s="17" t="s">
        <v>63</v>
      </c>
      <c r="T24" s="1883">
        <f>T15+T21-T22</f>
        <v>10551</v>
      </c>
      <c r="U24" s="1883"/>
      <c r="V24" s="1883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W12" sqref="W12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</row>
    <row r="2" spans="1:23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900" t="s">
        <v>79</v>
      </c>
      <c r="S3" s="1900"/>
      <c r="T3" s="1900"/>
      <c r="U3" s="1900"/>
      <c r="V3" s="1900"/>
      <c r="W3" s="1900"/>
    </row>
    <row r="4" spans="1:23" s="34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2" t="s">
        <v>35</v>
      </c>
      <c r="R4" s="1902"/>
      <c r="S4" s="1903" t="s">
        <v>17</v>
      </c>
      <c r="T4" s="1904"/>
      <c r="U4" s="1905" t="s">
        <v>36</v>
      </c>
      <c r="V4" s="1906"/>
      <c r="W4" s="1896" t="s">
        <v>30</v>
      </c>
    </row>
    <row r="5" spans="1:23" s="34" customFormat="1" ht="25.5" customHeight="1" x14ac:dyDescent="0.25">
      <c r="A5" s="1901"/>
      <c r="B5" s="1901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897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893" t="s">
        <v>31</v>
      </c>
      <c r="B12" s="1893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886" t="s">
        <v>46</v>
      </c>
      <c r="S14" s="37" t="s">
        <v>54</v>
      </c>
      <c r="T14" s="1889">
        <v>11909</v>
      </c>
      <c r="U14" s="1895"/>
      <c r="V14" s="1888"/>
    </row>
    <row r="15" spans="1:23" ht="22.5" customHeight="1" x14ac:dyDescent="0.25">
      <c r="A15" s="11" t="s">
        <v>38</v>
      </c>
      <c r="B15" s="1889">
        <v>416001</v>
      </c>
      <c r="C15" s="1888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886"/>
      <c r="S15" s="37" t="s">
        <v>64</v>
      </c>
      <c r="T15" s="1883">
        <v>10551</v>
      </c>
      <c r="U15" s="1883"/>
      <c r="V15" s="1883"/>
    </row>
    <row r="16" spans="1:23" ht="24.75" customHeight="1" x14ac:dyDescent="0.25">
      <c r="A16" s="11" t="s">
        <v>39</v>
      </c>
      <c r="B16" s="1889"/>
      <c r="C16" s="188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884" t="s">
        <v>55</v>
      </c>
      <c r="S16" s="1884"/>
      <c r="T16" s="1892">
        <f>W12</f>
        <v>257387.58500000002</v>
      </c>
      <c r="U16" s="1892"/>
      <c r="V16" s="1883"/>
    </row>
    <row r="17" spans="1:23" ht="24.75" customHeight="1" x14ac:dyDescent="0.25">
      <c r="A17" s="11" t="s">
        <v>44</v>
      </c>
      <c r="B17" s="1889"/>
      <c r="C17" s="188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884" t="s">
        <v>56</v>
      </c>
      <c r="S17" s="1884"/>
      <c r="T17" s="1883"/>
      <c r="U17" s="1883"/>
      <c r="V17" s="1883"/>
    </row>
    <row r="18" spans="1:23" ht="27" customHeight="1" x14ac:dyDescent="0.25">
      <c r="A18" s="11" t="s">
        <v>40</v>
      </c>
      <c r="B18" s="1887">
        <f>C12</f>
        <v>89906</v>
      </c>
      <c r="C18" s="1888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884" t="s">
        <v>57</v>
      </c>
      <c r="S18" s="1884"/>
      <c r="T18" s="1883">
        <v>530</v>
      </c>
      <c r="U18" s="1883"/>
      <c r="V18" s="1883"/>
      <c r="W18" s="1911" t="s">
        <v>81</v>
      </c>
    </row>
    <row r="19" spans="1:23" ht="25.5" customHeight="1" x14ac:dyDescent="0.25">
      <c r="A19" s="11" t="s">
        <v>41</v>
      </c>
      <c r="B19" s="1889">
        <f>B15+B16+B17-B18</f>
        <v>326095</v>
      </c>
      <c r="C19" s="1888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1890" t="s">
        <v>48</v>
      </c>
      <c r="S19" s="16" t="s">
        <v>58</v>
      </c>
      <c r="T19" s="1883"/>
      <c r="U19" s="1883"/>
      <c r="V19" s="1883"/>
      <c r="W19" s="191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891"/>
      <c r="S20" s="16" t="s">
        <v>59</v>
      </c>
      <c r="T20" s="1883"/>
      <c r="U20" s="1883"/>
      <c r="V20" s="1883"/>
      <c r="W20" s="1911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09" t="s">
        <v>80</v>
      </c>
      <c r="S21" s="48" t="s">
        <v>60</v>
      </c>
      <c r="T21" s="1883"/>
      <c r="U21" s="1883"/>
      <c r="V21" s="1883"/>
      <c r="W21" s="1911"/>
    </row>
    <row r="22" spans="1:23" ht="29.25" customHeight="1" x14ac:dyDescent="0.25">
      <c r="A22" s="10"/>
      <c r="B22" s="1885" t="s">
        <v>49</v>
      </c>
      <c r="C22" s="1907">
        <v>948821</v>
      </c>
      <c r="D22" s="1883"/>
      <c r="E22" s="1883"/>
      <c r="F22" s="1883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10"/>
      <c r="S22" s="48" t="s">
        <v>61</v>
      </c>
      <c r="T22" s="1883"/>
      <c r="U22" s="1883"/>
      <c r="V22" s="1883"/>
      <c r="W22" s="1911"/>
    </row>
    <row r="23" spans="1:23" ht="47.25" customHeight="1" x14ac:dyDescent="0.25">
      <c r="A23" s="10"/>
      <c r="B23" s="1885"/>
      <c r="C23" s="1908"/>
      <c r="D23" s="1883"/>
      <c r="E23" s="1883"/>
      <c r="F23" s="188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886" t="s">
        <v>47</v>
      </c>
      <c r="S23" s="17" t="s">
        <v>62</v>
      </c>
      <c r="T23" s="1882">
        <f>T14+T16+T17-T18-T19-T20-T21+T22</f>
        <v>268766.58500000002</v>
      </c>
      <c r="U23" s="1882"/>
      <c r="V23" s="1882"/>
      <c r="W23" s="1911"/>
    </row>
    <row r="24" spans="1:23" ht="27" customHeight="1" x14ac:dyDescent="0.25">
      <c r="B24" s="1885"/>
      <c r="C24" s="37" t="s">
        <v>46</v>
      </c>
      <c r="D24" s="37" t="s">
        <v>50</v>
      </c>
      <c r="E24" s="37" t="s">
        <v>51</v>
      </c>
      <c r="F24" s="37" t="s">
        <v>52</v>
      </c>
      <c r="R24" s="1886"/>
      <c r="S24" s="17" t="s">
        <v>63</v>
      </c>
      <c r="T24" s="1883">
        <f>T15+T21-T22</f>
        <v>10551</v>
      </c>
      <c r="U24" s="1883"/>
      <c r="V24" s="1883"/>
    </row>
  </sheetData>
  <mergeCells count="47">
    <mergeCell ref="T23:V23"/>
    <mergeCell ref="T24:V24"/>
    <mergeCell ref="R21:R22"/>
    <mergeCell ref="W18:W23"/>
    <mergeCell ref="T21:V21"/>
    <mergeCell ref="T22:V22"/>
    <mergeCell ref="R23:R24"/>
    <mergeCell ref="B22:B24"/>
    <mergeCell ref="C22:C23"/>
    <mergeCell ref="D22:D23"/>
    <mergeCell ref="E22:E23"/>
    <mergeCell ref="F22:F23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G42" sqref="G4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</row>
    <row r="2" spans="1:23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900" t="s">
        <v>82</v>
      </c>
      <c r="S3" s="1900"/>
      <c r="T3" s="1900"/>
      <c r="U3" s="1900"/>
      <c r="V3" s="1900"/>
      <c r="W3" s="1900"/>
    </row>
    <row r="4" spans="1:23" s="34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2" t="s">
        <v>35</v>
      </c>
      <c r="R4" s="1902"/>
      <c r="S4" s="1903" t="s">
        <v>17</v>
      </c>
      <c r="T4" s="1904"/>
      <c r="U4" s="1905" t="s">
        <v>36</v>
      </c>
      <c r="V4" s="1906"/>
      <c r="W4" s="1896" t="s">
        <v>30</v>
      </c>
    </row>
    <row r="5" spans="1:23" s="34" customFormat="1" ht="25.5" customHeight="1" x14ac:dyDescent="0.25">
      <c r="A5" s="1901"/>
      <c r="B5" s="1901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897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1893" t="s">
        <v>31</v>
      </c>
      <c r="B12" s="1893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893" t="s">
        <v>46</v>
      </c>
      <c r="S14" s="35" t="s">
        <v>54</v>
      </c>
      <c r="T14" s="1889">
        <v>268767</v>
      </c>
      <c r="U14" s="1895"/>
      <c r="V14" s="1888"/>
    </row>
    <row r="15" spans="1:23" ht="22.5" customHeight="1" x14ac:dyDescent="0.25">
      <c r="A15" s="11" t="s">
        <v>38</v>
      </c>
      <c r="B15" s="1889">
        <v>326095</v>
      </c>
      <c r="C15" s="1888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893"/>
      <c r="S15" s="35" t="s">
        <v>64</v>
      </c>
      <c r="T15" s="1883">
        <v>10551</v>
      </c>
      <c r="U15" s="1883"/>
      <c r="V15" s="1883"/>
    </row>
    <row r="16" spans="1:23" ht="24.75" customHeight="1" x14ac:dyDescent="0.25">
      <c r="A16" s="11" t="s">
        <v>39</v>
      </c>
      <c r="B16" s="1889">
        <v>49140</v>
      </c>
      <c r="C16" s="188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912" t="s">
        <v>55</v>
      </c>
      <c r="S16" s="1912"/>
      <c r="T16" s="1892">
        <f>W12</f>
        <v>261245.92499999999</v>
      </c>
      <c r="U16" s="1892"/>
      <c r="V16" s="1883"/>
    </row>
    <row r="17" spans="1:23" ht="24.75" customHeight="1" x14ac:dyDescent="0.25">
      <c r="A17" s="11" t="s">
        <v>44</v>
      </c>
      <c r="B17" s="1889"/>
      <c r="C17" s="188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912" t="s">
        <v>85</v>
      </c>
      <c r="S17" s="1912"/>
      <c r="T17" s="1883">
        <v>9090</v>
      </c>
      <c r="U17" s="1883"/>
      <c r="V17" s="1883"/>
    </row>
    <row r="18" spans="1:23" ht="27" customHeight="1" x14ac:dyDescent="0.25">
      <c r="A18" s="11" t="s">
        <v>40</v>
      </c>
      <c r="B18" s="1887">
        <f>C12</f>
        <v>111530</v>
      </c>
      <c r="C18" s="1888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1912" t="s">
        <v>57</v>
      </c>
      <c r="S18" s="1912"/>
      <c r="T18" s="1883">
        <f>530+200+1600+70850</f>
        <v>73180</v>
      </c>
      <c r="U18" s="1883"/>
      <c r="V18" s="1883"/>
      <c r="W18" s="1913" t="s">
        <v>84</v>
      </c>
    </row>
    <row r="19" spans="1:23" ht="25.5" customHeight="1" x14ac:dyDescent="0.25">
      <c r="A19" s="11" t="s">
        <v>41</v>
      </c>
      <c r="B19" s="1889">
        <f>B15+B16+B17-B18</f>
        <v>263705</v>
      </c>
      <c r="C19" s="1888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914" t="s">
        <v>48</v>
      </c>
      <c r="S19" s="49" t="s">
        <v>58</v>
      </c>
      <c r="T19" s="1883">
        <v>455600</v>
      </c>
      <c r="U19" s="1883"/>
      <c r="V19" s="1883"/>
      <c r="W19" s="191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915"/>
      <c r="S20" s="49" t="s">
        <v>59</v>
      </c>
      <c r="T20" s="1883"/>
      <c r="U20" s="1883"/>
      <c r="V20" s="1883"/>
      <c r="W20" s="1913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09" t="s">
        <v>83</v>
      </c>
      <c r="S21" s="50" t="s">
        <v>60</v>
      </c>
      <c r="T21" s="1883">
        <f>258100+34250+15600+58100+37440+52110</f>
        <v>455600</v>
      </c>
      <c r="U21" s="1883"/>
      <c r="V21" s="1883"/>
      <c r="W21" s="1913"/>
    </row>
    <row r="22" spans="1:23" ht="29.25" customHeight="1" x14ac:dyDescent="0.25">
      <c r="A22" s="10"/>
      <c r="B22" s="1916" t="s">
        <v>49</v>
      </c>
      <c r="C22" s="1907">
        <v>948821</v>
      </c>
      <c r="D22" s="1883">
        <v>455600</v>
      </c>
      <c r="E22" s="1883">
        <v>47297</v>
      </c>
      <c r="F22" s="1883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10"/>
      <c r="S22" s="50" t="s">
        <v>61</v>
      </c>
      <c r="T22" s="1883">
        <v>455600</v>
      </c>
      <c r="U22" s="1883"/>
      <c r="V22" s="1883"/>
      <c r="W22" s="1913"/>
    </row>
    <row r="23" spans="1:23" ht="47.25" customHeight="1" x14ac:dyDescent="0.25">
      <c r="A23" s="10"/>
      <c r="B23" s="1916"/>
      <c r="C23" s="1908"/>
      <c r="D23" s="1883"/>
      <c r="E23" s="1883"/>
      <c r="F23" s="188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893" t="s">
        <v>47</v>
      </c>
      <c r="S23" s="51" t="s">
        <v>62</v>
      </c>
      <c r="T23" s="1882">
        <f>T14+T16+T17-T18-T19-T20-T21+T22</f>
        <v>10322.925000000047</v>
      </c>
      <c r="U23" s="1882"/>
      <c r="V23" s="1882"/>
      <c r="W23" s="1913"/>
    </row>
    <row r="24" spans="1:23" ht="27" customHeight="1" x14ac:dyDescent="0.25">
      <c r="B24" s="1916"/>
      <c r="C24" s="35" t="s">
        <v>46</v>
      </c>
      <c r="D24" s="35" t="s">
        <v>50</v>
      </c>
      <c r="E24" s="35" t="s">
        <v>51</v>
      </c>
      <c r="F24" s="35" t="s">
        <v>52</v>
      </c>
      <c r="R24" s="1893"/>
      <c r="S24" s="51" t="s">
        <v>63</v>
      </c>
      <c r="T24" s="1883">
        <f>T15+T21-T22</f>
        <v>10551</v>
      </c>
      <c r="U24" s="1883"/>
      <c r="V24" s="1883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</row>
    <row r="2" spans="1:23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900" t="s">
        <v>86</v>
      </c>
      <c r="S3" s="1900"/>
      <c r="T3" s="1900"/>
      <c r="U3" s="1900"/>
      <c r="V3" s="1900"/>
      <c r="W3" s="1900"/>
    </row>
    <row r="4" spans="1:23" s="34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2" t="s">
        <v>35</v>
      </c>
      <c r="R4" s="1902"/>
      <c r="S4" s="1903" t="s">
        <v>17</v>
      </c>
      <c r="T4" s="1904"/>
      <c r="U4" s="1905" t="s">
        <v>36</v>
      </c>
      <c r="V4" s="1906"/>
      <c r="W4" s="1896" t="s">
        <v>30</v>
      </c>
    </row>
    <row r="5" spans="1:23" s="34" customFormat="1" ht="25.5" customHeight="1" x14ac:dyDescent="0.25">
      <c r="A5" s="1901"/>
      <c r="B5" s="1901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897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893" t="s">
        <v>31</v>
      </c>
      <c r="B12" s="1893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893" t="s">
        <v>46</v>
      </c>
      <c r="S14" s="35" t="s">
        <v>54</v>
      </c>
      <c r="T14" s="1889">
        <v>10323</v>
      </c>
      <c r="U14" s="1895"/>
      <c r="V14" s="1888"/>
    </row>
    <row r="15" spans="1:23" ht="22.5" customHeight="1" x14ac:dyDescent="0.25">
      <c r="A15" s="11" t="s">
        <v>38</v>
      </c>
      <c r="B15" s="1889">
        <v>263705</v>
      </c>
      <c r="C15" s="1888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1893"/>
      <c r="S15" s="35" t="s">
        <v>64</v>
      </c>
      <c r="T15" s="1883">
        <v>10551</v>
      </c>
      <c r="U15" s="1883"/>
      <c r="V15" s="1883"/>
    </row>
    <row r="16" spans="1:23" ht="24.75" customHeight="1" x14ac:dyDescent="0.25">
      <c r="A16" s="11" t="s">
        <v>39</v>
      </c>
      <c r="B16" s="1889">
        <v>132416</v>
      </c>
      <c r="C16" s="1888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1912" t="s">
        <v>55</v>
      </c>
      <c r="S16" s="1912"/>
      <c r="T16" s="1892">
        <f>W12</f>
        <v>156409.50749999998</v>
      </c>
      <c r="U16" s="1892"/>
      <c r="V16" s="1883"/>
    </row>
    <row r="17" spans="1:23" ht="24.75" customHeight="1" x14ac:dyDescent="0.25">
      <c r="A17" s="11" t="s">
        <v>44</v>
      </c>
      <c r="B17" s="1889"/>
      <c r="C17" s="188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912" t="s">
        <v>87</v>
      </c>
      <c r="S17" s="1912"/>
      <c r="T17" s="1883">
        <v>100000</v>
      </c>
      <c r="U17" s="1883"/>
      <c r="V17" s="1883"/>
    </row>
    <row r="18" spans="1:23" ht="27" customHeight="1" x14ac:dyDescent="0.25">
      <c r="A18" s="11" t="s">
        <v>40</v>
      </c>
      <c r="B18" s="1887">
        <f>C12</f>
        <v>131727</v>
      </c>
      <c r="C18" s="1888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912" t="s">
        <v>57</v>
      </c>
      <c r="S18" s="1912"/>
      <c r="T18" s="1883">
        <f>530+8000</f>
        <v>8530</v>
      </c>
      <c r="U18" s="1883"/>
      <c r="V18" s="1883"/>
      <c r="W18" s="1917" t="s">
        <v>88</v>
      </c>
    </row>
    <row r="19" spans="1:23" ht="25.5" customHeight="1" x14ac:dyDescent="0.25">
      <c r="A19" s="11" t="s">
        <v>41</v>
      </c>
      <c r="B19" s="1889">
        <f>B15+B16+B17-B18</f>
        <v>264394</v>
      </c>
      <c r="C19" s="1888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914" t="s">
        <v>48</v>
      </c>
      <c r="S19" s="49" t="s">
        <v>58</v>
      </c>
      <c r="T19" s="1883">
        <v>247140</v>
      </c>
      <c r="U19" s="1883"/>
      <c r="V19" s="1883"/>
      <c r="W19" s="191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915"/>
      <c r="S20" s="49" t="s">
        <v>59</v>
      </c>
      <c r="T20" s="1883"/>
      <c r="U20" s="1883"/>
      <c r="V20" s="1883"/>
      <c r="W20" s="191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09" t="s">
        <v>83</v>
      </c>
      <c r="S21" s="50" t="s">
        <v>60</v>
      </c>
      <c r="T21" s="1883">
        <v>147140</v>
      </c>
      <c r="U21" s="1883"/>
      <c r="V21" s="1883"/>
      <c r="W21" s="1917"/>
    </row>
    <row r="22" spans="1:23" ht="29.25" customHeight="1" x14ac:dyDescent="0.25">
      <c r="A22" s="10"/>
      <c r="B22" s="1916" t="s">
        <v>49</v>
      </c>
      <c r="C22" s="1907">
        <v>540518</v>
      </c>
      <c r="D22" s="1883">
        <v>247140</v>
      </c>
      <c r="E22" s="1883">
        <v>246962</v>
      </c>
      <c r="F22" s="1883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10"/>
      <c r="S22" s="50" t="s">
        <v>61</v>
      </c>
      <c r="T22" s="1883">
        <v>147140</v>
      </c>
      <c r="U22" s="1883"/>
      <c r="V22" s="1883"/>
      <c r="W22" s="1917"/>
    </row>
    <row r="23" spans="1:23" ht="47.25" customHeight="1" x14ac:dyDescent="0.25">
      <c r="A23" s="10"/>
      <c r="B23" s="1916"/>
      <c r="C23" s="1908"/>
      <c r="D23" s="1883"/>
      <c r="E23" s="1883"/>
      <c r="F23" s="188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893" t="s">
        <v>47</v>
      </c>
      <c r="S23" s="51" t="s">
        <v>62</v>
      </c>
      <c r="T23" s="1882">
        <f>T14+T16+T17-T18-T19-T20-T21+T22</f>
        <v>11062.507499999949</v>
      </c>
      <c r="U23" s="1882"/>
      <c r="V23" s="1882"/>
      <c r="W23" s="1917"/>
    </row>
    <row r="24" spans="1:23" ht="27" customHeight="1" x14ac:dyDescent="0.25">
      <c r="B24" s="1916"/>
      <c r="C24" s="35" t="s">
        <v>46</v>
      </c>
      <c r="D24" s="35" t="s">
        <v>50</v>
      </c>
      <c r="E24" s="35" t="s">
        <v>51</v>
      </c>
      <c r="F24" s="35" t="s">
        <v>52</v>
      </c>
      <c r="R24" s="1893"/>
      <c r="S24" s="51" t="s">
        <v>63</v>
      </c>
      <c r="T24" s="1883">
        <f>T15+T21-T22</f>
        <v>10551</v>
      </c>
      <c r="U24" s="1883"/>
      <c r="V24" s="1883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zoomScale="71" zoomScaleNormal="71" zoomScaleSheetLayoutView="100" workbookViewId="0">
      <selection activeCell="H22" sqref="H2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</row>
    <row r="2" spans="1:23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1900" t="s">
        <v>89</v>
      </c>
      <c r="S3" s="1900"/>
      <c r="T3" s="1900"/>
      <c r="U3" s="1900"/>
      <c r="V3" s="1900"/>
      <c r="W3" s="1900"/>
    </row>
    <row r="4" spans="1:23" s="4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2" t="s">
        <v>35</v>
      </c>
      <c r="R4" s="1902"/>
      <c r="S4" s="1903" t="s">
        <v>17</v>
      </c>
      <c r="T4" s="1904"/>
      <c r="U4" s="1905" t="s">
        <v>36</v>
      </c>
      <c r="V4" s="1906"/>
      <c r="W4" s="1896" t="s">
        <v>30</v>
      </c>
    </row>
    <row r="5" spans="1:23" s="47" customFormat="1" ht="25.5" customHeight="1" x14ac:dyDescent="0.25">
      <c r="A5" s="1901"/>
      <c r="B5" s="1901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897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1893" t="s">
        <v>31</v>
      </c>
      <c r="B12" s="1893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893" t="s">
        <v>46</v>
      </c>
      <c r="S14" s="45" t="s">
        <v>54</v>
      </c>
      <c r="T14" s="1889">
        <v>11063</v>
      </c>
      <c r="U14" s="1895"/>
      <c r="V14" s="1888"/>
    </row>
    <row r="15" spans="1:23" ht="22.5" customHeight="1" x14ac:dyDescent="0.25">
      <c r="A15" s="11" t="s">
        <v>38</v>
      </c>
      <c r="B15" s="1889">
        <v>264394</v>
      </c>
      <c r="C15" s="1888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1893"/>
      <c r="S15" s="45" t="s">
        <v>64</v>
      </c>
      <c r="T15" s="1883">
        <v>10551</v>
      </c>
      <c r="U15" s="1883"/>
      <c r="V15" s="1883"/>
    </row>
    <row r="16" spans="1:23" ht="24.75" customHeight="1" x14ac:dyDescent="0.25">
      <c r="A16" s="11" t="s">
        <v>39</v>
      </c>
      <c r="B16" s="1889">
        <v>365506</v>
      </c>
      <c r="C16" s="1888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1912" t="s">
        <v>55</v>
      </c>
      <c r="S16" s="1912"/>
      <c r="T16" s="1892">
        <f>W12</f>
        <v>550865.56500000006</v>
      </c>
      <c r="U16" s="1892"/>
      <c r="V16" s="1883"/>
    </row>
    <row r="17" spans="1:23" ht="24.75" customHeight="1" x14ac:dyDescent="0.25">
      <c r="A17" s="11" t="s">
        <v>44</v>
      </c>
      <c r="B17" s="1889">
        <v>54264</v>
      </c>
      <c r="C17" s="1888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1912" t="s">
        <v>87</v>
      </c>
      <c r="S17" s="1912"/>
      <c r="T17" s="1883"/>
      <c r="U17" s="1883"/>
      <c r="V17" s="1883"/>
    </row>
    <row r="18" spans="1:23" ht="27" customHeight="1" x14ac:dyDescent="0.25">
      <c r="A18" s="11" t="s">
        <v>40</v>
      </c>
      <c r="B18" s="1887">
        <f>C12</f>
        <v>548634</v>
      </c>
      <c r="C18" s="1888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1912" t="s">
        <v>57</v>
      </c>
      <c r="S18" s="1912"/>
      <c r="T18" s="1883">
        <f>530+2286+100+6964+630</f>
        <v>10510</v>
      </c>
      <c r="U18" s="1883"/>
      <c r="V18" s="1883"/>
      <c r="W18" s="1917" t="s">
        <v>90</v>
      </c>
    </row>
    <row r="19" spans="1:23" ht="25.5" customHeight="1" x14ac:dyDescent="0.25">
      <c r="A19" s="11" t="s">
        <v>41</v>
      </c>
      <c r="B19" s="1889">
        <f>B15+B16+B17-B18</f>
        <v>135530</v>
      </c>
      <c r="C19" s="1888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1914" t="s">
        <v>48</v>
      </c>
      <c r="S19" s="49" t="s">
        <v>58</v>
      </c>
      <c r="T19" s="1883">
        <v>540560</v>
      </c>
      <c r="U19" s="1883"/>
      <c r="V19" s="1883"/>
      <c r="W19" s="191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915"/>
      <c r="S20" s="49" t="s">
        <v>59</v>
      </c>
      <c r="T20" s="1883"/>
      <c r="U20" s="1883"/>
      <c r="V20" s="1883"/>
      <c r="W20" s="191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09" t="s">
        <v>83</v>
      </c>
      <c r="S21" s="50" t="s">
        <v>60</v>
      </c>
      <c r="T21" s="1883">
        <v>76510</v>
      </c>
      <c r="U21" s="1883"/>
      <c r="V21" s="1883"/>
      <c r="W21" s="1917"/>
    </row>
    <row r="22" spans="1:23" ht="29.25" customHeight="1" x14ac:dyDescent="0.25">
      <c r="A22" s="10"/>
      <c r="B22" s="1916" t="s">
        <v>49</v>
      </c>
      <c r="C22" s="1907">
        <v>540518</v>
      </c>
      <c r="D22" s="1883">
        <v>540560</v>
      </c>
      <c r="E22" s="1883">
        <v>400000</v>
      </c>
      <c r="F22" s="1883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10"/>
      <c r="S22" s="50" t="s">
        <v>61</v>
      </c>
      <c r="T22" s="1883">
        <v>76410</v>
      </c>
      <c r="U22" s="1883"/>
      <c r="V22" s="1883"/>
      <c r="W22" s="1917"/>
    </row>
    <row r="23" spans="1:23" ht="47.25" customHeight="1" x14ac:dyDescent="0.25">
      <c r="A23" s="10"/>
      <c r="B23" s="1916"/>
      <c r="C23" s="1908"/>
      <c r="D23" s="1883"/>
      <c r="E23" s="1883"/>
      <c r="F23" s="188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893" t="s">
        <v>47</v>
      </c>
      <c r="S23" s="51" t="s">
        <v>62</v>
      </c>
      <c r="T23" s="1882">
        <f>T14+T16+T17-T18-T19-T20-T21+T22</f>
        <v>10758.565000000061</v>
      </c>
      <c r="U23" s="1882"/>
      <c r="V23" s="1882"/>
      <c r="W23" s="1917"/>
    </row>
    <row r="24" spans="1:23" ht="27" customHeight="1" x14ac:dyDescent="0.25">
      <c r="B24" s="1916"/>
      <c r="C24" s="45" t="s">
        <v>46</v>
      </c>
      <c r="D24" s="45" t="s">
        <v>50</v>
      </c>
      <c r="E24" s="45" t="s">
        <v>51</v>
      </c>
      <c r="F24" s="45" t="s">
        <v>52</v>
      </c>
      <c r="R24" s="1893"/>
      <c r="S24" s="51" t="s">
        <v>63</v>
      </c>
      <c r="T24" s="1883">
        <f>T15+T21-T22</f>
        <v>10651</v>
      </c>
      <c r="U24" s="1883"/>
      <c r="V24" s="1883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</row>
    <row r="2" spans="1:23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1900" t="s">
        <v>91</v>
      </c>
      <c r="S3" s="1900"/>
      <c r="T3" s="1900"/>
      <c r="U3" s="1900"/>
      <c r="V3" s="1900"/>
      <c r="W3" s="1900"/>
    </row>
    <row r="4" spans="1:23" s="5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2" t="s">
        <v>35</v>
      </c>
      <c r="R4" s="1902"/>
      <c r="S4" s="1903" t="s">
        <v>17</v>
      </c>
      <c r="T4" s="1904"/>
      <c r="U4" s="1905" t="s">
        <v>36</v>
      </c>
      <c r="V4" s="1906"/>
      <c r="W4" s="1896" t="s">
        <v>30</v>
      </c>
    </row>
    <row r="5" spans="1:23" s="52" customFormat="1" ht="25.5" customHeight="1" x14ac:dyDescent="0.25">
      <c r="A5" s="1901"/>
      <c r="B5" s="1901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897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893" t="s">
        <v>31</v>
      </c>
      <c r="B12" s="1893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893" t="s">
        <v>46</v>
      </c>
      <c r="S14" s="53" t="s">
        <v>54</v>
      </c>
      <c r="T14" s="1889">
        <v>10759</v>
      </c>
      <c r="U14" s="1895"/>
      <c r="V14" s="1888"/>
    </row>
    <row r="15" spans="1:23" ht="22.5" customHeight="1" x14ac:dyDescent="0.25">
      <c r="A15" s="11" t="s">
        <v>38</v>
      </c>
      <c r="B15" s="1889">
        <v>135530</v>
      </c>
      <c r="C15" s="1888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1893"/>
      <c r="S15" s="53" t="s">
        <v>64</v>
      </c>
      <c r="T15" s="1883">
        <v>10651</v>
      </c>
      <c r="U15" s="1883"/>
      <c r="V15" s="1883"/>
    </row>
    <row r="16" spans="1:23" ht="24.75" customHeight="1" x14ac:dyDescent="0.25">
      <c r="A16" s="11" t="s">
        <v>39</v>
      </c>
      <c r="B16" s="1889">
        <v>93506</v>
      </c>
      <c r="C16" s="1888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1912" t="s">
        <v>55</v>
      </c>
      <c r="S16" s="1912"/>
      <c r="T16" s="1892">
        <f>W12</f>
        <v>145758.29999999999</v>
      </c>
      <c r="U16" s="1892"/>
      <c r="V16" s="1883"/>
    </row>
    <row r="17" spans="1:23" ht="24.75" customHeight="1" x14ac:dyDescent="0.25">
      <c r="A17" s="11" t="s">
        <v>44</v>
      </c>
      <c r="B17" s="1889"/>
      <c r="C17" s="1888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1912" t="s">
        <v>87</v>
      </c>
      <c r="S17" s="1912"/>
      <c r="T17" s="1883"/>
      <c r="U17" s="1883"/>
      <c r="V17" s="1883"/>
    </row>
    <row r="18" spans="1:23" ht="27" customHeight="1" x14ac:dyDescent="0.25">
      <c r="A18" s="11" t="s">
        <v>40</v>
      </c>
      <c r="B18" s="1887">
        <f>C12</f>
        <v>149880</v>
      </c>
      <c r="C18" s="1888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1912" t="s">
        <v>57</v>
      </c>
      <c r="S18" s="1912"/>
      <c r="T18" s="1883">
        <f>530+870+200+400</f>
        <v>2000</v>
      </c>
      <c r="U18" s="1883"/>
      <c r="V18" s="1883"/>
      <c r="W18" s="1917" t="s">
        <v>92</v>
      </c>
    </row>
    <row r="19" spans="1:23" ht="25.5" customHeight="1" x14ac:dyDescent="0.25">
      <c r="A19" s="11" t="s">
        <v>41</v>
      </c>
      <c r="B19" s="1889">
        <f>B15+B16+B17-B18</f>
        <v>79156</v>
      </c>
      <c r="C19" s="1888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1914" t="s">
        <v>48</v>
      </c>
      <c r="S19" s="49" t="s">
        <v>58</v>
      </c>
      <c r="T19" s="1883"/>
      <c r="U19" s="1883"/>
      <c r="V19" s="1883"/>
      <c r="W19" s="191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915"/>
      <c r="S20" s="49" t="s">
        <v>59</v>
      </c>
      <c r="T20" s="1883">
        <v>90000</v>
      </c>
      <c r="U20" s="1883"/>
      <c r="V20" s="1883"/>
      <c r="W20" s="191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09" t="s">
        <v>83</v>
      </c>
      <c r="S21" s="50" t="s">
        <v>60</v>
      </c>
      <c r="T21" s="1883"/>
      <c r="U21" s="1883"/>
      <c r="V21" s="1883"/>
      <c r="W21" s="1917"/>
    </row>
    <row r="22" spans="1:23" ht="29.25" customHeight="1" x14ac:dyDescent="0.25">
      <c r="A22" s="10"/>
      <c r="B22" s="1916" t="s">
        <v>49</v>
      </c>
      <c r="C22" s="1907">
        <v>399958</v>
      </c>
      <c r="D22" s="1883"/>
      <c r="E22" s="1883"/>
      <c r="F22" s="1883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10"/>
      <c r="S22" s="50" t="s">
        <v>61</v>
      </c>
      <c r="T22" s="1883"/>
      <c r="U22" s="1883"/>
      <c r="V22" s="1883"/>
      <c r="W22" s="1917"/>
    </row>
    <row r="23" spans="1:23" ht="47.25" customHeight="1" x14ac:dyDescent="0.25">
      <c r="A23" s="10"/>
      <c r="B23" s="1916"/>
      <c r="C23" s="1908"/>
      <c r="D23" s="1883"/>
      <c r="E23" s="1883"/>
      <c r="F23" s="188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893" t="s">
        <v>47</v>
      </c>
      <c r="S23" s="51" t="s">
        <v>62</v>
      </c>
      <c r="T23" s="1882">
        <f>T14+T16+T17-T18-T19-T20-T21+T22</f>
        <v>64517.299999999988</v>
      </c>
      <c r="U23" s="1882"/>
      <c r="V23" s="1882"/>
      <c r="W23" s="1917"/>
    </row>
    <row r="24" spans="1:23" ht="27" customHeight="1" x14ac:dyDescent="0.25">
      <c r="B24" s="1916"/>
      <c r="C24" s="53" t="s">
        <v>46</v>
      </c>
      <c r="D24" s="53" t="s">
        <v>50</v>
      </c>
      <c r="E24" s="53" t="s">
        <v>51</v>
      </c>
      <c r="F24" s="53" t="s">
        <v>52</v>
      </c>
      <c r="R24" s="1893"/>
      <c r="S24" s="51" t="s">
        <v>63</v>
      </c>
      <c r="T24" s="1883">
        <f>T15+T21-T22</f>
        <v>10651</v>
      </c>
      <c r="U24" s="1883"/>
      <c r="V24" s="1883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</row>
    <row r="2" spans="1:23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1900" t="s">
        <v>93</v>
      </c>
      <c r="S3" s="1900"/>
      <c r="T3" s="1900"/>
      <c r="U3" s="1900"/>
      <c r="V3" s="1900"/>
      <c r="W3" s="1900"/>
    </row>
    <row r="4" spans="1:23" s="6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2" t="s">
        <v>35</v>
      </c>
      <c r="R4" s="1902"/>
      <c r="S4" s="1903" t="s">
        <v>17</v>
      </c>
      <c r="T4" s="1904"/>
      <c r="U4" s="1905" t="s">
        <v>36</v>
      </c>
      <c r="V4" s="1906"/>
      <c r="W4" s="1896" t="s">
        <v>30</v>
      </c>
    </row>
    <row r="5" spans="1:23" s="65" customFormat="1" ht="25.5" customHeight="1" x14ac:dyDescent="0.25">
      <c r="A5" s="1901"/>
      <c r="B5" s="1901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897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893" t="s">
        <v>31</v>
      </c>
      <c r="B12" s="1893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893" t="s">
        <v>46</v>
      </c>
      <c r="S14" s="63" t="s">
        <v>54</v>
      </c>
      <c r="T14" s="1889">
        <v>64517</v>
      </c>
      <c r="U14" s="1895"/>
      <c r="V14" s="1888"/>
    </row>
    <row r="15" spans="1:23" ht="22.5" customHeight="1" x14ac:dyDescent="0.25">
      <c r="A15" s="11" t="s">
        <v>38</v>
      </c>
      <c r="B15" s="1889">
        <v>79156</v>
      </c>
      <c r="C15" s="1888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1893"/>
      <c r="S15" s="63" t="s">
        <v>64</v>
      </c>
      <c r="T15" s="1883">
        <v>10651</v>
      </c>
      <c r="U15" s="1883"/>
      <c r="V15" s="1883"/>
    </row>
    <row r="16" spans="1:23" ht="24.75" customHeight="1" x14ac:dyDescent="0.25">
      <c r="A16" s="11" t="s">
        <v>39</v>
      </c>
      <c r="B16" s="1889">
        <v>130000</v>
      </c>
      <c r="C16" s="1888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1912" t="s">
        <v>55</v>
      </c>
      <c r="S16" s="1912"/>
      <c r="T16" s="1892">
        <f>W12</f>
        <v>193285.3475</v>
      </c>
      <c r="U16" s="1892"/>
      <c r="V16" s="1883"/>
    </row>
    <row r="17" spans="1:23" ht="24.75" customHeight="1" x14ac:dyDescent="0.25">
      <c r="A17" s="11" t="s">
        <v>44</v>
      </c>
      <c r="B17" s="1889"/>
      <c r="C17" s="1888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1912" t="s">
        <v>87</v>
      </c>
      <c r="S17" s="1912"/>
      <c r="T17" s="1883"/>
      <c r="U17" s="1883"/>
      <c r="V17" s="1883"/>
    </row>
    <row r="18" spans="1:23" ht="27" customHeight="1" x14ac:dyDescent="0.25">
      <c r="A18" s="11" t="s">
        <v>40</v>
      </c>
      <c r="B18" s="1887">
        <f>C12</f>
        <v>198751</v>
      </c>
      <c r="C18" s="1888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1912" t="s">
        <v>57</v>
      </c>
      <c r="S18" s="1912"/>
      <c r="T18" s="1883">
        <f>1210+6000</f>
        <v>7210</v>
      </c>
      <c r="U18" s="1883"/>
      <c r="V18" s="1883"/>
      <c r="W18" s="1917" t="s">
        <v>94</v>
      </c>
    </row>
    <row r="19" spans="1:23" ht="25.5" customHeight="1" x14ac:dyDescent="0.25">
      <c r="A19" s="11" t="s">
        <v>41</v>
      </c>
      <c r="B19" s="1889">
        <f>B15+B16+B17-B18</f>
        <v>10405</v>
      </c>
      <c r="C19" s="1888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1914" t="s">
        <v>48</v>
      </c>
      <c r="S19" s="49" t="s">
        <v>58</v>
      </c>
      <c r="T19" s="1883"/>
      <c r="U19" s="1883"/>
      <c r="V19" s="1883"/>
      <c r="W19" s="191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915"/>
      <c r="S20" s="49" t="s">
        <v>59</v>
      </c>
      <c r="T20" s="1883"/>
      <c r="U20" s="1883"/>
      <c r="V20" s="1883"/>
      <c r="W20" s="191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09" t="s">
        <v>83</v>
      </c>
      <c r="S21" s="50" t="s">
        <v>60</v>
      </c>
      <c r="T21" s="1883"/>
      <c r="U21" s="1883"/>
      <c r="V21" s="1883"/>
      <c r="W21" s="1917"/>
    </row>
    <row r="22" spans="1:23" ht="29.25" customHeight="1" x14ac:dyDescent="0.25">
      <c r="A22" s="10"/>
      <c r="B22" s="1916" t="s">
        <v>49</v>
      </c>
      <c r="C22" s="1907">
        <v>399958</v>
      </c>
      <c r="D22" s="1883"/>
      <c r="E22" s="1883">
        <v>125125</v>
      </c>
      <c r="F22" s="1883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10"/>
      <c r="S22" s="50" t="s">
        <v>61</v>
      </c>
      <c r="T22" s="1883"/>
      <c r="U22" s="1883"/>
      <c r="V22" s="1883"/>
      <c r="W22" s="1917"/>
    </row>
    <row r="23" spans="1:23" ht="47.25" customHeight="1" x14ac:dyDescent="0.25">
      <c r="A23" s="10"/>
      <c r="B23" s="1916"/>
      <c r="C23" s="1908"/>
      <c r="D23" s="1883"/>
      <c r="E23" s="1883"/>
      <c r="F23" s="188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893" t="s">
        <v>47</v>
      </c>
      <c r="S23" s="51" t="s">
        <v>62</v>
      </c>
      <c r="T23" s="1882">
        <f>T14+T16+T17-T18-T19-T20-T21+T22</f>
        <v>250592.3475</v>
      </c>
      <c r="U23" s="1882"/>
      <c r="V23" s="1882"/>
      <c r="W23" s="1917"/>
    </row>
    <row r="24" spans="1:23" ht="27" customHeight="1" x14ac:dyDescent="0.25">
      <c r="B24" s="1916"/>
      <c r="C24" s="63" t="s">
        <v>46</v>
      </c>
      <c r="D24" s="63" t="s">
        <v>50</v>
      </c>
      <c r="E24" s="63" t="s">
        <v>51</v>
      </c>
      <c r="F24" s="63" t="s">
        <v>52</v>
      </c>
      <c r="R24" s="1893"/>
      <c r="S24" s="51" t="s">
        <v>63</v>
      </c>
      <c r="T24" s="1883">
        <f>T15+T21-T22</f>
        <v>10651</v>
      </c>
      <c r="U24" s="1883"/>
      <c r="V24" s="1883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A17" sqref="A17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</row>
    <row r="2" spans="1:23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1900" t="s">
        <v>97</v>
      </c>
      <c r="S3" s="1900"/>
      <c r="T3" s="1900"/>
      <c r="U3" s="1900"/>
      <c r="V3" s="1900"/>
      <c r="W3" s="1900"/>
    </row>
    <row r="4" spans="1:23" s="6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2" t="s">
        <v>35</v>
      </c>
      <c r="R4" s="1902"/>
      <c r="S4" s="1903" t="s">
        <v>17</v>
      </c>
      <c r="T4" s="1904"/>
      <c r="U4" s="1905" t="s">
        <v>36</v>
      </c>
      <c r="V4" s="1906"/>
      <c r="W4" s="1896" t="s">
        <v>30</v>
      </c>
    </row>
    <row r="5" spans="1:23" s="66" customFormat="1" ht="25.5" customHeight="1" x14ac:dyDescent="0.25">
      <c r="A5" s="1901"/>
      <c r="B5" s="1901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897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1893" t="s">
        <v>31</v>
      </c>
      <c r="B12" s="1893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893" t="s">
        <v>46</v>
      </c>
      <c r="S14" s="67" t="s">
        <v>54</v>
      </c>
      <c r="T14" s="1889">
        <v>250592</v>
      </c>
      <c r="U14" s="1895"/>
      <c r="V14" s="1888"/>
    </row>
    <row r="15" spans="1:23" ht="22.5" customHeight="1" x14ac:dyDescent="0.25">
      <c r="A15" s="11" t="s">
        <v>38</v>
      </c>
      <c r="B15" s="1889">
        <v>10405</v>
      </c>
      <c r="C15" s="1888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1893"/>
      <c r="S15" s="67" t="s">
        <v>64</v>
      </c>
      <c r="T15" s="1883">
        <v>10651</v>
      </c>
      <c r="U15" s="1883"/>
      <c r="V15" s="1883"/>
    </row>
    <row r="16" spans="1:23" ht="24.75" customHeight="1" x14ac:dyDescent="0.25">
      <c r="A16" s="11" t="s">
        <v>39</v>
      </c>
      <c r="B16" s="1889">
        <v>244648</v>
      </c>
      <c r="C16" s="1888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1912" t="s">
        <v>55</v>
      </c>
      <c r="S16" s="1912"/>
      <c r="T16" s="1892">
        <f>W12</f>
        <v>64616.3</v>
      </c>
      <c r="U16" s="1892"/>
      <c r="V16" s="1883"/>
    </row>
    <row r="17" spans="1:23" ht="24.75" customHeight="1" x14ac:dyDescent="0.25">
      <c r="A17" s="11" t="s">
        <v>44</v>
      </c>
      <c r="B17" s="1889"/>
      <c r="C17" s="1888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1912" t="s">
        <v>95</v>
      </c>
      <c r="S17" s="1912"/>
      <c r="T17" s="1883">
        <v>2952</v>
      </c>
      <c r="U17" s="1883"/>
      <c r="V17" s="1883"/>
    </row>
    <row r="18" spans="1:23" ht="27" customHeight="1" x14ac:dyDescent="0.25">
      <c r="A18" s="11" t="s">
        <v>40</v>
      </c>
      <c r="B18" s="1887">
        <f>C12</f>
        <v>10280</v>
      </c>
      <c r="C18" s="1888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1912" t="s">
        <v>57</v>
      </c>
      <c r="S18" s="1912"/>
      <c r="T18" s="1883">
        <f>150+100000+52229</f>
        <v>152379</v>
      </c>
      <c r="U18" s="1883"/>
      <c r="V18" s="1883"/>
      <c r="W18" s="1917" t="s">
        <v>96</v>
      </c>
    </row>
    <row r="19" spans="1:23" ht="25.5" customHeight="1" x14ac:dyDescent="0.25">
      <c r="A19" s="11" t="s">
        <v>41</v>
      </c>
      <c r="B19" s="1889">
        <f>B15+B16+B17-B18</f>
        <v>244773</v>
      </c>
      <c r="C19" s="1888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1914" t="s">
        <v>48</v>
      </c>
      <c r="S19" s="49" t="s">
        <v>58</v>
      </c>
      <c r="T19" s="1883">
        <v>147000</v>
      </c>
      <c r="U19" s="1883"/>
      <c r="V19" s="1883"/>
      <c r="W19" s="191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915"/>
      <c r="S20" s="49" t="s">
        <v>59</v>
      </c>
      <c r="T20" s="1883"/>
      <c r="U20" s="1883"/>
      <c r="V20" s="1883"/>
      <c r="W20" s="191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09" t="s">
        <v>83</v>
      </c>
      <c r="S21" s="50" t="s">
        <v>60</v>
      </c>
      <c r="T21" s="1883">
        <v>147500</v>
      </c>
      <c r="U21" s="1883"/>
      <c r="V21" s="1883"/>
      <c r="W21" s="1917"/>
    </row>
    <row r="22" spans="1:23" ht="29.25" customHeight="1" x14ac:dyDescent="0.25">
      <c r="A22" s="10"/>
      <c r="B22" s="1916" t="s">
        <v>49</v>
      </c>
      <c r="C22" s="1907">
        <v>525083</v>
      </c>
      <c r="D22" s="1883">
        <v>147000</v>
      </c>
      <c r="E22" s="1883">
        <v>475410</v>
      </c>
      <c r="F22" s="1883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10"/>
      <c r="S22" s="50" t="s">
        <v>61</v>
      </c>
      <c r="T22" s="1883">
        <v>147000</v>
      </c>
      <c r="U22" s="1883"/>
      <c r="V22" s="1883"/>
      <c r="W22" s="1917"/>
    </row>
    <row r="23" spans="1:23" ht="47.25" customHeight="1" x14ac:dyDescent="0.25">
      <c r="A23" s="10"/>
      <c r="B23" s="1916"/>
      <c r="C23" s="1908"/>
      <c r="D23" s="1883"/>
      <c r="E23" s="1883"/>
      <c r="F23" s="188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893" t="s">
        <v>47</v>
      </c>
      <c r="S23" s="51" t="s">
        <v>62</v>
      </c>
      <c r="T23" s="1882">
        <f>T14+T16+T17-T18-T19-T20-T21+T22</f>
        <v>18281.299999999988</v>
      </c>
      <c r="U23" s="1882"/>
      <c r="V23" s="1882"/>
      <c r="W23" s="1917"/>
    </row>
    <row r="24" spans="1:23" ht="27" customHeight="1" x14ac:dyDescent="0.25">
      <c r="B24" s="1916"/>
      <c r="C24" s="67" t="s">
        <v>46</v>
      </c>
      <c r="D24" s="67" t="s">
        <v>50</v>
      </c>
      <c r="E24" s="67" t="s">
        <v>51</v>
      </c>
      <c r="F24" s="67" t="s">
        <v>52</v>
      </c>
      <c r="R24" s="1893"/>
      <c r="S24" s="51" t="s">
        <v>63</v>
      </c>
      <c r="T24" s="1883">
        <f>T15+T21-T22</f>
        <v>11151</v>
      </c>
      <c r="U24" s="1883"/>
      <c r="V24" s="1883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</row>
    <row r="2" spans="1:23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900" t="s">
        <v>98</v>
      </c>
      <c r="S3" s="1900"/>
      <c r="T3" s="1900"/>
      <c r="U3" s="1900"/>
      <c r="V3" s="1900"/>
      <c r="W3" s="1900"/>
    </row>
    <row r="4" spans="1:23" s="7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2" t="s">
        <v>35</v>
      </c>
      <c r="R4" s="1902"/>
      <c r="S4" s="1903" t="s">
        <v>17</v>
      </c>
      <c r="T4" s="1904"/>
      <c r="U4" s="1905" t="s">
        <v>36</v>
      </c>
      <c r="V4" s="1906"/>
      <c r="W4" s="1896" t="s">
        <v>30</v>
      </c>
    </row>
    <row r="5" spans="1:23" s="78" customFormat="1" ht="25.5" customHeight="1" x14ac:dyDescent="0.25">
      <c r="A5" s="1901"/>
      <c r="B5" s="190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897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893" t="s">
        <v>31</v>
      </c>
      <c r="B12" s="1893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893" t="s">
        <v>46</v>
      </c>
      <c r="S14" s="76" t="s">
        <v>54</v>
      </c>
      <c r="T14" s="1918">
        <v>18281</v>
      </c>
      <c r="U14" s="1926"/>
      <c r="V14" s="1919"/>
    </row>
    <row r="15" spans="1:23" ht="22.5" customHeight="1" x14ac:dyDescent="0.25">
      <c r="A15" s="11" t="s">
        <v>38</v>
      </c>
      <c r="B15" s="1918">
        <v>244773</v>
      </c>
      <c r="C15" s="1919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1893"/>
      <c r="S15" s="76" t="s">
        <v>64</v>
      </c>
      <c r="T15" s="1920">
        <v>11151</v>
      </c>
      <c r="U15" s="1920"/>
      <c r="V15" s="1920"/>
    </row>
    <row r="16" spans="1:23" ht="24.75" customHeight="1" x14ac:dyDescent="0.25">
      <c r="A16" s="11" t="s">
        <v>39</v>
      </c>
      <c r="B16" s="1918">
        <v>100000</v>
      </c>
      <c r="C16" s="1919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1912" t="s">
        <v>55</v>
      </c>
      <c r="S16" s="1912"/>
      <c r="T16" s="1925">
        <f>W12</f>
        <v>215656.24000000002</v>
      </c>
      <c r="U16" s="1925"/>
      <c r="V16" s="1920"/>
    </row>
    <row r="17" spans="1:23" ht="24.75" customHeight="1" x14ac:dyDescent="0.25">
      <c r="A17" s="11" t="s">
        <v>44</v>
      </c>
      <c r="B17" s="1918"/>
      <c r="C17" s="191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912" t="s">
        <v>95</v>
      </c>
      <c r="S17" s="1912"/>
      <c r="T17" s="1920"/>
      <c r="U17" s="1920"/>
      <c r="V17" s="1920"/>
    </row>
    <row r="18" spans="1:23" ht="27" customHeight="1" x14ac:dyDescent="0.25">
      <c r="A18" s="11" t="s">
        <v>40</v>
      </c>
      <c r="B18" s="1922">
        <f>C12</f>
        <v>96864</v>
      </c>
      <c r="C18" s="1919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1912" t="s">
        <v>57</v>
      </c>
      <c r="S18" s="1912"/>
      <c r="T18" s="1920">
        <f>530+100+7000</f>
        <v>7630</v>
      </c>
      <c r="U18" s="1920"/>
      <c r="V18" s="1920"/>
      <c r="W18" s="1917" t="s">
        <v>101</v>
      </c>
    </row>
    <row r="19" spans="1:23" ht="25.5" customHeight="1" x14ac:dyDescent="0.25">
      <c r="A19" s="11" t="s">
        <v>41</v>
      </c>
      <c r="B19" s="1918">
        <f>B15+B16+B17-B18</f>
        <v>247909</v>
      </c>
      <c r="C19" s="1919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1914" t="s">
        <v>48</v>
      </c>
      <c r="S19" s="49" t="s">
        <v>58</v>
      </c>
      <c r="T19" s="1920">
        <v>210000</v>
      </c>
      <c r="U19" s="1920"/>
      <c r="V19" s="1920"/>
      <c r="W19" s="191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915"/>
      <c r="S20" s="49" t="s">
        <v>59</v>
      </c>
      <c r="T20" s="1920"/>
      <c r="U20" s="1920"/>
      <c r="V20" s="1920"/>
      <c r="W20" s="191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09" t="s">
        <v>83</v>
      </c>
      <c r="S21" s="50" t="s">
        <v>60</v>
      </c>
      <c r="T21" s="1920">
        <v>210080</v>
      </c>
      <c r="U21" s="1920"/>
      <c r="V21" s="1920"/>
      <c r="W21" s="1917"/>
    </row>
    <row r="22" spans="1:23" ht="29.25" customHeight="1" x14ac:dyDescent="0.25">
      <c r="A22" s="10"/>
      <c r="B22" s="1916" t="s">
        <v>49</v>
      </c>
      <c r="C22" s="1923">
        <v>853493</v>
      </c>
      <c r="D22" s="1920">
        <v>210000</v>
      </c>
      <c r="E22" s="1920">
        <v>96250</v>
      </c>
      <c r="F22" s="1920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10"/>
      <c r="S22" s="50" t="s">
        <v>61</v>
      </c>
      <c r="T22" s="1920">
        <v>210000</v>
      </c>
      <c r="U22" s="1920"/>
      <c r="V22" s="1920"/>
      <c r="W22" s="1917"/>
    </row>
    <row r="23" spans="1:23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893" t="s">
        <v>47</v>
      </c>
      <c r="S23" s="51" t="s">
        <v>62</v>
      </c>
      <c r="T23" s="1921">
        <f>T14+T16+T17-T18-T19-T20-T21+T22</f>
        <v>16227.24000000002</v>
      </c>
      <c r="U23" s="1921"/>
      <c r="V23" s="1921"/>
      <c r="W23" s="1917"/>
    </row>
    <row r="24" spans="1:23" ht="27" customHeight="1" x14ac:dyDescent="0.25">
      <c r="B24" s="1916"/>
      <c r="C24" s="76" t="s">
        <v>46</v>
      </c>
      <c r="D24" s="76" t="s">
        <v>50</v>
      </c>
      <c r="E24" s="76" t="s">
        <v>51</v>
      </c>
      <c r="F24" s="76" t="s">
        <v>52</v>
      </c>
      <c r="R24" s="1893"/>
      <c r="S24" s="51" t="s">
        <v>63</v>
      </c>
      <c r="T24" s="1920">
        <f>T15+T21-T22</f>
        <v>11231</v>
      </c>
      <c r="U24" s="1920"/>
      <c r="V24" s="192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</row>
    <row r="2" spans="1:23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900" t="s">
        <v>102</v>
      </c>
      <c r="S3" s="1900"/>
      <c r="T3" s="1900"/>
      <c r="U3" s="1900"/>
      <c r="V3" s="1900"/>
      <c r="W3" s="1900"/>
    </row>
    <row r="4" spans="1:23" s="7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2" t="s">
        <v>35</v>
      </c>
      <c r="R4" s="1902"/>
      <c r="S4" s="1903" t="s">
        <v>17</v>
      </c>
      <c r="T4" s="1904"/>
      <c r="U4" s="1905" t="s">
        <v>36</v>
      </c>
      <c r="V4" s="1906"/>
      <c r="W4" s="1896" t="s">
        <v>30</v>
      </c>
    </row>
    <row r="5" spans="1:23" s="78" customFormat="1" ht="25.5" customHeight="1" x14ac:dyDescent="0.25">
      <c r="A5" s="1901"/>
      <c r="B5" s="190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897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893" t="s">
        <v>31</v>
      </c>
      <c r="B12" s="1893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893" t="s">
        <v>46</v>
      </c>
      <c r="S14" s="76" t="s">
        <v>54</v>
      </c>
      <c r="T14" s="1918">
        <v>16227</v>
      </c>
      <c r="U14" s="1926"/>
      <c r="V14" s="1919"/>
    </row>
    <row r="15" spans="1:23" ht="22.5" customHeight="1" x14ac:dyDescent="0.25">
      <c r="A15" s="11" t="s">
        <v>38</v>
      </c>
      <c r="B15" s="1918">
        <v>247909</v>
      </c>
      <c r="C15" s="1919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1893"/>
      <c r="S15" s="76" t="s">
        <v>64</v>
      </c>
      <c r="T15" s="1920">
        <v>11231</v>
      </c>
      <c r="U15" s="1920"/>
      <c r="V15" s="1920"/>
    </row>
    <row r="16" spans="1:23" ht="24.75" customHeight="1" x14ac:dyDescent="0.25">
      <c r="A16" s="11" t="s">
        <v>39</v>
      </c>
      <c r="B16" s="1918">
        <v>111080</v>
      </c>
      <c r="C16" s="1919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1912" t="s">
        <v>55</v>
      </c>
      <c r="S16" s="1912"/>
      <c r="T16" s="1925">
        <f>W12</f>
        <v>111794.26000000001</v>
      </c>
      <c r="U16" s="1925"/>
      <c r="V16" s="1920"/>
    </row>
    <row r="17" spans="1:23" ht="24.75" customHeight="1" x14ac:dyDescent="0.25">
      <c r="A17" s="11" t="s">
        <v>44</v>
      </c>
      <c r="B17" s="1918"/>
      <c r="C17" s="191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912" t="s">
        <v>104</v>
      </c>
      <c r="S17" s="1912"/>
      <c r="T17" s="1920"/>
      <c r="U17" s="1920"/>
      <c r="V17" s="1920"/>
    </row>
    <row r="18" spans="1:23" ht="27" customHeight="1" x14ac:dyDescent="0.25">
      <c r="A18" s="11" t="s">
        <v>40</v>
      </c>
      <c r="B18" s="1922">
        <f>C12</f>
        <v>86936</v>
      </c>
      <c r="C18" s="1919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1912" t="s">
        <v>57</v>
      </c>
      <c r="S18" s="1912"/>
      <c r="T18" s="1920">
        <f>530+380+370</f>
        <v>1280</v>
      </c>
      <c r="U18" s="1920"/>
      <c r="V18" s="1920"/>
      <c r="W18" s="1917" t="s">
        <v>105</v>
      </c>
    </row>
    <row r="19" spans="1:23" ht="25.5" customHeight="1" x14ac:dyDescent="0.25">
      <c r="A19" s="11" t="s">
        <v>41</v>
      </c>
      <c r="B19" s="1918">
        <f>B15+B16+B17-B18</f>
        <v>272053</v>
      </c>
      <c r="C19" s="1919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1914" t="s">
        <v>48</v>
      </c>
      <c r="S19" s="49" t="s">
        <v>58</v>
      </c>
      <c r="T19" s="1920">
        <v>107000</v>
      </c>
      <c r="U19" s="1920"/>
      <c r="V19" s="1920"/>
      <c r="W19" s="191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915"/>
      <c r="S20" s="49" t="s">
        <v>59</v>
      </c>
      <c r="T20" s="1920"/>
      <c r="U20" s="1920"/>
      <c r="V20" s="1920"/>
      <c r="W20" s="191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09" t="s">
        <v>83</v>
      </c>
      <c r="S21" s="50" t="s">
        <v>60</v>
      </c>
      <c r="T21" s="1920">
        <v>107640</v>
      </c>
      <c r="U21" s="1920"/>
      <c r="V21" s="1920"/>
      <c r="W21" s="1917"/>
    </row>
    <row r="22" spans="1:23" ht="29.25" customHeight="1" x14ac:dyDescent="0.25">
      <c r="A22" s="10"/>
      <c r="B22" s="1916" t="s">
        <v>49</v>
      </c>
      <c r="C22" s="1923">
        <v>739743</v>
      </c>
      <c r="D22" s="1920">
        <v>107000</v>
      </c>
      <c r="E22" s="1920">
        <v>186563</v>
      </c>
      <c r="F22" s="1920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10"/>
      <c r="S22" s="50" t="s">
        <v>61</v>
      </c>
      <c r="T22" s="1920">
        <v>107000</v>
      </c>
      <c r="U22" s="1920"/>
      <c r="V22" s="1920"/>
      <c r="W22" s="1917"/>
    </row>
    <row r="23" spans="1:23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893" t="s">
        <v>47</v>
      </c>
      <c r="S23" s="51" t="s">
        <v>62</v>
      </c>
      <c r="T23" s="1921">
        <f>T14+T16+T17-T18-T19-T20-T21+T22</f>
        <v>19101.260000000009</v>
      </c>
      <c r="U23" s="1921"/>
      <c r="V23" s="1921"/>
      <c r="W23" s="1917"/>
    </row>
    <row r="24" spans="1:23" ht="27" customHeight="1" x14ac:dyDescent="0.25">
      <c r="B24" s="1916"/>
      <c r="C24" s="76" t="s">
        <v>46</v>
      </c>
      <c r="D24" s="76" t="s">
        <v>50</v>
      </c>
      <c r="E24" s="76" t="s">
        <v>51</v>
      </c>
      <c r="F24" s="76" t="s">
        <v>52</v>
      </c>
      <c r="R24" s="1893"/>
      <c r="S24" s="51" t="s">
        <v>63</v>
      </c>
      <c r="T24" s="1920">
        <f>T15+T21-T22</f>
        <v>11871</v>
      </c>
      <c r="U24" s="1920"/>
      <c r="V24" s="192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</row>
    <row r="2" spans="1:23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900" t="s">
        <v>106</v>
      </c>
      <c r="S3" s="1900"/>
      <c r="T3" s="1900"/>
      <c r="U3" s="1900"/>
      <c r="V3" s="1900"/>
      <c r="W3" s="1900"/>
    </row>
    <row r="4" spans="1:23" s="7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2" t="s">
        <v>35</v>
      </c>
      <c r="R4" s="1902"/>
      <c r="S4" s="1903" t="s">
        <v>17</v>
      </c>
      <c r="T4" s="1904"/>
      <c r="U4" s="1905" t="s">
        <v>36</v>
      </c>
      <c r="V4" s="1906"/>
      <c r="W4" s="1896" t="s">
        <v>30</v>
      </c>
    </row>
    <row r="5" spans="1:23" s="78" customFormat="1" ht="25.5" customHeight="1" x14ac:dyDescent="0.25">
      <c r="A5" s="1901"/>
      <c r="B5" s="190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897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1893" t="s">
        <v>31</v>
      </c>
      <c r="B12" s="1893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893" t="s">
        <v>46</v>
      </c>
      <c r="S14" s="76" t="s">
        <v>54</v>
      </c>
      <c r="T14" s="1918">
        <v>19101</v>
      </c>
      <c r="U14" s="1926"/>
      <c r="V14" s="1919"/>
    </row>
    <row r="15" spans="1:23" ht="22.5" customHeight="1" x14ac:dyDescent="0.25">
      <c r="A15" s="11" t="s">
        <v>38</v>
      </c>
      <c r="B15" s="1918">
        <v>272053</v>
      </c>
      <c r="C15" s="1919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1893"/>
      <c r="S15" s="76" t="s">
        <v>64</v>
      </c>
      <c r="T15" s="1920">
        <v>11871</v>
      </c>
      <c r="U15" s="1920"/>
      <c r="V15" s="1920"/>
    </row>
    <row r="16" spans="1:23" ht="24.75" customHeight="1" x14ac:dyDescent="0.25">
      <c r="A16" s="11" t="s">
        <v>39</v>
      </c>
      <c r="B16" s="1918">
        <v>397098</v>
      </c>
      <c r="C16" s="1919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1912" t="s">
        <v>55</v>
      </c>
      <c r="S16" s="1912"/>
      <c r="T16" s="1925">
        <f>W12</f>
        <v>200587.31</v>
      </c>
      <c r="U16" s="1925"/>
      <c r="V16" s="1920"/>
    </row>
    <row r="17" spans="1:23" ht="24.75" customHeight="1" x14ac:dyDescent="0.25">
      <c r="A17" s="11" t="s">
        <v>44</v>
      </c>
      <c r="B17" s="1918">
        <v>75965</v>
      </c>
      <c r="C17" s="191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912" t="s">
        <v>107</v>
      </c>
      <c r="S17" s="1912"/>
      <c r="T17" s="1920">
        <v>25500</v>
      </c>
      <c r="U17" s="1920"/>
      <c r="V17" s="1920"/>
    </row>
    <row r="18" spans="1:23" ht="27" customHeight="1" x14ac:dyDescent="0.25">
      <c r="A18" s="11" t="s">
        <v>40</v>
      </c>
      <c r="B18" s="1922">
        <f>C12</f>
        <v>198716</v>
      </c>
      <c r="C18" s="1919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912" t="s">
        <v>57</v>
      </c>
      <c r="S18" s="1912"/>
      <c r="T18" s="1920">
        <f>530+400+343+700+2060+29000</f>
        <v>33033</v>
      </c>
      <c r="U18" s="1920"/>
      <c r="V18" s="1920"/>
      <c r="W18" s="1917" t="s">
        <v>108</v>
      </c>
    </row>
    <row r="19" spans="1:23" ht="25.5" customHeight="1" x14ac:dyDescent="0.25">
      <c r="A19" s="11" t="s">
        <v>41</v>
      </c>
      <c r="B19" s="1918">
        <f>B15+B16+B17-B18</f>
        <v>546400</v>
      </c>
      <c r="C19" s="1919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1914" t="s">
        <v>48</v>
      </c>
      <c r="S19" s="49" t="s">
        <v>58</v>
      </c>
      <c r="T19" s="1920">
        <v>198860</v>
      </c>
      <c r="U19" s="1920"/>
      <c r="V19" s="1920"/>
      <c r="W19" s="191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915"/>
      <c r="S20" s="49" t="s">
        <v>59</v>
      </c>
      <c r="T20" s="1920"/>
      <c r="U20" s="1920"/>
      <c r="V20" s="1920"/>
      <c r="W20" s="191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09" t="s">
        <v>83</v>
      </c>
      <c r="S21" s="50" t="s">
        <v>60</v>
      </c>
      <c r="T21" s="1920">
        <v>198860</v>
      </c>
      <c r="U21" s="1920"/>
      <c r="V21" s="1920"/>
      <c r="W21" s="1917"/>
    </row>
    <row r="22" spans="1:23" ht="29.25" customHeight="1" x14ac:dyDescent="0.25">
      <c r="A22" s="10"/>
      <c r="B22" s="1916" t="s">
        <v>49</v>
      </c>
      <c r="C22" s="1923">
        <v>819306</v>
      </c>
      <c r="D22" s="1920">
        <v>198860</v>
      </c>
      <c r="E22" s="1920">
        <v>455447</v>
      </c>
      <c r="F22" s="1920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10"/>
      <c r="S22" s="50" t="s">
        <v>61</v>
      </c>
      <c r="T22" s="1920">
        <v>198860</v>
      </c>
      <c r="U22" s="1920"/>
      <c r="V22" s="1920"/>
      <c r="W22" s="1917"/>
    </row>
    <row r="23" spans="1:23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893" t="s">
        <v>47</v>
      </c>
      <c r="S23" s="51" t="s">
        <v>62</v>
      </c>
      <c r="T23" s="1921">
        <f>T14+T16+T17-T18-T19-T20-T21+T22</f>
        <v>13295.309999999998</v>
      </c>
      <c r="U23" s="1921"/>
      <c r="V23" s="1921"/>
      <c r="W23" s="1917"/>
    </row>
    <row r="24" spans="1:23" ht="27" customHeight="1" x14ac:dyDescent="0.25">
      <c r="B24" s="1916"/>
      <c r="C24" s="76" t="s">
        <v>46</v>
      </c>
      <c r="D24" s="76" t="s">
        <v>50</v>
      </c>
      <c r="E24" s="76" t="s">
        <v>51</v>
      </c>
      <c r="F24" s="76" t="s">
        <v>52</v>
      </c>
      <c r="R24" s="1893"/>
      <c r="S24" s="51" t="s">
        <v>63</v>
      </c>
      <c r="T24" s="1920">
        <f>T15+T21-T22</f>
        <v>11871</v>
      </c>
      <c r="U24" s="1920"/>
      <c r="V24" s="192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</row>
    <row r="2" spans="1:23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900" t="s">
        <v>109</v>
      </c>
      <c r="S3" s="1900"/>
      <c r="T3" s="1900"/>
      <c r="U3" s="1900"/>
      <c r="V3" s="1900"/>
      <c r="W3" s="1900"/>
    </row>
    <row r="4" spans="1:23" s="7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2" t="s">
        <v>35</v>
      </c>
      <c r="R4" s="1902"/>
      <c r="S4" s="1903" t="s">
        <v>17</v>
      </c>
      <c r="T4" s="1904"/>
      <c r="U4" s="1905" t="s">
        <v>36</v>
      </c>
      <c r="V4" s="1906"/>
      <c r="W4" s="1896" t="s">
        <v>30</v>
      </c>
    </row>
    <row r="5" spans="1:23" s="78" customFormat="1" ht="25.5" customHeight="1" x14ac:dyDescent="0.25">
      <c r="A5" s="1901"/>
      <c r="B5" s="190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897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1893" t="s">
        <v>31</v>
      </c>
      <c r="B12" s="1893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893" t="s">
        <v>46</v>
      </c>
      <c r="S14" s="76" t="s">
        <v>54</v>
      </c>
      <c r="T14" s="1918">
        <v>13295</v>
      </c>
      <c r="U14" s="1926"/>
      <c r="V14" s="1919"/>
    </row>
    <row r="15" spans="1:23" ht="22.5" customHeight="1" x14ac:dyDescent="0.25">
      <c r="A15" s="11" t="s">
        <v>38</v>
      </c>
      <c r="B15" s="1918">
        <v>546400</v>
      </c>
      <c r="C15" s="1919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1893"/>
      <c r="S15" s="76" t="s">
        <v>64</v>
      </c>
      <c r="T15" s="1920">
        <v>11871</v>
      </c>
      <c r="U15" s="1920"/>
      <c r="V15" s="1920"/>
    </row>
    <row r="16" spans="1:23" ht="24.75" customHeight="1" x14ac:dyDescent="0.25">
      <c r="A16" s="11" t="s">
        <v>39</v>
      </c>
      <c r="B16" s="1918"/>
      <c r="C16" s="1919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1912" t="s">
        <v>55</v>
      </c>
      <c r="S16" s="1912"/>
      <c r="T16" s="1925">
        <f>W12</f>
        <v>434860.18500000006</v>
      </c>
      <c r="U16" s="1925"/>
      <c r="V16" s="1920"/>
    </row>
    <row r="17" spans="1:23" ht="24.75" customHeight="1" x14ac:dyDescent="0.25">
      <c r="A17" s="11" t="s">
        <v>44</v>
      </c>
      <c r="B17" s="1918"/>
      <c r="C17" s="191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912" t="s">
        <v>95</v>
      </c>
      <c r="S17" s="1912"/>
      <c r="T17" s="1920">
        <v>9221</v>
      </c>
      <c r="U17" s="1920"/>
      <c r="V17" s="1920"/>
    </row>
    <row r="18" spans="1:23" ht="27" customHeight="1" x14ac:dyDescent="0.25">
      <c r="A18" s="11" t="s">
        <v>40</v>
      </c>
      <c r="B18" s="1922">
        <f>C12</f>
        <v>290066</v>
      </c>
      <c r="C18" s="1919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1912" t="s">
        <v>57</v>
      </c>
      <c r="S18" s="1912"/>
      <c r="T18" s="1920">
        <f>530+1350+1005+73117</f>
        <v>76002</v>
      </c>
      <c r="U18" s="1920"/>
      <c r="V18" s="1920"/>
      <c r="W18" s="1917" t="s">
        <v>110</v>
      </c>
    </row>
    <row r="19" spans="1:23" ht="25.5" customHeight="1" x14ac:dyDescent="0.25">
      <c r="A19" s="11" t="s">
        <v>41</v>
      </c>
      <c r="B19" s="1918">
        <f>B15+B16+B17-B18</f>
        <v>256334</v>
      </c>
      <c r="C19" s="1919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1914" t="s">
        <v>48</v>
      </c>
      <c r="S19" s="49" t="s">
        <v>58</v>
      </c>
      <c r="T19" s="1920"/>
      <c r="U19" s="1920"/>
      <c r="V19" s="1920"/>
      <c r="W19" s="191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915"/>
      <c r="S20" s="49" t="s">
        <v>59</v>
      </c>
      <c r="T20" s="1920"/>
      <c r="U20" s="1920"/>
      <c r="V20" s="1920"/>
      <c r="W20" s="191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09" t="s">
        <v>83</v>
      </c>
      <c r="S21" s="50" t="s">
        <v>60</v>
      </c>
      <c r="T21" s="1920"/>
      <c r="U21" s="1920"/>
      <c r="V21" s="1920"/>
      <c r="W21" s="1917"/>
    </row>
    <row r="22" spans="1:23" ht="29.25" customHeight="1" x14ac:dyDescent="0.25">
      <c r="A22" s="10"/>
      <c r="B22" s="1916" t="s">
        <v>49</v>
      </c>
      <c r="C22" s="1923">
        <v>1075893</v>
      </c>
      <c r="D22" s="1920"/>
      <c r="E22" s="1920"/>
      <c r="F22" s="1920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10"/>
      <c r="S22" s="50" t="s">
        <v>61</v>
      </c>
      <c r="T22" s="1920"/>
      <c r="U22" s="1920"/>
      <c r="V22" s="1920"/>
      <c r="W22" s="1917"/>
    </row>
    <row r="23" spans="1:23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893" t="s">
        <v>47</v>
      </c>
      <c r="S23" s="51" t="s">
        <v>62</v>
      </c>
      <c r="T23" s="1921">
        <f>T14+T16+T17-T18-T19-T20-T21+T22</f>
        <v>381374.18500000006</v>
      </c>
      <c r="U23" s="1921"/>
      <c r="V23" s="1921"/>
      <c r="W23" s="1917"/>
    </row>
    <row r="24" spans="1:23" ht="27" customHeight="1" x14ac:dyDescent="0.25">
      <c r="B24" s="1916"/>
      <c r="C24" s="76" t="s">
        <v>46</v>
      </c>
      <c r="D24" s="76" t="s">
        <v>50</v>
      </c>
      <c r="E24" s="76" t="s">
        <v>51</v>
      </c>
      <c r="F24" s="76" t="s">
        <v>52</v>
      </c>
      <c r="R24" s="1893"/>
      <c r="S24" s="51" t="s">
        <v>63</v>
      </c>
      <c r="T24" s="1920">
        <f>T15+T21-T22</f>
        <v>11871</v>
      </c>
      <c r="U24" s="1920"/>
      <c r="V24" s="192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</row>
    <row r="2" spans="1:23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900" t="s">
        <v>111</v>
      </c>
      <c r="S3" s="1900"/>
      <c r="T3" s="1900"/>
      <c r="U3" s="1900"/>
      <c r="V3" s="1900"/>
      <c r="W3" s="1900"/>
    </row>
    <row r="4" spans="1:23" s="7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2" t="s">
        <v>35</v>
      </c>
      <c r="R4" s="1902"/>
      <c r="S4" s="1903" t="s">
        <v>17</v>
      </c>
      <c r="T4" s="1904"/>
      <c r="U4" s="1905" t="s">
        <v>36</v>
      </c>
      <c r="V4" s="1906"/>
      <c r="W4" s="1896" t="s">
        <v>30</v>
      </c>
    </row>
    <row r="5" spans="1:23" s="78" customFormat="1" ht="25.5" customHeight="1" x14ac:dyDescent="0.25">
      <c r="A5" s="1901"/>
      <c r="B5" s="190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897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1893" t="s">
        <v>31</v>
      </c>
      <c r="B12" s="1893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893" t="s">
        <v>46</v>
      </c>
      <c r="S14" s="76" t="s">
        <v>54</v>
      </c>
      <c r="T14" s="1918">
        <v>381374</v>
      </c>
      <c r="U14" s="1926"/>
      <c r="V14" s="1919"/>
    </row>
    <row r="15" spans="1:23" ht="22.5" customHeight="1" x14ac:dyDescent="0.25">
      <c r="A15" s="11" t="s">
        <v>38</v>
      </c>
      <c r="B15" s="1918">
        <v>256334</v>
      </c>
      <c r="C15" s="1919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1893"/>
      <c r="S15" s="76" t="s">
        <v>64</v>
      </c>
      <c r="T15" s="1920">
        <v>11871</v>
      </c>
      <c r="U15" s="1920"/>
      <c r="V15" s="1920"/>
    </row>
    <row r="16" spans="1:23" ht="24.75" customHeight="1" x14ac:dyDescent="0.25">
      <c r="A16" s="11" t="s">
        <v>39</v>
      </c>
      <c r="B16" s="1918">
        <v>215000</v>
      </c>
      <c r="C16" s="1919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1912" t="s">
        <v>55</v>
      </c>
      <c r="S16" s="1912"/>
      <c r="T16" s="1925">
        <f>W12</f>
        <v>191169.66999999998</v>
      </c>
      <c r="U16" s="1925"/>
      <c r="V16" s="1920"/>
    </row>
    <row r="17" spans="1:23" ht="24.75" customHeight="1" x14ac:dyDescent="0.25">
      <c r="A17" s="11" t="s">
        <v>44</v>
      </c>
      <c r="B17" s="1918"/>
      <c r="C17" s="191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912" t="s">
        <v>104</v>
      </c>
      <c r="S17" s="1912"/>
      <c r="T17" s="1920"/>
      <c r="U17" s="1920"/>
      <c r="V17" s="1920"/>
    </row>
    <row r="18" spans="1:23" ht="27" customHeight="1" x14ac:dyDescent="0.25">
      <c r="A18" s="11" t="s">
        <v>40</v>
      </c>
      <c r="B18" s="1922">
        <f>C12</f>
        <v>124412</v>
      </c>
      <c r="C18" s="1919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912" t="s">
        <v>57</v>
      </c>
      <c r="S18" s="1912"/>
      <c r="T18" s="1920">
        <f>530+10050</f>
        <v>10580</v>
      </c>
      <c r="U18" s="1920"/>
      <c r="V18" s="1920"/>
      <c r="W18" s="1917" t="s">
        <v>112</v>
      </c>
    </row>
    <row r="19" spans="1:23" ht="25.5" customHeight="1" x14ac:dyDescent="0.25">
      <c r="A19" s="11" t="s">
        <v>41</v>
      </c>
      <c r="B19" s="1918">
        <f>B15+B16+B17-B18</f>
        <v>346922</v>
      </c>
      <c r="C19" s="1919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1914" t="s">
        <v>48</v>
      </c>
      <c r="S19" s="49" t="s">
        <v>58</v>
      </c>
      <c r="T19" s="1920">
        <v>529000</v>
      </c>
      <c r="U19" s="1920"/>
      <c r="V19" s="1920"/>
      <c r="W19" s="191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915"/>
      <c r="S20" s="49" t="s">
        <v>59</v>
      </c>
      <c r="T20" s="1920"/>
      <c r="U20" s="1920"/>
      <c r="V20" s="1920"/>
      <c r="W20" s="191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09" t="s">
        <v>83</v>
      </c>
      <c r="S21" s="50" t="s">
        <v>60</v>
      </c>
      <c r="T21" s="1920">
        <v>542540</v>
      </c>
      <c r="U21" s="1920"/>
      <c r="V21" s="1920"/>
      <c r="W21" s="1917"/>
    </row>
    <row r="22" spans="1:23" ht="29.25" customHeight="1" x14ac:dyDescent="0.25">
      <c r="A22" s="10"/>
      <c r="B22" s="1916" t="s">
        <v>49</v>
      </c>
      <c r="C22" s="1923">
        <v>1075893</v>
      </c>
      <c r="D22" s="1920">
        <v>529000</v>
      </c>
      <c r="E22" s="1920">
        <v>261868</v>
      </c>
      <c r="F22" s="1920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10"/>
      <c r="S22" s="50" t="s">
        <v>61</v>
      </c>
      <c r="T22" s="1920">
        <v>529000</v>
      </c>
      <c r="U22" s="1920"/>
      <c r="V22" s="1920"/>
      <c r="W22" s="1917"/>
    </row>
    <row r="23" spans="1:23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893" t="s">
        <v>47</v>
      </c>
      <c r="S23" s="51" t="s">
        <v>62</v>
      </c>
      <c r="T23" s="1921">
        <f>T14+T16+T17-T18-T19-T20-T21+T22</f>
        <v>19423.669999999925</v>
      </c>
      <c r="U23" s="1921"/>
      <c r="V23" s="1921"/>
      <c r="W23" s="1917"/>
    </row>
    <row r="24" spans="1:23" ht="27" customHeight="1" x14ac:dyDescent="0.25">
      <c r="B24" s="1916"/>
      <c r="C24" s="76" t="s">
        <v>46</v>
      </c>
      <c r="D24" s="76" t="s">
        <v>50</v>
      </c>
      <c r="E24" s="76" t="s">
        <v>51</v>
      </c>
      <c r="F24" s="76" t="s">
        <v>52</v>
      </c>
      <c r="R24" s="1893"/>
      <c r="S24" s="51" t="s">
        <v>63</v>
      </c>
      <c r="T24" s="1920">
        <f>T15+T21-T22</f>
        <v>25411</v>
      </c>
      <c r="U24" s="1920"/>
      <c r="V24" s="192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00" t="s">
        <v>113</v>
      </c>
      <c r="U3" s="1900"/>
      <c r="V3" s="1900"/>
      <c r="W3" s="1900"/>
      <c r="X3" s="1900"/>
      <c r="Y3" s="1900"/>
    </row>
    <row r="4" spans="1:25" s="7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78" customFormat="1" ht="25.5" customHeight="1" x14ac:dyDescent="0.25">
      <c r="A5" s="1901"/>
      <c r="B5" s="190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93" t="s">
        <v>46</v>
      </c>
      <c r="U14" s="76" t="s">
        <v>54</v>
      </c>
      <c r="V14" s="1918">
        <v>19424</v>
      </c>
      <c r="W14" s="1926"/>
      <c r="X14" s="1919"/>
    </row>
    <row r="15" spans="1:25" ht="22.5" customHeight="1" x14ac:dyDescent="0.25">
      <c r="A15" s="11" t="s">
        <v>38</v>
      </c>
      <c r="B15" s="1918">
        <v>346922</v>
      </c>
      <c r="C15" s="1919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1893"/>
      <c r="U15" s="76" t="s">
        <v>64</v>
      </c>
      <c r="V15" s="1920">
        <v>25411</v>
      </c>
      <c r="W15" s="1920"/>
      <c r="X15" s="1920"/>
    </row>
    <row r="16" spans="1:25" ht="24.75" customHeight="1" x14ac:dyDescent="0.25">
      <c r="A16" s="11" t="s">
        <v>39</v>
      </c>
      <c r="B16" s="1918">
        <v>290000</v>
      </c>
      <c r="C16" s="1919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1912" t="s">
        <v>55</v>
      </c>
      <c r="U16" s="1912"/>
      <c r="V16" s="1925">
        <f>Y12</f>
        <v>391160.15250000003</v>
      </c>
      <c r="W16" s="1925"/>
      <c r="X16" s="1920"/>
    </row>
    <row r="17" spans="1:25" ht="33" customHeight="1" x14ac:dyDescent="0.25">
      <c r="A17" s="85" t="s">
        <v>44</v>
      </c>
      <c r="B17" s="1918"/>
      <c r="C17" s="191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912" t="s">
        <v>104</v>
      </c>
      <c r="U17" s="1912"/>
      <c r="V17" s="1920"/>
      <c r="W17" s="1920"/>
      <c r="X17" s="1920"/>
    </row>
    <row r="18" spans="1:25" ht="27" customHeight="1" x14ac:dyDescent="0.25">
      <c r="A18" s="11" t="s">
        <v>40</v>
      </c>
      <c r="B18" s="1922">
        <f>C12</f>
        <v>361049</v>
      </c>
      <c r="C18" s="1919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1912" t="s">
        <v>57</v>
      </c>
      <c r="U18" s="1912"/>
      <c r="V18" s="1920">
        <f>530+2288</f>
        <v>2818</v>
      </c>
      <c r="W18" s="1920"/>
      <c r="X18" s="1920"/>
      <c r="Y18" s="1917" t="s">
        <v>115</v>
      </c>
    </row>
    <row r="19" spans="1:25" ht="25.5" customHeight="1" x14ac:dyDescent="0.25">
      <c r="A19" s="11" t="s">
        <v>41</v>
      </c>
      <c r="B19" s="1918">
        <f>B15+B16+B17-B18</f>
        <v>275873</v>
      </c>
      <c r="C19" s="1919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1914" t="s">
        <v>48</v>
      </c>
      <c r="U19" s="49" t="s">
        <v>58</v>
      </c>
      <c r="V19" s="1920">
        <v>392740</v>
      </c>
      <c r="W19" s="1920"/>
      <c r="X19" s="1920"/>
      <c r="Y19" s="191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1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>
        <v>379740</v>
      </c>
      <c r="W21" s="1920"/>
      <c r="X21" s="1920"/>
      <c r="Y21" s="1917"/>
    </row>
    <row r="22" spans="1:25" ht="29.25" customHeight="1" x14ac:dyDescent="0.25">
      <c r="A22" s="10"/>
      <c r="B22" s="1916" t="s">
        <v>49</v>
      </c>
      <c r="C22" s="1923">
        <v>808761</v>
      </c>
      <c r="D22" s="1920">
        <v>392740</v>
      </c>
      <c r="E22" s="1920">
        <v>296300</v>
      </c>
      <c r="F22" s="1920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10"/>
      <c r="U22" s="50" t="s">
        <v>61</v>
      </c>
      <c r="V22" s="1920">
        <v>392740</v>
      </c>
      <c r="W22" s="1920"/>
      <c r="X22" s="1920"/>
      <c r="Y22" s="191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28026.152500000026</v>
      </c>
      <c r="W23" s="1921"/>
      <c r="X23" s="1921"/>
      <c r="Y23" s="1917"/>
    </row>
    <row r="24" spans="1:25" ht="27" customHeight="1" x14ac:dyDescent="0.25">
      <c r="B24" s="1916"/>
      <c r="C24" s="76" t="s">
        <v>46</v>
      </c>
      <c r="D24" s="76" t="s">
        <v>50</v>
      </c>
      <c r="E24" s="76" t="s">
        <v>51</v>
      </c>
      <c r="F24" s="76" t="s">
        <v>52</v>
      </c>
      <c r="T24" s="1893"/>
      <c r="U24" s="51" t="s">
        <v>63</v>
      </c>
      <c r="V24" s="1920">
        <f>V15+V21-V22</f>
        <v>12411</v>
      </c>
      <c r="W24" s="1920"/>
      <c r="X24" s="1920"/>
    </row>
  </sheetData>
  <mergeCells count="48"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B6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00" t="s">
        <v>116</v>
      </c>
      <c r="U3" s="1900"/>
      <c r="V3" s="1900"/>
      <c r="W3" s="1900"/>
      <c r="X3" s="1900"/>
      <c r="Y3" s="1900"/>
    </row>
    <row r="4" spans="1:25" s="7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78" customFormat="1" ht="25.5" customHeight="1" x14ac:dyDescent="0.25">
      <c r="A5" s="1901"/>
      <c r="B5" s="190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93" t="s">
        <v>46</v>
      </c>
      <c r="U14" s="76" t="s">
        <v>54</v>
      </c>
      <c r="V14" s="1918">
        <v>28026</v>
      </c>
      <c r="W14" s="1926"/>
      <c r="X14" s="1919"/>
    </row>
    <row r="15" spans="1:25" ht="22.5" customHeight="1" x14ac:dyDescent="0.25">
      <c r="A15" s="11" t="s">
        <v>38</v>
      </c>
      <c r="B15" s="1918">
        <v>275873</v>
      </c>
      <c r="C15" s="1919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1893"/>
      <c r="U15" s="76" t="s">
        <v>64</v>
      </c>
      <c r="V15" s="1920">
        <v>12411</v>
      </c>
      <c r="W15" s="1920"/>
      <c r="X15" s="1920"/>
    </row>
    <row r="16" spans="1:25" ht="24.75" customHeight="1" x14ac:dyDescent="0.25">
      <c r="A16" s="11" t="s">
        <v>39</v>
      </c>
      <c r="B16" s="1918">
        <v>100000</v>
      </c>
      <c r="C16" s="1919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1912" t="s">
        <v>55</v>
      </c>
      <c r="U16" s="1912"/>
      <c r="V16" s="1925">
        <f>Y12</f>
        <v>158564.51250000001</v>
      </c>
      <c r="W16" s="1925"/>
      <c r="X16" s="1920"/>
    </row>
    <row r="17" spans="1:25" ht="33" customHeight="1" x14ac:dyDescent="0.25">
      <c r="A17" s="85" t="s">
        <v>44</v>
      </c>
      <c r="B17" s="1918"/>
      <c r="C17" s="191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912" t="s">
        <v>104</v>
      </c>
      <c r="U17" s="1912"/>
      <c r="V17" s="1920"/>
      <c r="W17" s="1920"/>
      <c r="X17" s="1920"/>
    </row>
    <row r="18" spans="1:25" ht="27" customHeight="1" x14ac:dyDescent="0.25">
      <c r="A18" s="11" t="s">
        <v>40</v>
      </c>
      <c r="B18" s="1922">
        <f>C12</f>
        <v>96745</v>
      </c>
      <c r="C18" s="1919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1912" t="s">
        <v>57</v>
      </c>
      <c r="U18" s="1912"/>
      <c r="V18" s="1920">
        <f>530+100+100</f>
        <v>730</v>
      </c>
      <c r="W18" s="1920"/>
      <c r="X18" s="1920"/>
      <c r="Y18" s="1917" t="s">
        <v>117</v>
      </c>
    </row>
    <row r="19" spans="1:25" ht="25.5" customHeight="1" x14ac:dyDescent="0.25">
      <c r="A19" s="11" t="s">
        <v>41</v>
      </c>
      <c r="B19" s="1918">
        <f>B15+B16+B17-B18</f>
        <v>279128</v>
      </c>
      <c r="C19" s="1919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914" t="s">
        <v>48</v>
      </c>
      <c r="U19" s="49" t="s">
        <v>58</v>
      </c>
      <c r="V19" s="1920">
        <v>172500</v>
      </c>
      <c r="W19" s="1920"/>
      <c r="X19" s="1920"/>
      <c r="Y19" s="191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1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>
        <v>172620</v>
      </c>
      <c r="W21" s="1920"/>
      <c r="X21" s="1920"/>
      <c r="Y21" s="1917"/>
    </row>
    <row r="22" spans="1:25" ht="29.25" customHeight="1" x14ac:dyDescent="0.25">
      <c r="A22" s="10"/>
      <c r="B22" s="1916" t="s">
        <v>49</v>
      </c>
      <c r="C22" s="1923">
        <v>712321</v>
      </c>
      <c r="D22" s="1920">
        <v>172500</v>
      </c>
      <c r="E22" s="1920">
        <v>96250</v>
      </c>
      <c r="F22" s="1920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10"/>
      <c r="U22" s="50" t="s">
        <v>61</v>
      </c>
      <c r="V22" s="1920">
        <v>172500</v>
      </c>
      <c r="W22" s="1920"/>
      <c r="X22" s="1920"/>
      <c r="Y22" s="191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13240.512500000012</v>
      </c>
      <c r="W23" s="1921"/>
      <c r="X23" s="1921"/>
      <c r="Y23" s="1917"/>
    </row>
    <row r="24" spans="1:25" ht="27" customHeight="1" x14ac:dyDescent="0.25">
      <c r="B24" s="1916"/>
      <c r="C24" s="76" t="s">
        <v>46</v>
      </c>
      <c r="D24" s="76" t="s">
        <v>50</v>
      </c>
      <c r="E24" s="76" t="s">
        <v>51</v>
      </c>
      <c r="F24" s="76" t="s">
        <v>52</v>
      </c>
      <c r="T24" s="1893"/>
      <c r="U24" s="51" t="s">
        <v>63</v>
      </c>
      <c r="V24" s="1920">
        <f>V15+V21-V22</f>
        <v>12531</v>
      </c>
      <c r="W24" s="1920"/>
      <c r="X24" s="192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00" t="s">
        <v>118</v>
      </c>
      <c r="U3" s="1900"/>
      <c r="V3" s="1900"/>
      <c r="W3" s="1900"/>
      <c r="X3" s="1900"/>
      <c r="Y3" s="1900"/>
    </row>
    <row r="4" spans="1:25" s="7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78" customFormat="1" ht="25.5" customHeight="1" x14ac:dyDescent="0.25">
      <c r="A5" s="1901"/>
      <c r="B5" s="190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93" t="s">
        <v>46</v>
      </c>
      <c r="U14" s="76" t="s">
        <v>54</v>
      </c>
      <c r="V14" s="1918">
        <v>13241</v>
      </c>
      <c r="W14" s="1926"/>
      <c r="X14" s="1919"/>
    </row>
    <row r="15" spans="1:25" ht="22.5" customHeight="1" x14ac:dyDescent="0.25">
      <c r="A15" s="11" t="s">
        <v>38</v>
      </c>
      <c r="B15" s="1918">
        <v>279128</v>
      </c>
      <c r="C15" s="1919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893"/>
      <c r="U15" s="76" t="s">
        <v>64</v>
      </c>
      <c r="V15" s="1920">
        <v>12531</v>
      </c>
      <c r="W15" s="1920"/>
      <c r="X15" s="1920"/>
    </row>
    <row r="16" spans="1:25" ht="24.75" customHeight="1" x14ac:dyDescent="0.25">
      <c r="A16" s="11" t="s">
        <v>39</v>
      </c>
      <c r="B16" s="1918">
        <v>71186</v>
      </c>
      <c r="C16" s="1919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912" t="s">
        <v>55</v>
      </c>
      <c r="U16" s="1912"/>
      <c r="V16" s="1925">
        <f>Y12</f>
        <v>188788.4425</v>
      </c>
      <c r="W16" s="1925"/>
      <c r="X16" s="1920"/>
    </row>
    <row r="17" spans="1:25" ht="33" customHeight="1" x14ac:dyDescent="0.25">
      <c r="A17" s="85" t="s">
        <v>44</v>
      </c>
      <c r="B17" s="1918"/>
      <c r="C17" s="191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912" t="s">
        <v>104</v>
      </c>
      <c r="U17" s="1912"/>
      <c r="V17" s="1920"/>
      <c r="W17" s="1920"/>
      <c r="X17" s="1920"/>
    </row>
    <row r="18" spans="1:25" ht="27" customHeight="1" x14ac:dyDescent="0.25">
      <c r="A18" s="11" t="s">
        <v>40</v>
      </c>
      <c r="B18" s="1922">
        <f>C12</f>
        <v>166893</v>
      </c>
      <c r="C18" s="1919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912" t="s">
        <v>57</v>
      </c>
      <c r="U18" s="1912"/>
      <c r="V18" s="1920">
        <v>530</v>
      </c>
      <c r="W18" s="1920"/>
      <c r="X18" s="1920"/>
      <c r="Y18" s="1917" t="s">
        <v>103</v>
      </c>
    </row>
    <row r="19" spans="1:25" ht="25.5" customHeight="1" x14ac:dyDescent="0.25">
      <c r="A19" s="11" t="s">
        <v>41</v>
      </c>
      <c r="B19" s="1918">
        <f>B15+B16+B17-B18</f>
        <v>183421</v>
      </c>
      <c r="C19" s="1919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914" t="s">
        <v>48</v>
      </c>
      <c r="U19" s="49" t="s">
        <v>58</v>
      </c>
      <c r="V19" s="1920">
        <v>182500</v>
      </c>
      <c r="W19" s="1920"/>
      <c r="X19" s="1920"/>
      <c r="Y19" s="191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1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>
        <v>182800</v>
      </c>
      <c r="W21" s="1920"/>
      <c r="X21" s="1920"/>
      <c r="Y21" s="1917"/>
    </row>
    <row r="22" spans="1:25" ht="29.25" customHeight="1" x14ac:dyDescent="0.25">
      <c r="A22" s="10"/>
      <c r="B22" s="1916" t="s">
        <v>49</v>
      </c>
      <c r="C22" s="1923">
        <v>636071</v>
      </c>
      <c r="D22" s="1920">
        <v>182500</v>
      </c>
      <c r="E22" s="1920">
        <v>102417</v>
      </c>
      <c r="F22" s="1920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10"/>
      <c r="U22" s="50" t="s">
        <v>61</v>
      </c>
      <c r="V22" s="1920">
        <v>182500</v>
      </c>
      <c r="W22" s="1920"/>
      <c r="X22" s="1920"/>
      <c r="Y22" s="191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18699.442500000005</v>
      </c>
      <c r="W23" s="1921"/>
      <c r="X23" s="1921"/>
      <c r="Y23" s="1917"/>
    </row>
    <row r="24" spans="1:25" ht="27" customHeight="1" x14ac:dyDescent="0.25">
      <c r="B24" s="1916"/>
      <c r="C24" s="76" t="s">
        <v>46</v>
      </c>
      <c r="D24" s="76" t="s">
        <v>50</v>
      </c>
      <c r="E24" s="76" t="s">
        <v>51</v>
      </c>
      <c r="F24" s="76" t="s">
        <v>52</v>
      </c>
      <c r="T24" s="1893"/>
      <c r="U24" s="51" t="s">
        <v>63</v>
      </c>
      <c r="V24" s="1920">
        <f>V15+V21-V22</f>
        <v>12831</v>
      </c>
      <c r="W24" s="1920"/>
      <c r="X24" s="192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00" t="s">
        <v>119</v>
      </c>
      <c r="U3" s="1900"/>
      <c r="V3" s="1900"/>
      <c r="W3" s="1900"/>
      <c r="X3" s="1900"/>
      <c r="Y3" s="1900"/>
    </row>
    <row r="4" spans="1:25" s="7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78" customFormat="1" ht="25.5" customHeight="1" x14ac:dyDescent="0.25">
      <c r="A5" s="1901"/>
      <c r="B5" s="190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93" t="s">
        <v>46</v>
      </c>
      <c r="U14" s="76" t="s">
        <v>54</v>
      </c>
      <c r="V14" s="1918">
        <v>18699</v>
      </c>
      <c r="W14" s="1926"/>
      <c r="X14" s="1919"/>
    </row>
    <row r="15" spans="1:25" ht="22.5" customHeight="1" x14ac:dyDescent="0.25">
      <c r="A15" s="11" t="s">
        <v>38</v>
      </c>
      <c r="B15" s="1918">
        <v>183421</v>
      </c>
      <c r="C15" s="1919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893"/>
      <c r="U15" s="76" t="s">
        <v>64</v>
      </c>
      <c r="V15" s="1920">
        <v>12831</v>
      </c>
      <c r="W15" s="1920"/>
      <c r="X15" s="1920"/>
    </row>
    <row r="16" spans="1:25" ht="24.75" customHeight="1" x14ac:dyDescent="0.25">
      <c r="A16" s="11" t="s">
        <v>39</v>
      </c>
      <c r="B16" s="1918"/>
      <c r="C16" s="1919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1912" t="s">
        <v>55</v>
      </c>
      <c r="U16" s="1912"/>
      <c r="V16" s="1925">
        <f>Y12</f>
        <v>99650.455000000002</v>
      </c>
      <c r="W16" s="1925"/>
      <c r="X16" s="1920"/>
    </row>
    <row r="17" spans="1:25" ht="33" customHeight="1" x14ac:dyDescent="0.25">
      <c r="A17" s="85" t="s">
        <v>44</v>
      </c>
      <c r="B17" s="1918">
        <v>157859</v>
      </c>
      <c r="C17" s="191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912" t="s">
        <v>104</v>
      </c>
      <c r="U17" s="1912"/>
      <c r="V17" s="1920"/>
      <c r="W17" s="1920"/>
      <c r="X17" s="1920"/>
    </row>
    <row r="18" spans="1:25" ht="27" customHeight="1" x14ac:dyDescent="0.25">
      <c r="A18" s="11" t="s">
        <v>40</v>
      </c>
      <c r="B18" s="1922">
        <f>C12</f>
        <v>100238</v>
      </c>
      <c r="C18" s="1919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912" t="s">
        <v>57</v>
      </c>
      <c r="U18" s="1912"/>
      <c r="V18" s="1920">
        <v>530</v>
      </c>
      <c r="W18" s="1920"/>
      <c r="X18" s="1920"/>
      <c r="Y18" s="1917" t="s">
        <v>103</v>
      </c>
    </row>
    <row r="19" spans="1:25" ht="25.5" customHeight="1" x14ac:dyDescent="0.25">
      <c r="A19" s="11" t="s">
        <v>41</v>
      </c>
      <c r="B19" s="1918">
        <f>B15+B16+B17-B18</f>
        <v>241042</v>
      </c>
      <c r="C19" s="1919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914" t="s">
        <v>48</v>
      </c>
      <c r="U19" s="49" t="s">
        <v>58</v>
      </c>
      <c r="V19" s="1920"/>
      <c r="W19" s="1920"/>
      <c r="X19" s="1920"/>
      <c r="Y19" s="191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1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/>
      <c r="W21" s="1920"/>
      <c r="X21" s="1920"/>
      <c r="Y21" s="1917"/>
    </row>
    <row r="22" spans="1:25" ht="29.25" customHeight="1" x14ac:dyDescent="0.25">
      <c r="A22" s="10"/>
      <c r="B22" s="1916" t="s">
        <v>49</v>
      </c>
      <c r="C22" s="1923">
        <v>555988</v>
      </c>
      <c r="D22" s="1920"/>
      <c r="E22" s="1920"/>
      <c r="F22" s="1920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10"/>
      <c r="U22" s="50" t="s">
        <v>61</v>
      </c>
      <c r="V22" s="1920"/>
      <c r="W22" s="1920"/>
      <c r="X22" s="1920"/>
      <c r="Y22" s="191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117819.455</v>
      </c>
      <c r="W23" s="1921"/>
      <c r="X23" s="1921"/>
      <c r="Y23" s="1917"/>
    </row>
    <row r="24" spans="1:25" ht="27" customHeight="1" x14ac:dyDescent="0.25">
      <c r="B24" s="1916"/>
      <c r="C24" s="76" t="s">
        <v>46</v>
      </c>
      <c r="D24" s="76" t="s">
        <v>50</v>
      </c>
      <c r="E24" s="76" t="s">
        <v>51</v>
      </c>
      <c r="F24" s="76" t="s">
        <v>52</v>
      </c>
      <c r="T24" s="1893"/>
      <c r="U24" s="51" t="s">
        <v>63</v>
      </c>
      <c r="V24" s="1920">
        <f>V15+V21-V22</f>
        <v>12831</v>
      </c>
      <c r="W24" s="1920"/>
      <c r="X24" s="192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00" t="s">
        <v>120</v>
      </c>
      <c r="U3" s="1900"/>
      <c r="V3" s="1900"/>
      <c r="W3" s="1900"/>
      <c r="X3" s="1900"/>
      <c r="Y3" s="1900"/>
    </row>
    <row r="4" spans="1:25" s="7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78" customFormat="1" ht="25.5" customHeight="1" x14ac:dyDescent="0.25">
      <c r="A5" s="1901"/>
      <c r="B5" s="190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93" t="s">
        <v>46</v>
      </c>
      <c r="U14" s="76" t="s">
        <v>54</v>
      </c>
      <c r="V14" s="1918">
        <v>117819</v>
      </c>
      <c r="W14" s="1926"/>
      <c r="X14" s="1919"/>
    </row>
    <row r="15" spans="1:25" ht="22.5" customHeight="1" x14ac:dyDescent="0.25">
      <c r="A15" s="11" t="s">
        <v>38</v>
      </c>
      <c r="B15" s="1918">
        <v>241042</v>
      </c>
      <c r="C15" s="1919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893"/>
      <c r="U15" s="76" t="s">
        <v>64</v>
      </c>
      <c r="V15" s="1920">
        <v>12831</v>
      </c>
      <c r="W15" s="1920"/>
      <c r="X15" s="1920"/>
    </row>
    <row r="16" spans="1:25" ht="24.75" customHeight="1" x14ac:dyDescent="0.25">
      <c r="A16" s="11" t="s">
        <v>39</v>
      </c>
      <c r="B16" s="1918">
        <v>230000</v>
      </c>
      <c r="C16" s="1919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1912" t="s">
        <v>55</v>
      </c>
      <c r="U16" s="1912"/>
      <c r="V16" s="1925">
        <f>Y12</f>
        <v>154969.79250000001</v>
      </c>
      <c r="W16" s="1925"/>
      <c r="X16" s="1920"/>
    </row>
    <row r="17" spans="1:25" ht="33" customHeight="1" x14ac:dyDescent="0.25">
      <c r="A17" s="85" t="s">
        <v>44</v>
      </c>
      <c r="B17" s="1918"/>
      <c r="C17" s="191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912" t="s">
        <v>104</v>
      </c>
      <c r="U17" s="1912"/>
      <c r="V17" s="1920"/>
      <c r="W17" s="1920"/>
      <c r="X17" s="1920"/>
    </row>
    <row r="18" spans="1:25" ht="27" customHeight="1" x14ac:dyDescent="0.25">
      <c r="A18" s="11" t="s">
        <v>40</v>
      </c>
      <c r="B18" s="1922">
        <f>C12</f>
        <v>123753</v>
      </c>
      <c r="C18" s="1919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912" t="s">
        <v>57</v>
      </c>
      <c r="U18" s="1912"/>
      <c r="V18" s="1920">
        <v>380</v>
      </c>
      <c r="W18" s="1920"/>
      <c r="X18" s="1920"/>
      <c r="Y18" s="1917" t="s">
        <v>103</v>
      </c>
    </row>
    <row r="19" spans="1:25" ht="25.5" customHeight="1" x14ac:dyDescent="0.25">
      <c r="A19" s="11" t="s">
        <v>41</v>
      </c>
      <c r="B19" s="1918">
        <f>B15+B16+B17-B18</f>
        <v>347289</v>
      </c>
      <c r="C19" s="1919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914" t="s">
        <v>48</v>
      </c>
      <c r="U19" s="49" t="s">
        <v>58</v>
      </c>
      <c r="V19" s="1920">
        <v>257000</v>
      </c>
      <c r="W19" s="1920"/>
      <c r="X19" s="1920"/>
      <c r="Y19" s="191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1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>
        <v>257250</v>
      </c>
      <c r="W21" s="1920"/>
      <c r="X21" s="1920"/>
      <c r="Y21" s="1917"/>
    </row>
    <row r="22" spans="1:25" ht="29.25" customHeight="1" x14ac:dyDescent="0.25">
      <c r="A22" s="10"/>
      <c r="B22" s="1916" t="s">
        <v>49</v>
      </c>
      <c r="C22" s="1923">
        <v>555988</v>
      </c>
      <c r="D22" s="1920">
        <v>257000</v>
      </c>
      <c r="E22" s="1920">
        <v>293675</v>
      </c>
      <c r="F22" s="1920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10"/>
      <c r="U22" s="50" t="s">
        <v>61</v>
      </c>
      <c r="V22" s="1920">
        <v>257000</v>
      </c>
      <c r="W22" s="1920"/>
      <c r="X22" s="1920"/>
      <c r="Y22" s="191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15158.792499999981</v>
      </c>
      <c r="W23" s="1921"/>
      <c r="X23" s="1921"/>
      <c r="Y23" s="1917"/>
    </row>
    <row r="24" spans="1:25" ht="27" customHeight="1" x14ac:dyDescent="0.25">
      <c r="B24" s="1916"/>
      <c r="C24" s="76" t="s">
        <v>46</v>
      </c>
      <c r="D24" s="76" t="s">
        <v>50</v>
      </c>
      <c r="E24" s="76" t="s">
        <v>51</v>
      </c>
      <c r="F24" s="76" t="s">
        <v>52</v>
      </c>
      <c r="T24" s="1893"/>
      <c r="U24" s="51" t="s">
        <v>63</v>
      </c>
      <c r="V24" s="1920">
        <f>V15+V21-V22</f>
        <v>13081</v>
      </c>
      <c r="W24" s="1920"/>
      <c r="X24" s="192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00" t="s">
        <v>121</v>
      </c>
      <c r="U3" s="1900"/>
      <c r="V3" s="1900"/>
      <c r="W3" s="1900"/>
      <c r="X3" s="1900"/>
      <c r="Y3" s="1900"/>
    </row>
    <row r="4" spans="1:25" s="7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78" customFormat="1" ht="25.5" customHeight="1" x14ac:dyDescent="0.25">
      <c r="A5" s="1901"/>
      <c r="B5" s="190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93" t="s">
        <v>46</v>
      </c>
      <c r="U14" s="76" t="s">
        <v>54</v>
      </c>
      <c r="V14" s="1918">
        <v>15159</v>
      </c>
      <c r="W14" s="1926"/>
      <c r="X14" s="1919"/>
    </row>
    <row r="15" spans="1:25" ht="22.5" customHeight="1" x14ac:dyDescent="0.25">
      <c r="A15" s="11" t="s">
        <v>38</v>
      </c>
      <c r="B15" s="1918">
        <v>347289</v>
      </c>
      <c r="C15" s="1919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893"/>
      <c r="U15" s="76" t="s">
        <v>64</v>
      </c>
      <c r="V15" s="1920">
        <v>13081</v>
      </c>
      <c r="W15" s="1920"/>
      <c r="X15" s="1920"/>
    </row>
    <row r="16" spans="1:25" ht="24.75" customHeight="1" x14ac:dyDescent="0.25">
      <c r="A16" s="11" t="s">
        <v>39</v>
      </c>
      <c r="B16" s="1918">
        <v>30000</v>
      </c>
      <c r="C16" s="1919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912" t="s">
        <v>55</v>
      </c>
      <c r="U16" s="1912"/>
      <c r="V16" s="1925">
        <f>Y12</f>
        <v>215594.87249999997</v>
      </c>
      <c r="W16" s="1925"/>
      <c r="X16" s="1920"/>
    </row>
    <row r="17" spans="1:25" ht="33" customHeight="1" x14ac:dyDescent="0.25">
      <c r="A17" s="85" t="s">
        <v>44</v>
      </c>
      <c r="B17" s="1918"/>
      <c r="C17" s="191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912" t="s">
        <v>104</v>
      </c>
      <c r="U17" s="1912"/>
      <c r="V17" s="1920"/>
      <c r="W17" s="1920"/>
      <c r="X17" s="1920"/>
    </row>
    <row r="18" spans="1:25" ht="27" customHeight="1" x14ac:dyDescent="0.25">
      <c r="A18" s="11" t="s">
        <v>40</v>
      </c>
      <c r="B18" s="1922">
        <f>C12</f>
        <v>105641</v>
      </c>
      <c r="C18" s="1919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1912" t="s">
        <v>57</v>
      </c>
      <c r="U18" s="1912"/>
      <c r="V18" s="1920">
        <f>680+6772</f>
        <v>7452</v>
      </c>
      <c r="W18" s="1920"/>
      <c r="X18" s="1920"/>
      <c r="Y18" s="1927" t="s">
        <v>122</v>
      </c>
    </row>
    <row r="19" spans="1:25" ht="25.5" customHeight="1" x14ac:dyDescent="0.25">
      <c r="A19" s="11" t="s">
        <v>41</v>
      </c>
      <c r="B19" s="1918">
        <f>B15+B16+B17-B18</f>
        <v>271648</v>
      </c>
      <c r="C19" s="1919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914" t="s">
        <v>48</v>
      </c>
      <c r="U19" s="49" t="s">
        <v>58</v>
      </c>
      <c r="V19" s="1920">
        <v>209000</v>
      </c>
      <c r="W19" s="1920"/>
      <c r="X19" s="1920"/>
      <c r="Y19" s="192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2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>
        <v>209380</v>
      </c>
      <c r="W21" s="1920"/>
      <c r="X21" s="1920"/>
      <c r="Y21" s="1927"/>
    </row>
    <row r="22" spans="1:25" ht="29.25" customHeight="1" x14ac:dyDescent="0.25">
      <c r="A22" s="10"/>
      <c r="B22" s="1916" t="s">
        <v>49</v>
      </c>
      <c r="C22" s="1923">
        <v>592663</v>
      </c>
      <c r="D22" s="1920">
        <v>209000</v>
      </c>
      <c r="E22" s="1920">
        <v>337013</v>
      </c>
      <c r="F22" s="1920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10"/>
      <c r="U22" s="50" t="s">
        <v>61</v>
      </c>
      <c r="V22" s="1920">
        <v>215772</v>
      </c>
      <c r="W22" s="1920"/>
      <c r="X22" s="1920"/>
      <c r="Y22" s="192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20693.872499999969</v>
      </c>
      <c r="W23" s="1921"/>
      <c r="X23" s="1921"/>
      <c r="Y23" s="1927"/>
    </row>
    <row r="24" spans="1:25" ht="27" customHeight="1" x14ac:dyDescent="0.25">
      <c r="B24" s="1916"/>
      <c r="C24" s="76" t="s">
        <v>46</v>
      </c>
      <c r="D24" s="76" t="s">
        <v>50</v>
      </c>
      <c r="E24" s="76" t="s">
        <v>51</v>
      </c>
      <c r="F24" s="76" t="s">
        <v>52</v>
      </c>
      <c r="T24" s="1893"/>
      <c r="U24" s="51" t="s">
        <v>63</v>
      </c>
      <c r="V24" s="1920">
        <f>V15+V21-V22</f>
        <v>6689</v>
      </c>
      <c r="W24" s="1920"/>
      <c r="X24" s="192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00" t="s">
        <v>123</v>
      </c>
      <c r="U3" s="1900"/>
      <c r="V3" s="1900"/>
      <c r="W3" s="1900"/>
      <c r="X3" s="1900"/>
      <c r="Y3" s="1900"/>
    </row>
    <row r="4" spans="1:25" s="7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78" customFormat="1" ht="25.5" customHeight="1" x14ac:dyDescent="0.25">
      <c r="A5" s="1901"/>
      <c r="B5" s="190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93" t="s">
        <v>46</v>
      </c>
      <c r="U14" s="76" t="s">
        <v>54</v>
      </c>
      <c r="V14" s="1918">
        <v>20694</v>
      </c>
      <c r="W14" s="1926"/>
      <c r="X14" s="1919"/>
    </row>
    <row r="15" spans="1:25" ht="22.5" customHeight="1" x14ac:dyDescent="0.25">
      <c r="A15" s="11" t="s">
        <v>38</v>
      </c>
      <c r="B15" s="1918">
        <v>271648</v>
      </c>
      <c r="C15" s="1919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893"/>
      <c r="U15" s="76" t="s">
        <v>64</v>
      </c>
      <c r="V15" s="1920">
        <v>6689</v>
      </c>
      <c r="W15" s="1920"/>
      <c r="X15" s="1920"/>
    </row>
    <row r="16" spans="1:25" ht="24.75" customHeight="1" x14ac:dyDescent="0.25">
      <c r="A16" s="11" t="s">
        <v>39</v>
      </c>
      <c r="B16" s="1918">
        <v>160000</v>
      </c>
      <c r="C16" s="1919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1912" t="s">
        <v>55</v>
      </c>
      <c r="U16" s="1912"/>
      <c r="V16" s="1925">
        <f>Y12</f>
        <v>205872.83500000002</v>
      </c>
      <c r="W16" s="1925"/>
      <c r="X16" s="1920"/>
    </row>
    <row r="17" spans="1:25" ht="33" customHeight="1" x14ac:dyDescent="0.25">
      <c r="A17" s="85" t="s">
        <v>44</v>
      </c>
      <c r="B17" s="1918"/>
      <c r="C17" s="191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912" t="s">
        <v>104</v>
      </c>
      <c r="U17" s="1912"/>
      <c r="V17" s="1920"/>
      <c r="W17" s="1920"/>
      <c r="X17" s="1920"/>
    </row>
    <row r="18" spans="1:25" ht="27" customHeight="1" x14ac:dyDescent="0.25">
      <c r="A18" s="11" t="s">
        <v>40</v>
      </c>
      <c r="B18" s="1922">
        <f>C12</f>
        <v>135206</v>
      </c>
      <c r="C18" s="1919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912" t="s">
        <v>57</v>
      </c>
      <c r="U18" s="1912"/>
      <c r="V18" s="1920">
        <v>530</v>
      </c>
      <c r="W18" s="1920"/>
      <c r="X18" s="1920"/>
      <c r="Y18" s="1927" t="s">
        <v>103</v>
      </c>
    </row>
    <row r="19" spans="1:25" ht="25.5" customHeight="1" x14ac:dyDescent="0.25">
      <c r="A19" s="11" t="s">
        <v>41</v>
      </c>
      <c r="B19" s="1918">
        <f>B15+B16+B17-B18</f>
        <v>296442</v>
      </c>
      <c r="C19" s="1919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914" t="s">
        <v>48</v>
      </c>
      <c r="U19" s="49" t="s">
        <v>58</v>
      </c>
      <c r="V19" s="1920">
        <v>202600</v>
      </c>
      <c r="W19" s="1920"/>
      <c r="X19" s="1920"/>
      <c r="Y19" s="192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2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>
        <v>202670</v>
      </c>
      <c r="W21" s="1920"/>
      <c r="X21" s="1920"/>
      <c r="Y21" s="1927"/>
    </row>
    <row r="22" spans="1:25" ht="29.25" customHeight="1" x14ac:dyDescent="0.25">
      <c r="A22" s="10"/>
      <c r="B22" s="1916" t="s">
        <v>49</v>
      </c>
      <c r="C22" s="1923">
        <v>720676</v>
      </c>
      <c r="D22" s="1920">
        <v>202600</v>
      </c>
      <c r="E22" s="1920">
        <v>154000</v>
      </c>
      <c r="F22" s="1920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10"/>
      <c r="U22" s="50" t="s">
        <v>61</v>
      </c>
      <c r="V22" s="1920">
        <v>202600</v>
      </c>
      <c r="W22" s="1920"/>
      <c r="X22" s="1920"/>
      <c r="Y22" s="192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23366.835000000021</v>
      </c>
      <c r="W23" s="1921"/>
      <c r="X23" s="1921"/>
      <c r="Y23" s="1927"/>
    </row>
    <row r="24" spans="1:25" ht="27" customHeight="1" x14ac:dyDescent="0.25">
      <c r="B24" s="1916"/>
      <c r="C24" s="76" t="s">
        <v>46</v>
      </c>
      <c r="D24" s="76" t="s">
        <v>50</v>
      </c>
      <c r="E24" s="76" t="s">
        <v>51</v>
      </c>
      <c r="F24" s="76" t="s">
        <v>52</v>
      </c>
      <c r="T24" s="1893"/>
      <c r="U24" s="51" t="s">
        <v>63</v>
      </c>
      <c r="V24" s="1920">
        <f>V15+V21-V22</f>
        <v>6759</v>
      </c>
      <c r="W24" s="1920"/>
      <c r="X24" s="192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00" t="s">
        <v>124</v>
      </c>
      <c r="U3" s="1900"/>
      <c r="V3" s="1900"/>
      <c r="W3" s="1900"/>
      <c r="X3" s="1900"/>
      <c r="Y3" s="1900"/>
    </row>
    <row r="4" spans="1:25" s="7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78" customFormat="1" ht="25.5" customHeight="1" x14ac:dyDescent="0.25">
      <c r="A5" s="1901"/>
      <c r="B5" s="190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93" t="s">
        <v>46</v>
      </c>
      <c r="U14" s="76" t="s">
        <v>54</v>
      </c>
      <c r="V14" s="1918">
        <v>23367</v>
      </c>
      <c r="W14" s="1926"/>
      <c r="X14" s="1919"/>
    </row>
    <row r="15" spans="1:25" ht="22.5" customHeight="1" x14ac:dyDescent="0.25">
      <c r="A15" s="11" t="s">
        <v>38</v>
      </c>
      <c r="B15" s="1918">
        <v>296442</v>
      </c>
      <c r="C15" s="1919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893"/>
      <c r="U15" s="76" t="s">
        <v>64</v>
      </c>
      <c r="V15" s="1920">
        <v>6759</v>
      </c>
      <c r="W15" s="1920"/>
      <c r="X15" s="1920"/>
    </row>
    <row r="16" spans="1:25" ht="24.75" customHeight="1" x14ac:dyDescent="0.25">
      <c r="A16" s="11" t="s">
        <v>39</v>
      </c>
      <c r="B16" s="1918">
        <v>100000</v>
      </c>
      <c r="C16" s="1919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1912" t="s">
        <v>55</v>
      </c>
      <c r="U16" s="1912"/>
      <c r="V16" s="1925">
        <f>Y12</f>
        <v>297639.6925</v>
      </c>
      <c r="W16" s="1925"/>
      <c r="X16" s="1920"/>
    </row>
    <row r="17" spans="1:25" ht="33" customHeight="1" x14ac:dyDescent="0.25">
      <c r="A17" s="85" t="s">
        <v>44</v>
      </c>
      <c r="B17" s="1918"/>
      <c r="C17" s="191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912" t="s">
        <v>95</v>
      </c>
      <c r="U17" s="1912"/>
      <c r="V17" s="1920">
        <v>1350</v>
      </c>
      <c r="W17" s="1920"/>
      <c r="X17" s="1920"/>
    </row>
    <row r="18" spans="1:25" ht="27" customHeight="1" x14ac:dyDescent="0.25">
      <c r="A18" s="11" t="s">
        <v>40</v>
      </c>
      <c r="B18" s="1922">
        <f>C12</f>
        <v>103593</v>
      </c>
      <c r="C18" s="1919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1912" t="s">
        <v>57</v>
      </c>
      <c r="U18" s="1912"/>
      <c r="V18" s="1920">
        <f>530+151940</f>
        <v>152470</v>
      </c>
      <c r="W18" s="1920"/>
      <c r="X18" s="1920"/>
      <c r="Y18" s="1927" t="s">
        <v>125</v>
      </c>
    </row>
    <row r="19" spans="1:25" ht="25.5" customHeight="1" x14ac:dyDescent="0.25">
      <c r="A19" s="11" t="s">
        <v>41</v>
      </c>
      <c r="B19" s="1918">
        <f>B15+B16+B17-B18</f>
        <v>292849</v>
      </c>
      <c r="C19" s="1919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914" t="s">
        <v>48</v>
      </c>
      <c r="U19" s="49" t="s">
        <v>58</v>
      </c>
      <c r="V19" s="1920">
        <v>148800</v>
      </c>
      <c r="W19" s="1920"/>
      <c r="X19" s="1920"/>
      <c r="Y19" s="192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2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>
        <v>148800</v>
      </c>
      <c r="W21" s="1920"/>
      <c r="X21" s="1920"/>
      <c r="Y21" s="1927"/>
    </row>
    <row r="22" spans="1:25" ht="29.25" customHeight="1" x14ac:dyDescent="0.25">
      <c r="A22" s="10"/>
      <c r="B22" s="1916" t="s">
        <v>49</v>
      </c>
      <c r="C22" s="1923">
        <v>672076</v>
      </c>
      <c r="D22" s="1920">
        <v>148800</v>
      </c>
      <c r="E22" s="1920">
        <v>96250</v>
      </c>
      <c r="F22" s="1920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10"/>
      <c r="U22" s="50" t="s">
        <v>61</v>
      </c>
      <c r="V22" s="1920">
        <v>148800</v>
      </c>
      <c r="W22" s="1920"/>
      <c r="X22" s="1920"/>
      <c r="Y22" s="192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21086.692500000005</v>
      </c>
      <c r="W23" s="1921"/>
      <c r="X23" s="1921"/>
      <c r="Y23" s="1927"/>
    </row>
    <row r="24" spans="1:25" ht="27" customHeight="1" x14ac:dyDescent="0.25">
      <c r="B24" s="1916"/>
      <c r="C24" s="76" t="s">
        <v>46</v>
      </c>
      <c r="D24" s="76" t="s">
        <v>50</v>
      </c>
      <c r="E24" s="76" t="s">
        <v>51</v>
      </c>
      <c r="F24" s="76" t="s">
        <v>52</v>
      </c>
      <c r="T24" s="1893"/>
      <c r="U24" s="51" t="s">
        <v>63</v>
      </c>
      <c r="V24" s="1920">
        <f>V15+V21-V22</f>
        <v>6759</v>
      </c>
      <c r="W24" s="1920"/>
      <c r="X24" s="192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00" t="s">
        <v>126</v>
      </c>
      <c r="U3" s="1900"/>
      <c r="V3" s="1900"/>
      <c r="W3" s="1900"/>
      <c r="X3" s="1900"/>
      <c r="Y3" s="1900"/>
    </row>
    <row r="4" spans="1:25" s="7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78" customFormat="1" ht="25.5" customHeight="1" x14ac:dyDescent="0.25">
      <c r="A5" s="1901"/>
      <c r="B5" s="190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93" t="s">
        <v>46</v>
      </c>
      <c r="U14" s="76" t="s">
        <v>54</v>
      </c>
      <c r="V14" s="1918">
        <v>21087</v>
      </c>
      <c r="W14" s="1926"/>
      <c r="X14" s="1919"/>
    </row>
    <row r="15" spans="1:25" ht="22.5" customHeight="1" x14ac:dyDescent="0.25">
      <c r="A15" s="11" t="s">
        <v>38</v>
      </c>
      <c r="B15" s="1918">
        <v>292849</v>
      </c>
      <c r="C15" s="1919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893"/>
      <c r="U15" s="76" t="s">
        <v>64</v>
      </c>
      <c r="V15" s="1920">
        <v>6759</v>
      </c>
      <c r="W15" s="1920"/>
      <c r="X15" s="1920"/>
    </row>
    <row r="16" spans="1:25" ht="24.75" customHeight="1" x14ac:dyDescent="0.25">
      <c r="A16" s="11" t="s">
        <v>39</v>
      </c>
      <c r="B16" s="1918">
        <v>330000</v>
      </c>
      <c r="C16" s="1919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1912" t="s">
        <v>55</v>
      </c>
      <c r="U16" s="1912"/>
      <c r="V16" s="1925">
        <f>Y12</f>
        <v>209312.8125</v>
      </c>
      <c r="W16" s="1925"/>
      <c r="X16" s="1920"/>
    </row>
    <row r="17" spans="1:25" ht="33" customHeight="1" x14ac:dyDescent="0.25">
      <c r="A17" s="85" t="s">
        <v>44</v>
      </c>
      <c r="B17" s="1918"/>
      <c r="C17" s="191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912" t="s">
        <v>104</v>
      </c>
      <c r="U17" s="1912"/>
      <c r="V17" s="1920"/>
      <c r="W17" s="1920"/>
      <c r="X17" s="1920"/>
    </row>
    <row r="18" spans="1:25" ht="27" customHeight="1" x14ac:dyDescent="0.25">
      <c r="A18" s="11" t="s">
        <v>40</v>
      </c>
      <c r="B18" s="1922">
        <f>C12</f>
        <v>176225</v>
      </c>
      <c r="C18" s="1919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912" t="s">
        <v>57</v>
      </c>
      <c r="U18" s="1912"/>
      <c r="V18" s="1920">
        <v>530</v>
      </c>
      <c r="W18" s="1920"/>
      <c r="X18" s="1920"/>
      <c r="Y18" s="1927" t="s">
        <v>100</v>
      </c>
    </row>
    <row r="19" spans="1:25" ht="25.5" customHeight="1" x14ac:dyDescent="0.25">
      <c r="A19" s="11" t="s">
        <v>41</v>
      </c>
      <c r="B19" s="1918">
        <f>B15+B16+B17-B18</f>
        <v>446624</v>
      </c>
      <c r="C19" s="1919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914" t="s">
        <v>48</v>
      </c>
      <c r="U19" s="49" t="s">
        <v>58</v>
      </c>
      <c r="V19" s="1920">
        <v>205900</v>
      </c>
      <c r="W19" s="1920"/>
      <c r="X19" s="1920"/>
      <c r="Y19" s="192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2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>
        <v>205960</v>
      </c>
      <c r="W21" s="1920"/>
      <c r="X21" s="1920"/>
      <c r="Y21" s="1927"/>
    </row>
    <row r="22" spans="1:25" ht="29.25" customHeight="1" x14ac:dyDescent="0.25">
      <c r="A22" s="10"/>
      <c r="B22" s="1916" t="s">
        <v>49</v>
      </c>
      <c r="C22" s="1923">
        <v>619526</v>
      </c>
      <c r="D22" s="1920">
        <v>205900</v>
      </c>
      <c r="E22" s="1920">
        <v>317625</v>
      </c>
      <c r="F22" s="1920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10"/>
      <c r="U22" s="50" t="s">
        <v>61</v>
      </c>
      <c r="V22" s="1920">
        <v>205900</v>
      </c>
      <c r="W22" s="1920"/>
      <c r="X22" s="1920"/>
      <c r="Y22" s="192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23909.8125</v>
      </c>
      <c r="W23" s="1921"/>
      <c r="X23" s="1921"/>
      <c r="Y23" s="1927"/>
    </row>
    <row r="24" spans="1:25" ht="27" customHeight="1" x14ac:dyDescent="0.25">
      <c r="B24" s="1916"/>
      <c r="C24" s="76" t="s">
        <v>46</v>
      </c>
      <c r="D24" s="76" t="s">
        <v>50</v>
      </c>
      <c r="E24" s="76" t="s">
        <v>51</v>
      </c>
      <c r="F24" s="76" t="s">
        <v>52</v>
      </c>
      <c r="T24" s="1893"/>
      <c r="U24" s="51" t="s">
        <v>63</v>
      </c>
      <c r="V24" s="1920">
        <f>V15+V21-V22</f>
        <v>6819</v>
      </c>
      <c r="W24" s="1920"/>
      <c r="X24" s="192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900" t="s">
        <v>127</v>
      </c>
      <c r="U3" s="1900"/>
      <c r="V3" s="1900"/>
      <c r="W3" s="1900"/>
      <c r="X3" s="1900"/>
      <c r="Y3" s="1900"/>
    </row>
    <row r="4" spans="1:25" s="7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79" customFormat="1" ht="25.5" customHeight="1" x14ac:dyDescent="0.25">
      <c r="A5" s="1901"/>
      <c r="B5" s="1901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93" t="s">
        <v>46</v>
      </c>
      <c r="U14" s="80" t="s">
        <v>54</v>
      </c>
      <c r="V14" s="1918">
        <v>23910</v>
      </c>
      <c r="W14" s="1926"/>
      <c r="X14" s="1919"/>
    </row>
    <row r="15" spans="1:25" ht="22.5" customHeight="1" x14ac:dyDescent="0.25">
      <c r="A15" s="11" t="s">
        <v>38</v>
      </c>
      <c r="B15" s="1918">
        <v>446624</v>
      </c>
      <c r="C15" s="1919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893"/>
      <c r="U15" s="80" t="s">
        <v>64</v>
      </c>
      <c r="V15" s="1920">
        <v>6819</v>
      </c>
      <c r="W15" s="1920"/>
      <c r="X15" s="1920"/>
    </row>
    <row r="16" spans="1:25" ht="24.75" customHeight="1" x14ac:dyDescent="0.25">
      <c r="A16" s="11" t="s">
        <v>39</v>
      </c>
      <c r="B16" s="1918"/>
      <c r="C16" s="1919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1912" t="s">
        <v>55</v>
      </c>
      <c r="U16" s="1912"/>
      <c r="V16" s="1925">
        <f>Y12</f>
        <v>147433.3725</v>
      </c>
      <c r="W16" s="1925"/>
      <c r="X16" s="1920"/>
    </row>
    <row r="17" spans="1:25" ht="49.5" customHeight="1" x14ac:dyDescent="0.25">
      <c r="A17" s="85" t="s">
        <v>44</v>
      </c>
      <c r="B17" s="1918">
        <v>62075</v>
      </c>
      <c r="C17" s="191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928" t="s">
        <v>128</v>
      </c>
      <c r="U17" s="1929"/>
      <c r="V17" s="1920">
        <v>41265</v>
      </c>
      <c r="W17" s="1920"/>
      <c r="X17" s="1920"/>
    </row>
    <row r="18" spans="1:25" ht="27" customHeight="1" x14ac:dyDescent="0.25">
      <c r="A18" s="11" t="s">
        <v>40</v>
      </c>
      <c r="B18" s="1922">
        <f>C12</f>
        <v>123841</v>
      </c>
      <c r="C18" s="1919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912" t="s">
        <v>57</v>
      </c>
      <c r="U18" s="1912"/>
      <c r="V18" s="1920">
        <f>530+10000+59747</f>
        <v>70277</v>
      </c>
      <c r="W18" s="1920"/>
      <c r="X18" s="1920"/>
      <c r="Y18" s="1927" t="s">
        <v>129</v>
      </c>
    </row>
    <row r="19" spans="1:25" ht="25.5" customHeight="1" x14ac:dyDescent="0.25">
      <c r="A19" s="11" t="s">
        <v>41</v>
      </c>
      <c r="B19" s="1918">
        <f>B15+B16+B17-B18</f>
        <v>384858</v>
      </c>
      <c r="C19" s="1919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2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/>
      <c r="W21" s="1920"/>
      <c r="X21" s="1920"/>
      <c r="Y21" s="1927"/>
    </row>
    <row r="22" spans="1:25" ht="29.25" customHeight="1" x14ac:dyDescent="0.25">
      <c r="A22" s="10"/>
      <c r="B22" s="1916" t="s">
        <v>49</v>
      </c>
      <c r="C22" s="1923">
        <v>731251</v>
      </c>
      <c r="D22" s="1920"/>
      <c r="E22" s="1920"/>
      <c r="F22" s="1920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10"/>
      <c r="U22" s="50" t="s">
        <v>61</v>
      </c>
      <c r="V22" s="1920"/>
      <c r="W22" s="1920"/>
      <c r="X22" s="1920"/>
      <c r="Y22" s="192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142331.3725</v>
      </c>
      <c r="W23" s="1921"/>
      <c r="X23" s="1921"/>
      <c r="Y23" s="1927"/>
    </row>
    <row r="24" spans="1:25" ht="27" customHeight="1" x14ac:dyDescent="0.25">
      <c r="B24" s="1916"/>
      <c r="C24" s="80" t="s">
        <v>46</v>
      </c>
      <c r="D24" s="80" t="s">
        <v>50</v>
      </c>
      <c r="E24" s="80" t="s">
        <v>51</v>
      </c>
      <c r="F24" s="80" t="s">
        <v>52</v>
      </c>
      <c r="T24" s="1893"/>
      <c r="U24" s="51" t="s">
        <v>63</v>
      </c>
      <c r="V24" s="1920">
        <f>V15+V21-V22</f>
        <v>6819</v>
      </c>
      <c r="W24" s="1920"/>
      <c r="X24" s="192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900" t="s">
        <v>130</v>
      </c>
      <c r="U3" s="1900"/>
      <c r="V3" s="1900"/>
      <c r="W3" s="1900"/>
      <c r="X3" s="1900"/>
      <c r="Y3" s="1900"/>
    </row>
    <row r="4" spans="1:25" s="7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79" customFormat="1" ht="25.5" customHeight="1" x14ac:dyDescent="0.25">
      <c r="A5" s="1901"/>
      <c r="B5" s="1901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93" t="s">
        <v>46</v>
      </c>
      <c r="U14" s="80" t="s">
        <v>54</v>
      </c>
      <c r="V14" s="1918">
        <v>142331</v>
      </c>
      <c r="W14" s="1926"/>
      <c r="X14" s="1919"/>
    </row>
    <row r="15" spans="1:25" ht="22.5" customHeight="1" x14ac:dyDescent="0.25">
      <c r="A15" s="100" t="s">
        <v>38</v>
      </c>
      <c r="B15" s="1918">
        <v>384858</v>
      </c>
      <c r="C15" s="1919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1893"/>
      <c r="U15" s="80" t="s">
        <v>64</v>
      </c>
      <c r="V15" s="1920">
        <v>6819</v>
      </c>
      <c r="W15" s="1920"/>
      <c r="X15" s="1920"/>
    </row>
    <row r="16" spans="1:25" ht="24.75" customHeight="1" x14ac:dyDescent="0.25">
      <c r="A16" s="100" t="s">
        <v>39</v>
      </c>
      <c r="B16" s="1918">
        <v>50000</v>
      </c>
      <c r="C16" s="1919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1912" t="s">
        <v>55</v>
      </c>
      <c r="U16" s="1912"/>
      <c r="V16" s="1925">
        <f>Y12</f>
        <v>153621.87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928" t="s">
        <v>104</v>
      </c>
      <c r="U17" s="1929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117532</v>
      </c>
      <c r="C18" s="1919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1912" t="s">
        <v>57</v>
      </c>
      <c r="U18" s="1912"/>
      <c r="V18" s="1920">
        <f>530+353</f>
        <v>883</v>
      </c>
      <c r="W18" s="1920"/>
      <c r="X18" s="1920"/>
      <c r="Y18" s="1927" t="s">
        <v>131</v>
      </c>
    </row>
    <row r="19" spans="1:25" ht="25.5" customHeight="1" x14ac:dyDescent="0.25">
      <c r="A19" s="100" t="s">
        <v>41</v>
      </c>
      <c r="B19" s="1918">
        <f>B15+B16+B17-B18</f>
        <v>317326</v>
      </c>
      <c r="C19" s="1919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1914" t="s">
        <v>48</v>
      </c>
      <c r="U19" s="49" t="s">
        <v>58</v>
      </c>
      <c r="V19" s="1920">
        <v>277000</v>
      </c>
      <c r="W19" s="1920"/>
      <c r="X19" s="1920"/>
      <c r="Y19" s="192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2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>
        <v>277330</v>
      </c>
      <c r="W21" s="1920"/>
      <c r="X21" s="1920"/>
      <c r="Y21" s="1927"/>
    </row>
    <row r="22" spans="1:25" ht="29.25" customHeight="1" x14ac:dyDescent="0.25">
      <c r="A22" s="10"/>
      <c r="B22" s="1916" t="s">
        <v>49</v>
      </c>
      <c r="C22" s="1923">
        <v>731251</v>
      </c>
      <c r="D22" s="1920">
        <v>277000</v>
      </c>
      <c r="E22" s="1920">
        <v>221196</v>
      </c>
      <c r="F22" s="1920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10"/>
      <c r="U22" s="50" t="s">
        <v>61</v>
      </c>
      <c r="V22" s="1920">
        <v>277000</v>
      </c>
      <c r="W22" s="1920"/>
      <c r="X22" s="1920"/>
      <c r="Y22" s="192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17739.869999999995</v>
      </c>
      <c r="W23" s="1921"/>
      <c r="X23" s="1921"/>
      <c r="Y23" s="1927"/>
    </row>
    <row r="24" spans="1:25" ht="27" customHeight="1" x14ac:dyDescent="0.25">
      <c r="B24" s="1916"/>
      <c r="C24" s="80" t="s">
        <v>46</v>
      </c>
      <c r="D24" s="80" t="s">
        <v>50</v>
      </c>
      <c r="E24" s="80" t="s">
        <v>51</v>
      </c>
      <c r="F24" s="80" t="s">
        <v>52</v>
      </c>
      <c r="T24" s="1893"/>
      <c r="U24" s="51" t="s">
        <v>63</v>
      </c>
      <c r="V24" s="1920">
        <f>V15+V21-V22</f>
        <v>7149</v>
      </c>
      <c r="W24" s="1920"/>
      <c r="X24" s="192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900" t="s">
        <v>132</v>
      </c>
      <c r="U3" s="1900"/>
      <c r="V3" s="1900"/>
      <c r="W3" s="1900"/>
      <c r="X3" s="1900"/>
      <c r="Y3" s="1900"/>
    </row>
    <row r="4" spans="1:25" s="9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96" customFormat="1" ht="25.5" customHeight="1" x14ac:dyDescent="0.25">
      <c r="A5" s="1901"/>
      <c r="B5" s="1901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93" t="s">
        <v>46</v>
      </c>
      <c r="U14" s="94" t="s">
        <v>54</v>
      </c>
      <c r="V14" s="1918">
        <v>17740</v>
      </c>
      <c r="W14" s="1926"/>
      <c r="X14" s="1919"/>
    </row>
    <row r="15" spans="1:25" ht="22.5" customHeight="1" x14ac:dyDescent="0.25">
      <c r="A15" s="100" t="s">
        <v>38</v>
      </c>
      <c r="B15" s="1918">
        <v>317326</v>
      </c>
      <c r="C15" s="1919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893"/>
      <c r="U15" s="94" t="s">
        <v>64</v>
      </c>
      <c r="V15" s="1920">
        <v>7149</v>
      </c>
      <c r="W15" s="1920"/>
      <c r="X15" s="1920"/>
    </row>
    <row r="16" spans="1:25" ht="24.75" customHeight="1" x14ac:dyDescent="0.25">
      <c r="A16" s="100" t="s">
        <v>39</v>
      </c>
      <c r="B16" s="1918">
        <v>107013</v>
      </c>
      <c r="C16" s="1919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1912" t="s">
        <v>55</v>
      </c>
      <c r="U16" s="1912"/>
      <c r="V16" s="1925">
        <f>Y12</f>
        <v>106712.6225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928" t="s">
        <v>104</v>
      </c>
      <c r="U17" s="1929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101541</v>
      </c>
      <c r="C18" s="1919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912" t="s">
        <v>57</v>
      </c>
      <c r="U18" s="1912"/>
      <c r="V18" s="1920">
        <f>530+1800</f>
        <v>2330</v>
      </c>
      <c r="W18" s="1920"/>
      <c r="X18" s="1920"/>
      <c r="Y18" s="1927" t="s">
        <v>133</v>
      </c>
    </row>
    <row r="19" spans="1:25" ht="25.5" customHeight="1" x14ac:dyDescent="0.25">
      <c r="A19" s="100" t="s">
        <v>41</v>
      </c>
      <c r="B19" s="1918">
        <f>B15+B16+B17-B18</f>
        <v>322798</v>
      </c>
      <c r="C19" s="1919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914" t="s">
        <v>48</v>
      </c>
      <c r="U19" s="49" t="s">
        <v>58</v>
      </c>
      <c r="V19" s="1920">
        <v>103000</v>
      </c>
      <c r="W19" s="1920"/>
      <c r="X19" s="1920"/>
      <c r="Y19" s="192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2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1909" t="s">
        <v>83</v>
      </c>
      <c r="U21" s="50" t="s">
        <v>60</v>
      </c>
      <c r="V21" s="1920">
        <v>103150</v>
      </c>
      <c r="W21" s="1920"/>
      <c r="X21" s="1920"/>
      <c r="Y21" s="1927"/>
    </row>
    <row r="22" spans="1:25" ht="29.25" customHeight="1" x14ac:dyDescent="0.25">
      <c r="A22" s="10"/>
      <c r="B22" s="1916" t="s">
        <v>49</v>
      </c>
      <c r="C22" s="1923">
        <v>675447</v>
      </c>
      <c r="D22" s="1920">
        <v>103000</v>
      </c>
      <c r="E22" s="1920">
        <v>103000</v>
      </c>
      <c r="F22" s="1920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10"/>
      <c r="U22" s="50" t="s">
        <v>61</v>
      </c>
      <c r="V22" s="1920">
        <v>103000</v>
      </c>
      <c r="W22" s="1920"/>
      <c r="X22" s="1920"/>
      <c r="Y22" s="192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18972.622499999998</v>
      </c>
      <c r="W23" s="1921"/>
      <c r="X23" s="1921"/>
      <c r="Y23" s="1927"/>
    </row>
    <row r="24" spans="1:25" ht="27" customHeight="1" x14ac:dyDescent="0.25">
      <c r="B24" s="1916"/>
      <c r="C24" s="94" t="s">
        <v>46</v>
      </c>
      <c r="D24" s="94" t="s">
        <v>50</v>
      </c>
      <c r="E24" s="94" t="s">
        <v>51</v>
      </c>
      <c r="F24" s="94" t="s">
        <v>52</v>
      </c>
      <c r="T24" s="1893"/>
      <c r="U24" s="51" t="s">
        <v>63</v>
      </c>
      <c r="V24" s="1920">
        <f>V15+V21-V22</f>
        <v>7299</v>
      </c>
      <c r="W24" s="1920"/>
      <c r="X24" s="192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900" t="s">
        <v>134</v>
      </c>
      <c r="U3" s="1900"/>
      <c r="V3" s="1900"/>
      <c r="W3" s="1900"/>
      <c r="X3" s="1900"/>
      <c r="Y3" s="1900"/>
    </row>
    <row r="4" spans="1:25" s="9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96" customFormat="1" ht="25.5" customHeight="1" x14ac:dyDescent="0.25">
      <c r="A5" s="1901"/>
      <c r="B5" s="1901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93" t="s">
        <v>46</v>
      </c>
      <c r="U14" s="94" t="s">
        <v>54</v>
      </c>
      <c r="V14" s="1918">
        <v>18973</v>
      </c>
      <c r="W14" s="1926"/>
      <c r="X14" s="1919"/>
    </row>
    <row r="15" spans="1:25" ht="22.5" customHeight="1" x14ac:dyDescent="0.25">
      <c r="A15" s="100" t="s">
        <v>38</v>
      </c>
      <c r="B15" s="1918">
        <v>322798</v>
      </c>
      <c r="C15" s="1919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893"/>
      <c r="U15" s="94" t="s">
        <v>64</v>
      </c>
      <c r="V15" s="1920">
        <v>7299</v>
      </c>
      <c r="W15" s="1920"/>
      <c r="X15" s="1920"/>
    </row>
    <row r="16" spans="1:25" ht="24.75" customHeight="1" x14ac:dyDescent="0.25">
      <c r="A16" s="100" t="s">
        <v>39</v>
      </c>
      <c r="B16" s="1918">
        <v>100000</v>
      </c>
      <c r="C16" s="1919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1912" t="s">
        <v>55</v>
      </c>
      <c r="U16" s="1912"/>
      <c r="V16" s="1925">
        <f>Y12</f>
        <v>198089.89250000002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928" t="s">
        <v>104</v>
      </c>
      <c r="U17" s="1929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95313</v>
      </c>
      <c r="C18" s="1919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912" t="s">
        <v>57</v>
      </c>
      <c r="U18" s="1912"/>
      <c r="V18" s="1920">
        <f>530+100</f>
        <v>630</v>
      </c>
      <c r="W18" s="1920"/>
      <c r="X18" s="1920"/>
      <c r="Y18" s="1927" t="s">
        <v>135</v>
      </c>
    </row>
    <row r="19" spans="1:25" ht="25.5" customHeight="1" x14ac:dyDescent="0.25">
      <c r="A19" s="100" t="s">
        <v>41</v>
      </c>
      <c r="B19" s="1918">
        <f>B15+B16+B17-B18</f>
        <v>327485</v>
      </c>
      <c r="C19" s="1919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914" t="s">
        <v>48</v>
      </c>
      <c r="U19" s="49" t="s">
        <v>58</v>
      </c>
      <c r="V19" s="1920">
        <v>195000</v>
      </c>
      <c r="W19" s="1920"/>
      <c r="X19" s="1920"/>
      <c r="Y19" s="192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2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>
        <v>195520</v>
      </c>
      <c r="W21" s="1920"/>
      <c r="X21" s="1920"/>
      <c r="Y21" s="1927"/>
    </row>
    <row r="22" spans="1:25" ht="29.25" customHeight="1" x14ac:dyDescent="0.25">
      <c r="A22" s="10"/>
      <c r="B22" s="1916" t="s">
        <v>49</v>
      </c>
      <c r="C22" s="1923">
        <v>675447</v>
      </c>
      <c r="D22" s="1920">
        <v>195000</v>
      </c>
      <c r="E22" s="1920">
        <v>197941</v>
      </c>
      <c r="F22" s="1920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10"/>
      <c r="U22" s="50" t="s">
        <v>61</v>
      </c>
      <c r="V22" s="1920">
        <v>195000</v>
      </c>
      <c r="W22" s="1920"/>
      <c r="X22" s="1920"/>
      <c r="Y22" s="192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20912.892500000016</v>
      </c>
      <c r="W23" s="1921"/>
      <c r="X23" s="1921"/>
      <c r="Y23" s="1927"/>
    </row>
    <row r="24" spans="1:25" ht="27" customHeight="1" x14ac:dyDescent="0.25">
      <c r="B24" s="1916"/>
      <c r="C24" s="94" t="s">
        <v>46</v>
      </c>
      <c r="D24" s="94" t="s">
        <v>50</v>
      </c>
      <c r="E24" s="94" t="s">
        <v>51</v>
      </c>
      <c r="F24" s="94" t="s">
        <v>52</v>
      </c>
      <c r="T24" s="1893"/>
      <c r="U24" s="51" t="s">
        <v>63</v>
      </c>
      <c r="V24" s="1920">
        <f>V15+V21-V22</f>
        <v>7819</v>
      </c>
      <c r="W24" s="1920"/>
      <c r="X24" s="192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900" t="s">
        <v>136</v>
      </c>
      <c r="U3" s="1900"/>
      <c r="V3" s="1900"/>
      <c r="W3" s="1900"/>
      <c r="X3" s="1900"/>
      <c r="Y3" s="1900"/>
    </row>
    <row r="4" spans="1:25" s="10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02" customFormat="1" ht="25.5" customHeight="1" x14ac:dyDescent="0.25">
      <c r="A5" s="1901"/>
      <c r="B5" s="1901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93" t="s">
        <v>46</v>
      </c>
      <c r="U14" s="103" t="s">
        <v>54</v>
      </c>
      <c r="V14" s="1918">
        <v>20913</v>
      </c>
      <c r="W14" s="1926"/>
      <c r="X14" s="1919"/>
    </row>
    <row r="15" spans="1:25" ht="22.5" customHeight="1" x14ac:dyDescent="0.25">
      <c r="A15" s="100" t="s">
        <v>38</v>
      </c>
      <c r="B15" s="1918">
        <v>327485</v>
      </c>
      <c r="C15" s="1919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1893"/>
      <c r="U15" s="103" t="s">
        <v>64</v>
      </c>
      <c r="V15" s="1920">
        <v>7819</v>
      </c>
      <c r="W15" s="1920"/>
      <c r="X15" s="1920"/>
    </row>
    <row r="16" spans="1:25" ht="24.75" customHeight="1" x14ac:dyDescent="0.25">
      <c r="A16" s="100" t="s">
        <v>39</v>
      </c>
      <c r="B16" s="1918">
        <v>100000</v>
      </c>
      <c r="C16" s="1919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1912" t="s">
        <v>55</v>
      </c>
      <c r="U16" s="1912"/>
      <c r="V16" s="1925">
        <f>Y12</f>
        <v>184450.21249999999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1928" t="s">
        <v>104</v>
      </c>
      <c r="U17" s="1929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127265</v>
      </c>
      <c r="C18" s="1919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1912" t="s">
        <v>57</v>
      </c>
      <c r="U18" s="1912"/>
      <c r="V18" s="1920">
        <f>530+100</f>
        <v>630</v>
      </c>
      <c r="W18" s="1920"/>
      <c r="X18" s="1920"/>
      <c r="Y18" s="1927" t="s">
        <v>137</v>
      </c>
    </row>
    <row r="19" spans="1:25" ht="25.5" customHeight="1" x14ac:dyDescent="0.25">
      <c r="A19" s="100" t="s">
        <v>41</v>
      </c>
      <c r="B19" s="1918">
        <f>B15+B16+B17-B18</f>
        <v>300220</v>
      </c>
      <c r="C19" s="1919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1914" t="s">
        <v>48</v>
      </c>
      <c r="U19" s="49" t="s">
        <v>58</v>
      </c>
      <c r="V19" s="1920">
        <v>185000</v>
      </c>
      <c r="W19" s="1920"/>
      <c r="X19" s="1920"/>
      <c r="Y19" s="192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2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>
        <v>185180</v>
      </c>
      <c r="W21" s="1920"/>
      <c r="X21" s="1920"/>
      <c r="Y21" s="1927"/>
    </row>
    <row r="22" spans="1:25" ht="29.25" customHeight="1" x14ac:dyDescent="0.25">
      <c r="A22" s="10"/>
      <c r="B22" s="1916" t="s">
        <v>49</v>
      </c>
      <c r="C22" s="1923">
        <v>678388</v>
      </c>
      <c r="D22" s="1920">
        <v>185000</v>
      </c>
      <c r="E22" s="1920">
        <v>96250</v>
      </c>
      <c r="F22" s="1920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10"/>
      <c r="U22" s="50" t="s">
        <v>61</v>
      </c>
      <c r="V22" s="1920">
        <v>185000</v>
      </c>
      <c r="W22" s="1920"/>
      <c r="X22" s="1920"/>
      <c r="Y22" s="192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19553.212499999994</v>
      </c>
      <c r="W23" s="1921"/>
      <c r="X23" s="1921"/>
      <c r="Y23" s="1927"/>
    </row>
    <row r="24" spans="1:25" ht="27" customHeight="1" x14ac:dyDescent="0.25">
      <c r="B24" s="1916"/>
      <c r="C24" s="103" t="s">
        <v>46</v>
      </c>
      <c r="D24" s="103" t="s">
        <v>50</v>
      </c>
      <c r="E24" s="103" t="s">
        <v>51</v>
      </c>
      <c r="F24" s="103" t="s">
        <v>52</v>
      </c>
      <c r="T24" s="1893"/>
      <c r="U24" s="51" t="s">
        <v>63</v>
      </c>
      <c r="V24" s="1920">
        <f>V15+V21-V22</f>
        <v>7999</v>
      </c>
      <c r="W24" s="1920"/>
      <c r="X24" s="192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00" t="s">
        <v>138</v>
      </c>
      <c r="U3" s="1900"/>
      <c r="V3" s="1900"/>
      <c r="W3" s="1900"/>
      <c r="X3" s="1900"/>
      <c r="Y3" s="1900"/>
    </row>
    <row r="4" spans="1:25" s="11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6" customFormat="1" ht="25.5" customHeight="1" x14ac:dyDescent="0.25">
      <c r="A5" s="1901"/>
      <c r="B5" s="190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93" t="s">
        <v>46</v>
      </c>
      <c r="U14" s="114" t="s">
        <v>54</v>
      </c>
      <c r="V14" s="1918">
        <v>19553</v>
      </c>
      <c r="W14" s="1926"/>
      <c r="X14" s="1919"/>
    </row>
    <row r="15" spans="1:25" ht="22.5" customHeight="1" x14ac:dyDescent="0.25">
      <c r="A15" s="100" t="s">
        <v>38</v>
      </c>
      <c r="B15" s="1918">
        <v>300220</v>
      </c>
      <c r="C15" s="1919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1893"/>
      <c r="U15" s="114" t="s">
        <v>64</v>
      </c>
      <c r="V15" s="1920">
        <v>7999</v>
      </c>
      <c r="W15" s="1920"/>
      <c r="X15" s="1920"/>
    </row>
    <row r="16" spans="1:25" ht="24.75" customHeight="1" x14ac:dyDescent="0.25">
      <c r="A16" s="100" t="s">
        <v>39</v>
      </c>
      <c r="B16" s="1918">
        <v>281481</v>
      </c>
      <c r="C16" s="1919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912" t="s">
        <v>55</v>
      </c>
      <c r="U16" s="1912"/>
      <c r="V16" s="1925">
        <f>Y12</f>
        <v>281019.56500000006</v>
      </c>
      <c r="W16" s="1925"/>
      <c r="X16" s="1920"/>
    </row>
    <row r="17" spans="1:25" ht="28.5" customHeight="1" x14ac:dyDescent="0.25">
      <c r="A17" s="101" t="s">
        <v>44</v>
      </c>
      <c r="B17" s="1918">
        <v>10065</v>
      </c>
      <c r="C17" s="191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928" t="s">
        <v>104</v>
      </c>
      <c r="U17" s="1929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199034</v>
      </c>
      <c r="C18" s="1919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912" t="s">
        <v>57</v>
      </c>
      <c r="U18" s="1912"/>
      <c r="V18" s="1920">
        <f>530+9688</f>
        <v>10218</v>
      </c>
      <c r="W18" s="1920"/>
      <c r="X18" s="1920"/>
      <c r="Y18" s="1927" t="s">
        <v>125</v>
      </c>
    </row>
    <row r="19" spans="1:25" ht="25.5" customHeight="1" x14ac:dyDescent="0.25">
      <c r="A19" s="100" t="s">
        <v>41</v>
      </c>
      <c r="B19" s="1918">
        <f>B15+B16+B17-B18</f>
        <v>392732</v>
      </c>
      <c r="C19" s="1919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914" t="s">
        <v>48</v>
      </c>
      <c r="U19" s="49" t="s">
        <v>58</v>
      </c>
      <c r="V19" s="1920">
        <v>271000</v>
      </c>
      <c r="W19" s="1920"/>
      <c r="X19" s="1920"/>
      <c r="Y19" s="192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2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>
        <v>272130</v>
      </c>
      <c r="W21" s="1920"/>
      <c r="X21" s="1920"/>
      <c r="Y21" s="1927"/>
    </row>
    <row r="22" spans="1:25" ht="29.25" customHeight="1" x14ac:dyDescent="0.25">
      <c r="A22" s="10"/>
      <c r="B22" s="1916" t="s">
        <v>49</v>
      </c>
      <c r="C22" s="1923">
        <v>589638</v>
      </c>
      <c r="D22" s="1920">
        <v>271000</v>
      </c>
      <c r="E22" s="1920">
        <v>270925</v>
      </c>
      <c r="F22" s="1920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10"/>
      <c r="U22" s="50" t="s">
        <v>61</v>
      </c>
      <c r="V22" s="1920">
        <v>271000</v>
      </c>
      <c r="W22" s="1920"/>
      <c r="X22" s="1920"/>
      <c r="Y22" s="192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18224.565000000061</v>
      </c>
      <c r="W23" s="1921"/>
      <c r="X23" s="1921"/>
      <c r="Y23" s="1927"/>
    </row>
    <row r="24" spans="1:25" ht="27" customHeight="1" x14ac:dyDescent="0.25">
      <c r="B24" s="1916"/>
      <c r="C24" s="114" t="s">
        <v>46</v>
      </c>
      <c r="D24" s="114" t="s">
        <v>50</v>
      </c>
      <c r="E24" s="114" t="s">
        <v>51</v>
      </c>
      <c r="F24" s="114" t="s">
        <v>52</v>
      </c>
      <c r="T24" s="1893"/>
      <c r="U24" s="51" t="s">
        <v>63</v>
      </c>
      <c r="V24" s="1920">
        <f>V15+V21-V22</f>
        <v>9129</v>
      </c>
      <c r="W24" s="1920"/>
      <c r="X24" s="192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00" t="s">
        <v>141</v>
      </c>
      <c r="U3" s="1900"/>
      <c r="V3" s="1900"/>
      <c r="W3" s="1900"/>
      <c r="X3" s="1900"/>
      <c r="Y3" s="1900"/>
    </row>
    <row r="4" spans="1:25" s="11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6" customFormat="1" ht="25.5" customHeight="1" x14ac:dyDescent="0.25">
      <c r="A5" s="1901"/>
      <c r="B5" s="190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93" t="s">
        <v>46</v>
      </c>
      <c r="U14" s="114" t="s">
        <v>54</v>
      </c>
      <c r="V14" s="1918">
        <v>18225</v>
      </c>
      <c r="W14" s="1926"/>
      <c r="X14" s="1919"/>
    </row>
    <row r="15" spans="1:25" ht="22.5" customHeight="1" x14ac:dyDescent="0.25">
      <c r="A15" s="100" t="s">
        <v>38</v>
      </c>
      <c r="B15" s="1918">
        <v>392732</v>
      </c>
      <c r="C15" s="1919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893"/>
      <c r="U15" s="114" t="s">
        <v>64</v>
      </c>
      <c r="V15" s="1920">
        <v>9129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1912" t="s">
        <v>55</v>
      </c>
      <c r="U16" s="1912"/>
      <c r="V16" s="1925">
        <f>Y12</f>
        <v>133015.32500000001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928" t="s">
        <v>104</v>
      </c>
      <c r="U17" s="1929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96970</v>
      </c>
      <c r="C18" s="1919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912" t="s">
        <v>57</v>
      </c>
      <c r="U18" s="1912"/>
      <c r="V18" s="1920">
        <v>530</v>
      </c>
      <c r="W18" s="1920"/>
      <c r="X18" s="1920"/>
      <c r="Y18" s="1927" t="s">
        <v>103</v>
      </c>
    </row>
    <row r="19" spans="1:25" ht="25.5" customHeight="1" x14ac:dyDescent="0.25">
      <c r="A19" s="100" t="s">
        <v>41</v>
      </c>
      <c r="B19" s="1918">
        <f>B15+B16+B17-B18</f>
        <v>295762</v>
      </c>
      <c r="C19" s="1919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2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/>
      <c r="W21" s="1920"/>
      <c r="X21" s="1920"/>
      <c r="Y21" s="1927"/>
    </row>
    <row r="22" spans="1:25" ht="29.25" customHeight="1" x14ac:dyDescent="0.25">
      <c r="A22" s="10"/>
      <c r="B22" s="1916" t="s">
        <v>49</v>
      </c>
      <c r="C22" s="1923">
        <v>589563</v>
      </c>
      <c r="D22" s="1920"/>
      <c r="E22" s="1920"/>
      <c r="F22" s="1920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10"/>
      <c r="U22" s="50" t="s">
        <v>61</v>
      </c>
      <c r="V22" s="1920"/>
      <c r="W22" s="1920"/>
      <c r="X22" s="1920"/>
      <c r="Y22" s="192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150710.32500000001</v>
      </c>
      <c r="W23" s="1921"/>
      <c r="X23" s="1921"/>
      <c r="Y23" s="1927"/>
    </row>
    <row r="24" spans="1:25" ht="27" customHeight="1" x14ac:dyDescent="0.25">
      <c r="B24" s="1916"/>
      <c r="C24" s="114" t="s">
        <v>46</v>
      </c>
      <c r="D24" s="114" t="s">
        <v>50</v>
      </c>
      <c r="E24" s="114" t="s">
        <v>51</v>
      </c>
      <c r="F24" s="114" t="s">
        <v>52</v>
      </c>
      <c r="T24" s="1893"/>
      <c r="U24" s="51" t="s">
        <v>63</v>
      </c>
      <c r="V24" s="1920">
        <f>V15+V21-V22</f>
        <v>9129</v>
      </c>
      <c r="W24" s="1920"/>
      <c r="X24" s="192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00" t="s">
        <v>142</v>
      </c>
      <c r="U3" s="1900"/>
      <c r="V3" s="1900"/>
      <c r="W3" s="1900"/>
      <c r="X3" s="1900"/>
      <c r="Y3" s="1900"/>
    </row>
    <row r="4" spans="1:25" s="11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6" customFormat="1" ht="25.5" customHeight="1" x14ac:dyDescent="0.25">
      <c r="A5" s="1901"/>
      <c r="B5" s="190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93" t="s">
        <v>46</v>
      </c>
      <c r="U14" s="114" t="s">
        <v>54</v>
      </c>
      <c r="V14" s="1918">
        <v>150710</v>
      </c>
      <c r="W14" s="1926"/>
      <c r="X14" s="1919"/>
    </row>
    <row r="15" spans="1:25" ht="22.5" customHeight="1" x14ac:dyDescent="0.25">
      <c r="A15" s="100" t="s">
        <v>38</v>
      </c>
      <c r="B15" s="1918">
        <v>295762</v>
      </c>
      <c r="C15" s="1919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893"/>
      <c r="U15" s="114" t="s">
        <v>64</v>
      </c>
      <c r="V15" s="1920">
        <v>9129</v>
      </c>
      <c r="W15" s="1920"/>
      <c r="X15" s="1920"/>
    </row>
    <row r="16" spans="1:25" ht="24.75" customHeight="1" x14ac:dyDescent="0.25">
      <c r="A16" s="100" t="s">
        <v>39</v>
      </c>
      <c r="B16" s="1918">
        <v>87207</v>
      </c>
      <c r="C16" s="1919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912" t="s">
        <v>55</v>
      </c>
      <c r="U16" s="1912"/>
      <c r="V16" s="1925">
        <f>Y12</f>
        <v>143348.01750000002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928" t="s">
        <v>104</v>
      </c>
      <c r="U17" s="1929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116363</v>
      </c>
      <c r="C18" s="1919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1912" t="s">
        <v>57</v>
      </c>
      <c r="U18" s="1912"/>
      <c r="V18" s="1920">
        <f>530+450</f>
        <v>980</v>
      </c>
      <c r="W18" s="1920"/>
      <c r="X18" s="1920"/>
      <c r="Y18" s="1927" t="s">
        <v>143</v>
      </c>
    </row>
    <row r="19" spans="1:25" ht="25.5" customHeight="1" x14ac:dyDescent="0.25">
      <c r="A19" s="100" t="s">
        <v>41</v>
      </c>
      <c r="B19" s="1918">
        <f>B15+B16+B17-B18</f>
        <v>266606</v>
      </c>
      <c r="C19" s="1919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914" t="s">
        <v>48</v>
      </c>
      <c r="U19" s="49" t="s">
        <v>58</v>
      </c>
      <c r="V19" s="1920">
        <v>273500</v>
      </c>
      <c r="W19" s="1920"/>
      <c r="X19" s="1920"/>
      <c r="Y19" s="192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2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>
        <v>273500</v>
      </c>
      <c r="W21" s="1920"/>
      <c r="X21" s="1920"/>
      <c r="Y21" s="1927"/>
    </row>
    <row r="22" spans="1:25" ht="39.75" customHeight="1" x14ac:dyDescent="0.25">
      <c r="A22" s="10"/>
      <c r="B22" s="1916" t="s">
        <v>49</v>
      </c>
      <c r="C22" s="1923">
        <v>589563</v>
      </c>
      <c r="D22" s="1920">
        <v>273500</v>
      </c>
      <c r="E22" s="1920">
        <v>83937</v>
      </c>
      <c r="F22" s="1920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10"/>
      <c r="U22" s="50" t="s">
        <v>61</v>
      </c>
      <c r="V22" s="1920">
        <v>273500</v>
      </c>
      <c r="W22" s="1920"/>
      <c r="X22" s="1920"/>
      <c r="Y22" s="192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19578.017500000016</v>
      </c>
      <c r="W23" s="1921"/>
      <c r="X23" s="1921"/>
      <c r="Y23" s="1927"/>
    </row>
    <row r="24" spans="1:25" ht="27" customHeight="1" x14ac:dyDescent="0.25">
      <c r="B24" s="1916"/>
      <c r="C24" s="114" t="s">
        <v>46</v>
      </c>
      <c r="D24" s="114" t="s">
        <v>50</v>
      </c>
      <c r="E24" s="114" t="s">
        <v>51</v>
      </c>
      <c r="F24" s="114" t="s">
        <v>52</v>
      </c>
      <c r="T24" s="1893"/>
      <c r="U24" s="51" t="s">
        <v>63</v>
      </c>
      <c r="V24" s="1920">
        <f>V15+V21-V22</f>
        <v>9129</v>
      </c>
      <c r="W24" s="1920"/>
      <c r="X24" s="192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898" t="s">
        <v>76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00" t="s">
        <v>144</v>
      </c>
      <c r="U3" s="1900"/>
      <c r="V3" s="1900"/>
      <c r="W3" s="1900"/>
      <c r="X3" s="1900"/>
      <c r="Y3" s="1900"/>
    </row>
    <row r="4" spans="1:25" s="11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6" customFormat="1" ht="25.5" customHeight="1" x14ac:dyDescent="0.25">
      <c r="A5" s="1901"/>
      <c r="B5" s="190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93" t="s">
        <v>46</v>
      </c>
      <c r="U14" s="114" t="s">
        <v>54</v>
      </c>
      <c r="V14" s="1918">
        <v>19578</v>
      </c>
      <c r="W14" s="1926"/>
      <c r="X14" s="1919"/>
    </row>
    <row r="15" spans="1:25" ht="22.5" customHeight="1" x14ac:dyDescent="0.25">
      <c r="A15" s="100" t="s">
        <v>38</v>
      </c>
      <c r="B15" s="1918">
        <v>266606</v>
      </c>
      <c r="C15" s="1919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893"/>
      <c r="U15" s="114" t="s">
        <v>64</v>
      </c>
      <c r="V15" s="1920">
        <v>9129</v>
      </c>
      <c r="W15" s="1920"/>
      <c r="X15" s="1920"/>
    </row>
    <row r="16" spans="1:25" ht="24.75" customHeight="1" x14ac:dyDescent="0.25">
      <c r="A16" s="100" t="s">
        <v>39</v>
      </c>
      <c r="B16" s="1918">
        <v>134649</v>
      </c>
      <c r="C16" s="1919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912" t="s">
        <v>55</v>
      </c>
      <c r="U16" s="1912"/>
      <c r="V16" s="1925">
        <f>Y12</f>
        <v>125568.375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928" t="s">
        <v>104</v>
      </c>
      <c r="U17" s="1929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122750</v>
      </c>
      <c r="C18" s="1919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1912" t="s">
        <v>57</v>
      </c>
      <c r="U18" s="1912"/>
      <c r="V18" s="1920">
        <f>530+80</f>
        <v>610</v>
      </c>
      <c r="W18" s="1920"/>
      <c r="X18" s="1920"/>
      <c r="Y18" s="1927" t="s">
        <v>146</v>
      </c>
    </row>
    <row r="19" spans="1:25" ht="25.5" customHeight="1" x14ac:dyDescent="0.25">
      <c r="A19" s="100" t="s">
        <v>41</v>
      </c>
      <c r="B19" s="1918">
        <f>B15+B16+B17-B18</f>
        <v>278505</v>
      </c>
      <c r="C19" s="1919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914" t="s">
        <v>48</v>
      </c>
      <c r="U19" s="49" t="s">
        <v>58</v>
      </c>
      <c r="V19" s="1920">
        <v>129600</v>
      </c>
      <c r="W19" s="1920"/>
      <c r="X19" s="1920"/>
      <c r="Y19" s="192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2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>
        <v>129500</v>
      </c>
      <c r="W21" s="1920"/>
      <c r="X21" s="1920"/>
      <c r="Y21" s="1927"/>
    </row>
    <row r="22" spans="1:25" ht="39.75" customHeight="1" x14ac:dyDescent="0.25">
      <c r="A22" s="10"/>
      <c r="B22" s="1916" t="s">
        <v>49</v>
      </c>
      <c r="C22" s="1923">
        <v>400000</v>
      </c>
      <c r="D22" s="1920">
        <v>129600</v>
      </c>
      <c r="E22" s="1920">
        <v>129600</v>
      </c>
      <c r="F22" s="1920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10"/>
      <c r="U22" s="50" t="s">
        <v>61</v>
      </c>
      <c r="V22" s="1920">
        <v>129600</v>
      </c>
      <c r="W22" s="1920"/>
      <c r="X22" s="1920"/>
      <c r="Y22" s="192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15036.375</v>
      </c>
      <c r="W23" s="1921"/>
      <c r="X23" s="1921"/>
      <c r="Y23" s="1927"/>
    </row>
    <row r="24" spans="1:25" ht="27" customHeight="1" x14ac:dyDescent="0.25">
      <c r="B24" s="1916"/>
      <c r="C24" s="114" t="s">
        <v>46</v>
      </c>
      <c r="D24" s="114" t="s">
        <v>50</v>
      </c>
      <c r="E24" s="114" t="s">
        <v>51</v>
      </c>
      <c r="F24" s="114" t="s">
        <v>52</v>
      </c>
      <c r="T24" s="1893"/>
      <c r="U24" s="51" t="s">
        <v>63</v>
      </c>
      <c r="V24" s="1920">
        <f>V15+V21-V22</f>
        <v>9029</v>
      </c>
      <c r="W24" s="1920"/>
      <c r="X24" s="192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00" t="s">
        <v>145</v>
      </c>
      <c r="U3" s="1900"/>
      <c r="V3" s="1900"/>
      <c r="W3" s="1900"/>
      <c r="X3" s="1900"/>
      <c r="Y3" s="1900"/>
    </row>
    <row r="4" spans="1:25" s="11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6" customFormat="1" ht="25.5" customHeight="1" x14ac:dyDescent="0.25">
      <c r="A5" s="1901"/>
      <c r="B5" s="190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93" t="s">
        <v>46</v>
      </c>
      <c r="U14" s="114" t="s">
        <v>54</v>
      </c>
      <c r="V14" s="1918">
        <v>15036</v>
      </c>
      <c r="W14" s="1926"/>
      <c r="X14" s="1919"/>
    </row>
    <row r="15" spans="1:25" ht="22.5" customHeight="1" x14ac:dyDescent="0.25">
      <c r="A15" s="100" t="s">
        <v>38</v>
      </c>
      <c r="B15" s="1918">
        <v>278505</v>
      </c>
      <c r="C15" s="1919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893"/>
      <c r="U15" s="114" t="s">
        <v>64</v>
      </c>
      <c r="V15" s="1920">
        <v>9029</v>
      </c>
      <c r="W15" s="1920"/>
      <c r="X15" s="1920"/>
    </row>
    <row r="16" spans="1:25" ht="24.75" customHeight="1" x14ac:dyDescent="0.25">
      <c r="A16" s="100" t="s">
        <v>39</v>
      </c>
      <c r="B16" s="1918">
        <v>161350</v>
      </c>
      <c r="C16" s="1919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1912" t="s">
        <v>55</v>
      </c>
      <c r="U16" s="1912"/>
      <c r="V16" s="1925">
        <f>Y12</f>
        <v>172821.23250000001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928" t="s">
        <v>104</v>
      </c>
      <c r="U17" s="1929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164937</v>
      </c>
      <c r="C18" s="1919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912" t="s">
        <v>57</v>
      </c>
      <c r="U18" s="1912"/>
      <c r="V18" s="1920">
        <v>530</v>
      </c>
      <c r="W18" s="1920"/>
      <c r="X18" s="1920"/>
      <c r="Y18" s="1927" t="s">
        <v>103</v>
      </c>
    </row>
    <row r="19" spans="1:25" ht="25.5" customHeight="1" x14ac:dyDescent="0.25">
      <c r="A19" s="100" t="s">
        <v>41</v>
      </c>
      <c r="B19" s="1918">
        <f>B15+B16+B17-B18</f>
        <v>274918</v>
      </c>
      <c r="C19" s="1919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914" t="s">
        <v>48</v>
      </c>
      <c r="U19" s="49" t="s">
        <v>58</v>
      </c>
      <c r="V19" s="1920">
        <v>155300</v>
      </c>
      <c r="W19" s="1920"/>
      <c r="X19" s="1920"/>
      <c r="Y19" s="192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2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>
        <v>163835</v>
      </c>
      <c r="W21" s="1920"/>
      <c r="X21" s="1920"/>
      <c r="Y21" s="1927"/>
    </row>
    <row r="22" spans="1:25" ht="39.75" customHeight="1" x14ac:dyDescent="0.25">
      <c r="A22" s="10"/>
      <c r="B22" s="1916" t="s">
        <v>49</v>
      </c>
      <c r="C22" s="1923">
        <v>400000</v>
      </c>
      <c r="D22" s="1920">
        <v>155300</v>
      </c>
      <c r="E22" s="1920">
        <v>155300</v>
      </c>
      <c r="F22" s="1920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10"/>
      <c r="U22" s="50" t="s">
        <v>61</v>
      </c>
      <c r="V22" s="1920">
        <v>155300</v>
      </c>
      <c r="W22" s="1920"/>
      <c r="X22" s="1920"/>
      <c r="Y22" s="192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23492.232500000013</v>
      </c>
      <c r="W23" s="1921"/>
      <c r="X23" s="1921"/>
      <c r="Y23" s="1927"/>
    </row>
    <row r="24" spans="1:25" ht="27" customHeight="1" x14ac:dyDescent="0.25">
      <c r="B24" s="1916"/>
      <c r="C24" s="114" t="s">
        <v>46</v>
      </c>
      <c r="D24" s="114" t="s">
        <v>50</v>
      </c>
      <c r="E24" s="114" t="s">
        <v>51</v>
      </c>
      <c r="F24" s="114" t="s">
        <v>52</v>
      </c>
      <c r="T24" s="1893"/>
      <c r="U24" s="51" t="s">
        <v>63</v>
      </c>
      <c r="V24" s="1920">
        <f>V15+V21-V22</f>
        <v>17564</v>
      </c>
      <c r="W24" s="1920"/>
      <c r="X24" s="192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00" t="s">
        <v>147</v>
      </c>
      <c r="U3" s="1900"/>
      <c r="V3" s="1900"/>
      <c r="W3" s="1900"/>
      <c r="X3" s="1900"/>
      <c r="Y3" s="1900"/>
    </row>
    <row r="4" spans="1:25" s="11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6" customFormat="1" ht="25.5" customHeight="1" x14ac:dyDescent="0.25">
      <c r="A5" s="1901"/>
      <c r="B5" s="190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93" t="s">
        <v>46</v>
      </c>
      <c r="U14" s="114" t="s">
        <v>54</v>
      </c>
      <c r="V14" s="1918">
        <v>23492</v>
      </c>
      <c r="W14" s="1926"/>
      <c r="X14" s="1919"/>
    </row>
    <row r="15" spans="1:25" ht="22.5" customHeight="1" x14ac:dyDescent="0.25">
      <c r="A15" s="100" t="s">
        <v>38</v>
      </c>
      <c r="B15" s="1918">
        <v>274918</v>
      </c>
      <c r="C15" s="1919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1893"/>
      <c r="U15" s="114" t="s">
        <v>64</v>
      </c>
      <c r="V15" s="1920">
        <v>17564</v>
      </c>
      <c r="W15" s="1920"/>
      <c r="X15" s="1920"/>
    </row>
    <row r="16" spans="1:25" ht="24.75" customHeight="1" x14ac:dyDescent="0.25">
      <c r="A16" s="100" t="s">
        <v>39</v>
      </c>
      <c r="B16" s="1918">
        <v>428986</v>
      </c>
      <c r="C16" s="1919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912" t="s">
        <v>55</v>
      </c>
      <c r="U16" s="1912"/>
      <c r="V16" s="1925">
        <f>Y12</f>
        <v>466873.33750000008</v>
      </c>
      <c r="W16" s="1925"/>
      <c r="X16" s="1920"/>
    </row>
    <row r="17" spans="1:25" ht="28.5" customHeight="1" x14ac:dyDescent="0.25">
      <c r="A17" s="101" t="s">
        <v>44</v>
      </c>
      <c r="B17" s="1918">
        <v>5856</v>
      </c>
      <c r="C17" s="191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928" t="s">
        <v>104</v>
      </c>
      <c r="U17" s="1929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476315</v>
      </c>
      <c r="C18" s="1919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912" t="s">
        <v>57</v>
      </c>
      <c r="U18" s="1912"/>
      <c r="V18" s="1920">
        <v>530</v>
      </c>
      <c r="W18" s="1920"/>
      <c r="X18" s="1920"/>
      <c r="Y18" s="1927" t="s">
        <v>103</v>
      </c>
    </row>
    <row r="19" spans="1:25" ht="25.5" customHeight="1" x14ac:dyDescent="0.25">
      <c r="A19" s="100" t="s">
        <v>41</v>
      </c>
      <c r="B19" s="1918">
        <f>B15+B16+B17-B18</f>
        <v>233445</v>
      </c>
      <c r="C19" s="1919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914" t="s">
        <v>48</v>
      </c>
      <c r="U19" s="49" t="s">
        <v>58</v>
      </c>
      <c r="V19" s="1920">
        <v>412900</v>
      </c>
      <c r="W19" s="1920"/>
      <c r="X19" s="1920"/>
      <c r="Y19" s="192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2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>
        <v>212980</v>
      </c>
      <c r="W21" s="1920"/>
      <c r="X21" s="1920"/>
      <c r="Y21" s="1927"/>
    </row>
    <row r="22" spans="1:25" ht="39.75" customHeight="1" x14ac:dyDescent="0.25">
      <c r="A22" s="10"/>
      <c r="B22" s="1916" t="s">
        <v>49</v>
      </c>
      <c r="C22" s="1923">
        <v>400000</v>
      </c>
      <c r="D22" s="1920">
        <v>412900</v>
      </c>
      <c r="E22" s="1920">
        <v>412900</v>
      </c>
      <c r="F22" s="1920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10"/>
      <c r="U22" s="50" t="s">
        <v>61</v>
      </c>
      <c r="V22" s="1920">
        <v>220000</v>
      </c>
      <c r="W22" s="1920"/>
      <c r="X22" s="1920"/>
      <c r="Y22" s="192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83955.337500000081</v>
      </c>
      <c r="W23" s="1921"/>
      <c r="X23" s="1921"/>
      <c r="Y23" s="1927"/>
    </row>
    <row r="24" spans="1:25" ht="27" customHeight="1" x14ac:dyDescent="0.25">
      <c r="B24" s="1916"/>
      <c r="C24" s="114" t="s">
        <v>46</v>
      </c>
      <c r="D24" s="114" t="s">
        <v>50</v>
      </c>
      <c r="E24" s="114" t="s">
        <v>51</v>
      </c>
      <c r="F24" s="114" t="s">
        <v>52</v>
      </c>
      <c r="T24" s="1893"/>
      <c r="U24" s="51" t="s">
        <v>63</v>
      </c>
      <c r="V24" s="1920">
        <f>V15+V21-V22</f>
        <v>10544</v>
      </c>
      <c r="W24" s="1920"/>
      <c r="X24" s="192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00" t="s">
        <v>149</v>
      </c>
      <c r="U3" s="1900"/>
      <c r="V3" s="1900"/>
      <c r="W3" s="1900"/>
      <c r="X3" s="1900"/>
      <c r="Y3" s="1900"/>
    </row>
    <row r="4" spans="1:25" s="11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6" customFormat="1" ht="25.5" customHeight="1" x14ac:dyDescent="0.25">
      <c r="A5" s="1901"/>
      <c r="B5" s="190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930" t="s">
        <v>150</v>
      </c>
      <c r="R14" s="1930"/>
      <c r="T14" s="1893" t="s">
        <v>46</v>
      </c>
      <c r="U14" s="114" t="s">
        <v>54</v>
      </c>
      <c r="V14" s="1918">
        <v>83955</v>
      </c>
      <c r="W14" s="1926"/>
      <c r="X14" s="1919"/>
    </row>
    <row r="15" spans="1:25" ht="22.5" customHeight="1" x14ac:dyDescent="0.25">
      <c r="A15" s="100" t="s">
        <v>38</v>
      </c>
      <c r="B15" s="1918">
        <v>233445</v>
      </c>
      <c r="C15" s="1919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1920">
        <v>115</v>
      </c>
      <c r="R15" s="1920"/>
      <c r="T15" s="1893"/>
      <c r="U15" s="114" t="s">
        <v>64</v>
      </c>
      <c r="V15" s="1920">
        <v>10544</v>
      </c>
      <c r="W15" s="1920"/>
      <c r="X15" s="1920"/>
    </row>
    <row r="16" spans="1:25" ht="24.75" customHeight="1" x14ac:dyDescent="0.25">
      <c r="A16" s="100" t="s">
        <v>39</v>
      </c>
      <c r="B16" s="1918">
        <v>252381</v>
      </c>
      <c r="C16" s="1919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1883"/>
      <c r="R16" s="1883"/>
      <c r="T16" s="1912" t="s">
        <v>55</v>
      </c>
      <c r="U16" s="1912"/>
      <c r="V16" s="1925">
        <f>Y12</f>
        <v>42204.557500000003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883"/>
      <c r="R17" s="1883"/>
      <c r="T17" s="1928" t="s">
        <v>104</v>
      </c>
      <c r="U17" s="1929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36707</v>
      </c>
      <c r="C18" s="1919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883">
        <v>53</v>
      </c>
      <c r="R18" s="1883"/>
      <c r="T18" s="1912" t="s">
        <v>57</v>
      </c>
      <c r="U18" s="1912"/>
      <c r="V18" s="1920">
        <f>150+5637</f>
        <v>5787</v>
      </c>
      <c r="W18" s="1920"/>
      <c r="X18" s="1920"/>
      <c r="Y18" s="1927" t="s">
        <v>151</v>
      </c>
    </row>
    <row r="19" spans="1:25" ht="25.5" customHeight="1" x14ac:dyDescent="0.25">
      <c r="A19" s="100" t="s">
        <v>41</v>
      </c>
      <c r="B19" s="1918">
        <f>B15+B16+B17-B18</f>
        <v>449119</v>
      </c>
      <c r="C19" s="1919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918">
        <f t="shared" ref="Q19" si="14">Q15+Q16+Q17-Q18</f>
        <v>62</v>
      </c>
      <c r="R19" s="1919"/>
      <c r="T19" s="1914" t="s">
        <v>48</v>
      </c>
      <c r="U19" s="49" t="s">
        <v>58</v>
      </c>
      <c r="V19" s="1920">
        <v>98000</v>
      </c>
      <c r="W19" s="1920"/>
      <c r="X19" s="1920"/>
      <c r="Y19" s="192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2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>
        <v>98050</v>
      </c>
      <c r="W21" s="1920"/>
      <c r="X21" s="1920"/>
      <c r="Y21" s="1927"/>
    </row>
    <row r="22" spans="1:25" ht="39.75" customHeight="1" x14ac:dyDescent="0.25">
      <c r="A22" s="10"/>
      <c r="B22" s="1916" t="s">
        <v>49</v>
      </c>
      <c r="C22" s="1923">
        <v>400000</v>
      </c>
      <c r="D22" s="1920">
        <v>98000</v>
      </c>
      <c r="E22" s="1920">
        <v>589557</v>
      </c>
      <c r="F22" s="1920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10"/>
      <c r="U22" s="50" t="s">
        <v>61</v>
      </c>
      <c r="V22" s="1920">
        <v>98000</v>
      </c>
      <c r="W22" s="1920"/>
      <c r="X22" s="1920"/>
      <c r="Y22" s="192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22322.557499999995</v>
      </c>
      <c r="W23" s="1921"/>
      <c r="X23" s="1921"/>
      <c r="Y23" s="1927"/>
    </row>
    <row r="24" spans="1:25" ht="27" customHeight="1" x14ac:dyDescent="0.25">
      <c r="B24" s="1916"/>
      <c r="C24" s="114" t="s">
        <v>46</v>
      </c>
      <c r="D24" s="114" t="s">
        <v>50</v>
      </c>
      <c r="E24" s="114" t="s">
        <v>51</v>
      </c>
      <c r="F24" s="114" t="s">
        <v>52</v>
      </c>
      <c r="T24" s="1893"/>
      <c r="U24" s="51" t="s">
        <v>63</v>
      </c>
      <c r="V24" s="1920">
        <f>V15+V21-V22</f>
        <v>10594</v>
      </c>
      <c r="W24" s="1920"/>
      <c r="X24" s="1920"/>
    </row>
  </sheetData>
  <mergeCells count="54"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Q18:R18"/>
    <mergeCell ref="C22:C23"/>
    <mergeCell ref="D22:D23"/>
    <mergeCell ref="E22:E23"/>
    <mergeCell ref="F22:F23"/>
    <mergeCell ref="Q19:R19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00" t="s">
        <v>152</v>
      </c>
      <c r="U3" s="1900"/>
      <c r="V3" s="1900"/>
      <c r="W3" s="1900"/>
      <c r="X3" s="1900"/>
      <c r="Y3" s="1900"/>
    </row>
    <row r="4" spans="1:25" s="11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6" customFormat="1" ht="25.5" customHeight="1" x14ac:dyDescent="0.25">
      <c r="A5" s="1901"/>
      <c r="B5" s="190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930" t="s">
        <v>150</v>
      </c>
      <c r="R14" s="1930"/>
      <c r="T14" s="1893" t="s">
        <v>46</v>
      </c>
      <c r="U14" s="114" t="s">
        <v>54</v>
      </c>
      <c r="V14" s="1918">
        <v>22323</v>
      </c>
      <c r="W14" s="1926"/>
      <c r="X14" s="1919"/>
    </row>
    <row r="15" spans="1:25" ht="22.5" customHeight="1" x14ac:dyDescent="0.25">
      <c r="A15" s="100" t="s">
        <v>38</v>
      </c>
      <c r="B15" s="1918">
        <v>449119</v>
      </c>
      <c r="C15" s="1919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1920">
        <v>62</v>
      </c>
      <c r="R15" s="1920"/>
      <c r="T15" s="1893"/>
      <c r="U15" s="114" t="s">
        <v>64</v>
      </c>
      <c r="V15" s="1920">
        <v>10594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1883"/>
      <c r="R16" s="1883"/>
      <c r="T16" s="1912" t="s">
        <v>55</v>
      </c>
      <c r="U16" s="1912"/>
      <c r="V16" s="1925">
        <f>Y12</f>
        <v>198587.83499999999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883"/>
      <c r="R17" s="1883"/>
      <c r="T17" s="1928" t="s">
        <v>104</v>
      </c>
      <c r="U17" s="1929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75206</v>
      </c>
      <c r="C18" s="1919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883"/>
      <c r="R18" s="1883"/>
      <c r="T18" s="1912" t="s">
        <v>57</v>
      </c>
      <c r="U18" s="1912"/>
      <c r="V18" s="1920">
        <v>530</v>
      </c>
      <c r="W18" s="1920"/>
      <c r="X18" s="1920"/>
      <c r="Y18" s="1927" t="s">
        <v>100</v>
      </c>
    </row>
    <row r="19" spans="1:25" ht="25.5" customHeight="1" x14ac:dyDescent="0.25">
      <c r="A19" s="100" t="s">
        <v>41</v>
      </c>
      <c r="B19" s="1918">
        <f>B15+B16+B17-B18</f>
        <v>373913</v>
      </c>
      <c r="C19" s="1919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918">
        <f t="shared" ref="Q19" si="14">Q15+Q16+Q17-Q18</f>
        <v>62</v>
      </c>
      <c r="R19" s="1919"/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2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/>
      <c r="W21" s="1920"/>
      <c r="X21" s="1920"/>
      <c r="Y21" s="1927"/>
    </row>
    <row r="22" spans="1:25" ht="39.75" customHeight="1" x14ac:dyDescent="0.25">
      <c r="A22" s="10"/>
      <c r="B22" s="1916" t="s">
        <v>49</v>
      </c>
      <c r="C22" s="1923">
        <v>891557</v>
      </c>
      <c r="D22" s="1920"/>
      <c r="E22" s="1920"/>
      <c r="F22" s="1920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10"/>
      <c r="U22" s="50" t="s">
        <v>61</v>
      </c>
      <c r="V22" s="1920"/>
      <c r="W22" s="1920"/>
      <c r="X22" s="1920"/>
      <c r="Y22" s="192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220380.83499999999</v>
      </c>
      <c r="W23" s="1921"/>
      <c r="X23" s="1921"/>
      <c r="Y23" s="1927"/>
    </row>
    <row r="24" spans="1:25" ht="27" customHeight="1" x14ac:dyDescent="0.25">
      <c r="B24" s="1916"/>
      <c r="C24" s="114" t="s">
        <v>46</v>
      </c>
      <c r="D24" s="114" t="s">
        <v>50</v>
      </c>
      <c r="E24" s="114" t="s">
        <v>51</v>
      </c>
      <c r="F24" s="114" t="s">
        <v>52</v>
      </c>
      <c r="T24" s="1893"/>
      <c r="U24" s="51" t="s">
        <v>63</v>
      </c>
      <c r="V24" s="1920">
        <f>V15+V21-V22</f>
        <v>10594</v>
      </c>
      <c r="W24" s="1920"/>
      <c r="X24" s="192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00" t="s">
        <v>153</v>
      </c>
      <c r="U3" s="1900"/>
      <c r="V3" s="1900"/>
      <c r="W3" s="1900"/>
      <c r="X3" s="1900"/>
      <c r="Y3" s="1900"/>
    </row>
    <row r="4" spans="1:25" s="11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6" customFormat="1" ht="25.5" customHeight="1" x14ac:dyDescent="0.25">
      <c r="A5" s="1901"/>
      <c r="B5" s="190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930" t="s">
        <v>150</v>
      </c>
      <c r="R14" s="1930"/>
      <c r="T14" s="1893" t="s">
        <v>46</v>
      </c>
      <c r="U14" s="114" t="s">
        <v>54</v>
      </c>
      <c r="V14" s="1918">
        <v>220381</v>
      </c>
      <c r="W14" s="1926"/>
      <c r="X14" s="1919"/>
    </row>
    <row r="15" spans="1:25" ht="22.5" customHeight="1" x14ac:dyDescent="0.25">
      <c r="A15" s="100" t="s">
        <v>38</v>
      </c>
      <c r="B15" s="1918">
        <v>373913</v>
      </c>
      <c r="C15" s="1919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1920">
        <v>62</v>
      </c>
      <c r="R15" s="1920"/>
      <c r="T15" s="1893"/>
      <c r="U15" s="114" t="s">
        <v>64</v>
      </c>
      <c r="V15" s="1920">
        <v>10594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1883"/>
      <c r="R16" s="1883"/>
      <c r="T16" s="1912" t="s">
        <v>55</v>
      </c>
      <c r="U16" s="1912"/>
      <c r="V16" s="1925">
        <f>Y12</f>
        <v>146127.48000000001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883"/>
      <c r="R17" s="1883"/>
      <c r="T17" s="1928" t="s">
        <v>154</v>
      </c>
      <c r="U17" s="1929"/>
      <c r="V17" s="1920">
        <v>4200</v>
      </c>
      <c r="W17" s="1920"/>
      <c r="X17" s="1920"/>
    </row>
    <row r="18" spans="1:25" ht="27" customHeight="1" x14ac:dyDescent="0.25">
      <c r="A18" s="100" t="s">
        <v>40</v>
      </c>
      <c r="B18" s="1922">
        <f>C12</f>
        <v>75728</v>
      </c>
      <c r="C18" s="1919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883"/>
      <c r="R18" s="1883"/>
      <c r="T18" s="1912" t="s">
        <v>57</v>
      </c>
      <c r="U18" s="1912"/>
      <c r="V18" s="1920">
        <f>450+4200</f>
        <v>4650</v>
      </c>
      <c r="W18" s="1920"/>
      <c r="X18" s="1920"/>
      <c r="Y18" s="1927" t="s">
        <v>155</v>
      </c>
    </row>
    <row r="19" spans="1:25" ht="25.5" customHeight="1" x14ac:dyDescent="0.25">
      <c r="A19" s="100" t="s">
        <v>41</v>
      </c>
      <c r="B19" s="1918">
        <f>B15+B16+B17-B18</f>
        <v>298185</v>
      </c>
      <c r="C19" s="1919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918">
        <f t="shared" ref="Q19" si="14">Q15+Q16+Q17-Q18</f>
        <v>62</v>
      </c>
      <c r="R19" s="1919"/>
      <c r="T19" s="1914" t="s">
        <v>48</v>
      </c>
      <c r="U19" s="49" t="s">
        <v>58</v>
      </c>
      <c r="V19" s="1920">
        <v>341600</v>
      </c>
      <c r="W19" s="1920"/>
      <c r="X19" s="1920"/>
      <c r="Y19" s="192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2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>
        <v>341600</v>
      </c>
      <c r="W21" s="1920"/>
      <c r="X21" s="1920"/>
      <c r="Y21" s="1927"/>
    </row>
    <row r="22" spans="1:25" ht="39.75" customHeight="1" x14ac:dyDescent="0.25">
      <c r="A22" s="10"/>
      <c r="B22" s="1916" t="s">
        <v>49</v>
      </c>
      <c r="C22" s="1923">
        <v>891557</v>
      </c>
      <c r="D22" s="1920">
        <v>341600</v>
      </c>
      <c r="E22" s="1920">
        <v>87196</v>
      </c>
      <c r="F22" s="1920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10"/>
      <c r="U22" s="50" t="s">
        <v>61</v>
      </c>
      <c r="V22" s="1920">
        <v>341600</v>
      </c>
      <c r="W22" s="1920"/>
      <c r="X22" s="1920"/>
      <c r="Y22" s="192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24458.479999999981</v>
      </c>
      <c r="W23" s="1921"/>
      <c r="X23" s="1921"/>
      <c r="Y23" s="1927"/>
    </row>
    <row r="24" spans="1:25" ht="40.5" customHeight="1" x14ac:dyDescent="0.25">
      <c r="B24" s="1916"/>
      <c r="C24" s="114" t="s">
        <v>46</v>
      </c>
      <c r="D24" s="114" t="s">
        <v>50</v>
      </c>
      <c r="E24" s="114" t="s">
        <v>51</v>
      </c>
      <c r="F24" s="114" t="s">
        <v>52</v>
      </c>
      <c r="T24" s="1893"/>
      <c r="U24" s="51" t="s">
        <v>63</v>
      </c>
      <c r="V24" s="1920">
        <f>V15+V21-V22</f>
        <v>10594</v>
      </c>
      <c r="W24" s="1920"/>
      <c r="X24" s="192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00" t="s">
        <v>156</v>
      </c>
      <c r="U3" s="1900"/>
      <c r="V3" s="1900"/>
      <c r="W3" s="1900"/>
      <c r="X3" s="1900"/>
      <c r="Y3" s="1900"/>
    </row>
    <row r="4" spans="1:25" s="11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6" customFormat="1" ht="25.5" customHeight="1" x14ac:dyDescent="0.25">
      <c r="A5" s="1901"/>
      <c r="B5" s="190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930" t="s">
        <v>150</v>
      </c>
      <c r="R14" s="1930"/>
      <c r="T14" s="1893" t="s">
        <v>46</v>
      </c>
      <c r="U14" s="114" t="s">
        <v>54</v>
      </c>
      <c r="V14" s="1918">
        <v>24458</v>
      </c>
      <c r="W14" s="1926"/>
      <c r="X14" s="1919"/>
    </row>
    <row r="15" spans="1:25" ht="22.5" customHeight="1" x14ac:dyDescent="0.25">
      <c r="A15" s="100" t="s">
        <v>38</v>
      </c>
      <c r="B15" s="1918">
        <v>298185</v>
      </c>
      <c r="C15" s="1919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1920">
        <v>62</v>
      </c>
      <c r="R15" s="1920"/>
      <c r="T15" s="1893"/>
      <c r="U15" s="114" t="s">
        <v>64</v>
      </c>
      <c r="V15" s="1920">
        <v>10594</v>
      </c>
      <c r="W15" s="1920"/>
      <c r="X15" s="1920"/>
    </row>
    <row r="16" spans="1:25" ht="24.75" customHeight="1" x14ac:dyDescent="0.25">
      <c r="A16" s="100" t="s">
        <v>39</v>
      </c>
      <c r="B16" s="1918">
        <v>144104</v>
      </c>
      <c r="C16" s="1919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1883"/>
      <c r="R16" s="1883"/>
      <c r="T16" s="1912" t="s">
        <v>55</v>
      </c>
      <c r="U16" s="1912"/>
      <c r="V16" s="1925">
        <f>Y12</f>
        <v>136723.26999999999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883"/>
      <c r="R17" s="1883"/>
      <c r="T17" s="1928" t="s">
        <v>154</v>
      </c>
      <c r="U17" s="1929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114172</v>
      </c>
      <c r="C18" s="1919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883"/>
      <c r="R18" s="1883"/>
      <c r="T18" s="1912" t="s">
        <v>57</v>
      </c>
      <c r="U18" s="1912"/>
      <c r="V18" s="1920">
        <f>450+1020</f>
        <v>1470</v>
      </c>
      <c r="W18" s="1920"/>
      <c r="X18" s="1920"/>
      <c r="Y18" s="1927" t="s">
        <v>157</v>
      </c>
    </row>
    <row r="19" spans="1:25" ht="25.5" customHeight="1" x14ac:dyDescent="0.25">
      <c r="A19" s="100" t="s">
        <v>41</v>
      </c>
      <c r="B19" s="1918">
        <f>B15+B16+B17-B18</f>
        <v>328117</v>
      </c>
      <c r="C19" s="1919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918">
        <f t="shared" ref="Q19" si="14">Q15+Q16+Q17-Q18</f>
        <v>62</v>
      </c>
      <c r="R19" s="1919"/>
      <c r="T19" s="1914" t="s">
        <v>48</v>
      </c>
      <c r="U19" s="49" t="s">
        <v>58</v>
      </c>
      <c r="V19" s="1920">
        <v>138700</v>
      </c>
      <c r="W19" s="1920"/>
      <c r="X19" s="1920"/>
      <c r="Y19" s="192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2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>
        <v>138775</v>
      </c>
      <c r="W21" s="1920"/>
      <c r="X21" s="1920"/>
      <c r="Y21" s="1927"/>
    </row>
    <row r="22" spans="1:25" ht="39.75" customHeight="1" x14ac:dyDescent="0.25">
      <c r="A22" s="10"/>
      <c r="B22" s="1916" t="s">
        <v>49</v>
      </c>
      <c r="C22" s="1923">
        <v>637153</v>
      </c>
      <c r="D22" s="1920">
        <v>138700</v>
      </c>
      <c r="E22" s="1920">
        <v>138700</v>
      </c>
      <c r="F22" s="1920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10"/>
      <c r="U22" s="50" t="s">
        <v>61</v>
      </c>
      <c r="V22" s="1920">
        <v>138700</v>
      </c>
      <c r="W22" s="1920"/>
      <c r="X22" s="1920"/>
      <c r="Y22" s="192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20936.26999999999</v>
      </c>
      <c r="W23" s="1921"/>
      <c r="X23" s="1921"/>
      <c r="Y23" s="1927"/>
    </row>
    <row r="24" spans="1:25" ht="40.5" customHeight="1" x14ac:dyDescent="0.25">
      <c r="B24" s="1916"/>
      <c r="C24" s="114" t="s">
        <v>46</v>
      </c>
      <c r="D24" s="114" t="s">
        <v>50</v>
      </c>
      <c r="E24" s="114" t="s">
        <v>51</v>
      </c>
      <c r="F24" s="114" t="s">
        <v>52</v>
      </c>
      <c r="T24" s="1893"/>
      <c r="U24" s="51" t="s">
        <v>63</v>
      </c>
      <c r="V24" s="1920">
        <f>V15+V21-V22</f>
        <v>10669</v>
      </c>
      <c r="W24" s="1920"/>
      <c r="X24" s="192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00" t="s">
        <v>158</v>
      </c>
      <c r="U3" s="1900"/>
      <c r="V3" s="1900"/>
      <c r="W3" s="1900"/>
      <c r="X3" s="1900"/>
      <c r="Y3" s="1900"/>
    </row>
    <row r="4" spans="1:25" s="11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6" customFormat="1" ht="25.5" customHeight="1" x14ac:dyDescent="0.25">
      <c r="A5" s="1901"/>
      <c r="B5" s="190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930" t="s">
        <v>150</v>
      </c>
      <c r="R14" s="1930"/>
      <c r="T14" s="1893" t="s">
        <v>46</v>
      </c>
      <c r="U14" s="114" t="s">
        <v>54</v>
      </c>
      <c r="V14" s="1918">
        <v>20936</v>
      </c>
      <c r="W14" s="1926"/>
      <c r="X14" s="1919"/>
    </row>
    <row r="15" spans="1:25" ht="22.5" customHeight="1" x14ac:dyDescent="0.25">
      <c r="A15" s="100" t="s">
        <v>38</v>
      </c>
      <c r="B15" s="1918">
        <v>328117</v>
      </c>
      <c r="C15" s="1919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1920">
        <v>62</v>
      </c>
      <c r="R15" s="1920"/>
      <c r="T15" s="1893"/>
      <c r="U15" s="114" t="s">
        <v>64</v>
      </c>
      <c r="V15" s="1920">
        <v>10669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1883"/>
      <c r="R16" s="1883"/>
      <c r="T16" s="1912" t="s">
        <v>55</v>
      </c>
      <c r="U16" s="1912"/>
      <c r="V16" s="1925">
        <f>Y12</f>
        <v>182881.4075</v>
      </c>
      <c r="W16" s="1925"/>
      <c r="X16" s="1920"/>
    </row>
    <row r="17" spans="1:25" ht="28.5" customHeight="1" x14ac:dyDescent="0.25">
      <c r="A17" s="101" t="s">
        <v>44</v>
      </c>
      <c r="B17" s="1918">
        <v>42597</v>
      </c>
      <c r="C17" s="191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883"/>
      <c r="R17" s="1883"/>
      <c r="T17" s="1928" t="s">
        <v>154</v>
      </c>
      <c r="U17" s="1929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93767</v>
      </c>
      <c r="C18" s="1919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1883"/>
      <c r="R18" s="1883"/>
      <c r="T18" s="1912" t="s">
        <v>57</v>
      </c>
      <c r="U18" s="1912"/>
      <c r="V18" s="1920">
        <f>450+41000</f>
        <v>41450</v>
      </c>
      <c r="W18" s="1920"/>
      <c r="X18" s="1920"/>
      <c r="Y18" s="1927" t="s">
        <v>159</v>
      </c>
    </row>
    <row r="19" spans="1:25" ht="25.5" customHeight="1" x14ac:dyDescent="0.25">
      <c r="A19" s="100" t="s">
        <v>41</v>
      </c>
      <c r="B19" s="1918">
        <f>B15+B16+B17-B18</f>
        <v>276947</v>
      </c>
      <c r="C19" s="1919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918">
        <f t="shared" ref="Q19" si="14">Q15+Q16+Q17-Q18</f>
        <v>62</v>
      </c>
      <c r="R19" s="1919"/>
      <c r="T19" s="1914" t="s">
        <v>48</v>
      </c>
      <c r="U19" s="49" t="s">
        <v>58</v>
      </c>
      <c r="V19" s="1920">
        <v>133500</v>
      </c>
      <c r="W19" s="1920"/>
      <c r="X19" s="1920"/>
      <c r="Y19" s="192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2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>
        <v>133590</v>
      </c>
      <c r="W21" s="1920"/>
      <c r="X21" s="1920"/>
      <c r="Y21" s="1927"/>
    </row>
    <row r="22" spans="1:25" ht="39.75" customHeight="1" x14ac:dyDescent="0.25">
      <c r="A22" s="10"/>
      <c r="B22" s="1916" t="s">
        <v>49</v>
      </c>
      <c r="C22" s="1923">
        <v>637153</v>
      </c>
      <c r="D22" s="1920">
        <v>133500</v>
      </c>
      <c r="E22" s="1920"/>
      <c r="F22" s="1920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10"/>
      <c r="U22" s="50" t="s">
        <v>61</v>
      </c>
      <c r="V22" s="1920">
        <v>133500</v>
      </c>
      <c r="W22" s="1920"/>
      <c r="X22" s="1920"/>
      <c r="Y22" s="192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28777.407500000001</v>
      </c>
      <c r="W23" s="1921"/>
      <c r="X23" s="1921"/>
      <c r="Y23" s="1927"/>
    </row>
    <row r="24" spans="1:25" ht="40.5" customHeight="1" x14ac:dyDescent="0.25">
      <c r="B24" s="1916"/>
      <c r="C24" s="114" t="s">
        <v>46</v>
      </c>
      <c r="D24" s="114" t="s">
        <v>50</v>
      </c>
      <c r="E24" s="114" t="s">
        <v>51</v>
      </c>
      <c r="F24" s="114" t="s">
        <v>52</v>
      </c>
      <c r="T24" s="1893"/>
      <c r="U24" s="51" t="s">
        <v>63</v>
      </c>
      <c r="V24" s="1920">
        <f>V15+V21-V22</f>
        <v>10759</v>
      </c>
      <c r="W24" s="1920"/>
      <c r="X24" s="192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00" t="s">
        <v>160</v>
      </c>
      <c r="U3" s="1900"/>
      <c r="V3" s="1900"/>
      <c r="W3" s="1900"/>
      <c r="X3" s="1900"/>
      <c r="Y3" s="1900"/>
    </row>
    <row r="4" spans="1:25" s="11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6" customFormat="1" ht="25.5" customHeight="1" x14ac:dyDescent="0.25">
      <c r="A5" s="1901"/>
      <c r="B5" s="190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930" t="s">
        <v>150</v>
      </c>
      <c r="R14" s="1930"/>
      <c r="T14" s="1893" t="s">
        <v>46</v>
      </c>
      <c r="U14" s="114" t="s">
        <v>54</v>
      </c>
      <c r="V14" s="1918">
        <v>28777</v>
      </c>
      <c r="W14" s="1926"/>
      <c r="X14" s="1919"/>
    </row>
    <row r="15" spans="1:25" ht="22.5" customHeight="1" x14ac:dyDescent="0.25">
      <c r="A15" s="100" t="s">
        <v>38</v>
      </c>
      <c r="B15" s="1918">
        <v>276947</v>
      </c>
      <c r="C15" s="1919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1920">
        <v>62</v>
      </c>
      <c r="R15" s="1920"/>
      <c r="T15" s="1893"/>
      <c r="U15" s="114" t="s">
        <v>64</v>
      </c>
      <c r="V15" s="1920">
        <v>10759</v>
      </c>
      <c r="W15" s="1920"/>
      <c r="X15" s="1920"/>
    </row>
    <row r="16" spans="1:25" ht="24.75" customHeight="1" x14ac:dyDescent="0.25">
      <c r="A16" s="100" t="s">
        <v>39</v>
      </c>
      <c r="B16" s="1918">
        <v>207273</v>
      </c>
      <c r="C16" s="1919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1883"/>
      <c r="R16" s="1883"/>
      <c r="T16" s="1912" t="s">
        <v>55</v>
      </c>
      <c r="U16" s="1912"/>
      <c r="V16" s="1925">
        <f>Y12</f>
        <v>189086.10500000001</v>
      </c>
      <c r="W16" s="1925"/>
      <c r="X16" s="1920"/>
    </row>
    <row r="17" spans="1:25" ht="28.5" customHeight="1" x14ac:dyDescent="0.25">
      <c r="A17" s="101" t="s">
        <v>44</v>
      </c>
      <c r="B17" s="1918">
        <v>26145</v>
      </c>
      <c r="C17" s="191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883"/>
      <c r="R17" s="1883"/>
      <c r="T17" s="1928" t="s">
        <v>154</v>
      </c>
      <c r="U17" s="1929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170978</v>
      </c>
      <c r="C18" s="1919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883"/>
      <c r="R18" s="1883"/>
      <c r="T18" s="1912" t="s">
        <v>57</v>
      </c>
      <c r="U18" s="1912"/>
      <c r="V18" s="1920">
        <f>450+300+530</f>
        <v>1280</v>
      </c>
      <c r="W18" s="1920"/>
      <c r="X18" s="1920"/>
      <c r="Y18" s="1927" t="s">
        <v>161</v>
      </c>
    </row>
    <row r="19" spans="1:25" ht="25.5" customHeight="1" x14ac:dyDescent="0.25">
      <c r="A19" s="100" t="s">
        <v>41</v>
      </c>
      <c r="B19" s="1918">
        <f>B15+B16+B17-B18</f>
        <v>339387</v>
      </c>
      <c r="C19" s="1919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918">
        <f t="shared" ref="Q19" si="14">Q15+Q16+Q17-Q18</f>
        <v>62</v>
      </c>
      <c r="R19" s="1919"/>
      <c r="T19" s="1914" t="s">
        <v>48</v>
      </c>
      <c r="U19" s="49" t="s">
        <v>58</v>
      </c>
      <c r="V19" s="1920">
        <v>199500</v>
      </c>
      <c r="W19" s="1920"/>
      <c r="X19" s="1920"/>
      <c r="Y19" s="192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2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>
        <v>199420</v>
      </c>
      <c r="W21" s="1920"/>
      <c r="X21" s="1920"/>
      <c r="Y21" s="1927"/>
    </row>
    <row r="22" spans="1:25" ht="39.75" customHeight="1" x14ac:dyDescent="0.25">
      <c r="A22" s="10"/>
      <c r="B22" s="1916" t="s">
        <v>49</v>
      </c>
      <c r="C22" s="1923">
        <v>503653</v>
      </c>
      <c r="D22" s="1920">
        <v>199500</v>
      </c>
      <c r="E22" s="1920">
        <v>199500</v>
      </c>
      <c r="F22" s="1920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10"/>
      <c r="U22" s="50" t="s">
        <v>61</v>
      </c>
      <c r="V22" s="1920">
        <v>199500</v>
      </c>
      <c r="W22" s="1920"/>
      <c r="X22" s="1920"/>
      <c r="Y22" s="192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17163.10500000001</v>
      </c>
      <c r="W23" s="1921"/>
      <c r="X23" s="1921"/>
      <c r="Y23" s="1927"/>
    </row>
    <row r="24" spans="1:25" ht="40.5" customHeight="1" x14ac:dyDescent="0.25">
      <c r="B24" s="1916"/>
      <c r="C24" s="114" t="s">
        <v>46</v>
      </c>
      <c r="D24" s="114" t="s">
        <v>50</v>
      </c>
      <c r="E24" s="114" t="s">
        <v>51</v>
      </c>
      <c r="F24" s="114" t="s">
        <v>52</v>
      </c>
      <c r="T24" s="1893"/>
      <c r="U24" s="51" t="s">
        <v>63</v>
      </c>
      <c r="V24" s="1920">
        <f>V15+V21-V22</f>
        <v>10679</v>
      </c>
      <c r="W24" s="1920"/>
      <c r="X24" s="192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00" t="s">
        <v>162</v>
      </c>
      <c r="U3" s="1900"/>
      <c r="V3" s="1900"/>
      <c r="W3" s="1900"/>
      <c r="X3" s="1900"/>
      <c r="Y3" s="1900"/>
    </row>
    <row r="4" spans="1:25" s="11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6" customFormat="1" ht="25.5" customHeight="1" x14ac:dyDescent="0.25">
      <c r="A5" s="1901"/>
      <c r="B5" s="190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930" t="s">
        <v>150</v>
      </c>
      <c r="R14" s="1930"/>
      <c r="T14" s="1893" t="s">
        <v>46</v>
      </c>
      <c r="U14" s="114" t="s">
        <v>54</v>
      </c>
      <c r="V14" s="1918">
        <v>17163</v>
      </c>
      <c r="W14" s="1926"/>
      <c r="X14" s="1919"/>
    </row>
    <row r="15" spans="1:25" ht="22.5" customHeight="1" x14ac:dyDescent="0.25">
      <c r="A15" s="100" t="s">
        <v>38</v>
      </c>
      <c r="B15" s="1918">
        <v>339387</v>
      </c>
      <c r="C15" s="1919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1920">
        <v>62</v>
      </c>
      <c r="R15" s="1920"/>
      <c r="T15" s="1893"/>
      <c r="U15" s="114" t="s">
        <v>64</v>
      </c>
      <c r="V15" s="1920">
        <v>10679</v>
      </c>
      <c r="W15" s="1920"/>
      <c r="X15" s="1920"/>
    </row>
    <row r="16" spans="1:25" ht="24.75" customHeight="1" x14ac:dyDescent="0.25">
      <c r="A16" s="100" t="s">
        <v>39</v>
      </c>
      <c r="B16" s="1918">
        <v>330000</v>
      </c>
      <c r="C16" s="1919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1883"/>
      <c r="R16" s="1883"/>
      <c r="T16" s="1912" t="s">
        <v>55</v>
      </c>
      <c r="U16" s="1912"/>
      <c r="V16" s="1925">
        <f>Y12</f>
        <v>215488.86749999999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883"/>
      <c r="R17" s="1883"/>
      <c r="T17" s="1928" t="s">
        <v>154</v>
      </c>
      <c r="U17" s="1929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172223</v>
      </c>
      <c r="C18" s="1919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1883">
        <v>10</v>
      </c>
      <c r="R18" s="1883"/>
      <c r="T18" s="1912" t="s">
        <v>57</v>
      </c>
      <c r="U18" s="1912"/>
      <c r="V18" s="1920">
        <f>450+25165</f>
        <v>25615</v>
      </c>
      <c r="W18" s="1920"/>
      <c r="X18" s="1920"/>
      <c r="Y18" s="1927" t="s">
        <v>159</v>
      </c>
    </row>
    <row r="19" spans="1:25" ht="25.5" customHeight="1" x14ac:dyDescent="0.25">
      <c r="A19" s="100" t="s">
        <v>41</v>
      </c>
      <c r="B19" s="1918">
        <f>B15+B16+B17-B18</f>
        <v>497164</v>
      </c>
      <c r="C19" s="1919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918">
        <f t="shared" ref="Q19" si="14">Q15+Q16+Q17-Q18</f>
        <v>52</v>
      </c>
      <c r="R19" s="1919"/>
      <c r="T19" s="1914" t="s">
        <v>48</v>
      </c>
      <c r="U19" s="49" t="s">
        <v>58</v>
      </c>
      <c r="V19" s="1920">
        <v>179500</v>
      </c>
      <c r="W19" s="1920"/>
      <c r="X19" s="1920"/>
      <c r="Y19" s="192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2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>
        <v>179510</v>
      </c>
      <c r="W21" s="1920"/>
      <c r="X21" s="1920"/>
      <c r="Y21" s="1927"/>
    </row>
    <row r="22" spans="1:25" ht="39.75" customHeight="1" x14ac:dyDescent="0.25">
      <c r="A22" s="10"/>
      <c r="B22" s="1916" t="s">
        <v>49</v>
      </c>
      <c r="C22" s="1923">
        <v>503653</v>
      </c>
      <c r="D22" s="1920">
        <v>179500</v>
      </c>
      <c r="E22" s="1920">
        <v>317625</v>
      </c>
      <c r="F22" s="1920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10"/>
      <c r="U22" s="50" t="s">
        <v>61</v>
      </c>
      <c r="V22" s="1920">
        <v>179500</v>
      </c>
      <c r="W22" s="1920"/>
      <c r="X22" s="1920"/>
      <c r="Y22" s="192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27526.867499999993</v>
      </c>
      <c r="W23" s="1921"/>
      <c r="X23" s="1921"/>
      <c r="Y23" s="1927"/>
    </row>
    <row r="24" spans="1:25" ht="40.5" customHeight="1" x14ac:dyDescent="0.25">
      <c r="B24" s="1916"/>
      <c r="C24" s="114" t="s">
        <v>46</v>
      </c>
      <c r="D24" s="114" t="s">
        <v>50</v>
      </c>
      <c r="E24" s="114" t="s">
        <v>51</v>
      </c>
      <c r="F24" s="114" t="s">
        <v>52</v>
      </c>
      <c r="T24" s="1893"/>
      <c r="U24" s="51" t="s">
        <v>63</v>
      </c>
      <c r="V24" s="1920">
        <f>V15+V21-V22</f>
        <v>10689</v>
      </c>
      <c r="W24" s="1920"/>
      <c r="X24" s="192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00" t="s">
        <v>163</v>
      </c>
      <c r="U3" s="1900"/>
      <c r="V3" s="1900"/>
      <c r="W3" s="1900"/>
      <c r="X3" s="1900"/>
      <c r="Y3" s="1900"/>
    </row>
    <row r="4" spans="1:25" s="11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6" customFormat="1" ht="25.5" customHeight="1" x14ac:dyDescent="0.25">
      <c r="A5" s="1901"/>
      <c r="B5" s="190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930" t="s">
        <v>150</v>
      </c>
      <c r="R14" s="1930"/>
      <c r="T14" s="1893" t="s">
        <v>46</v>
      </c>
      <c r="U14" s="114" t="s">
        <v>54</v>
      </c>
      <c r="V14" s="1918">
        <v>27527</v>
      </c>
      <c r="W14" s="1926"/>
      <c r="X14" s="1919"/>
    </row>
    <row r="15" spans="1:25" ht="22.5" customHeight="1" x14ac:dyDescent="0.25">
      <c r="A15" s="100" t="s">
        <v>38</v>
      </c>
      <c r="B15" s="1918">
        <v>497164</v>
      </c>
      <c r="C15" s="1919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920">
        <v>52</v>
      </c>
      <c r="R15" s="1920"/>
      <c r="T15" s="1893"/>
      <c r="U15" s="114" t="s">
        <v>64</v>
      </c>
      <c r="V15" s="1920">
        <v>10689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883"/>
      <c r="R16" s="1883"/>
      <c r="T16" s="1912" t="s">
        <v>55</v>
      </c>
      <c r="U16" s="1912"/>
      <c r="V16" s="1925">
        <f>Y12</f>
        <v>153145.345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883"/>
      <c r="R17" s="1883"/>
      <c r="T17" s="1928" t="s">
        <v>107</v>
      </c>
      <c r="U17" s="1929"/>
      <c r="V17" s="1920">
        <v>43121</v>
      </c>
      <c r="W17" s="1920"/>
      <c r="X17" s="1920"/>
    </row>
    <row r="18" spans="1:25" ht="27" customHeight="1" x14ac:dyDescent="0.25">
      <c r="A18" s="100" t="s">
        <v>40</v>
      </c>
      <c r="B18" s="1922">
        <f>C12</f>
        <v>148242</v>
      </c>
      <c r="C18" s="1919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1883"/>
      <c r="R18" s="1883"/>
      <c r="T18" s="1912" t="s">
        <v>57</v>
      </c>
      <c r="U18" s="1912"/>
      <c r="V18" s="1920">
        <f>450+85500</f>
        <v>85950</v>
      </c>
      <c r="W18" s="1920"/>
      <c r="X18" s="1920"/>
      <c r="Y18" s="1927" t="s">
        <v>164</v>
      </c>
    </row>
    <row r="19" spans="1:25" ht="25.5" customHeight="1" x14ac:dyDescent="0.25">
      <c r="A19" s="100" t="s">
        <v>41</v>
      </c>
      <c r="B19" s="1918">
        <f>B15+B16+B17-B18</f>
        <v>348922</v>
      </c>
      <c r="C19" s="1919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918">
        <f t="shared" ref="Q19" si="14">Q15+Q16+Q17-Q18</f>
        <v>52</v>
      </c>
      <c r="R19" s="1919"/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15"/>
      <c r="U20" s="49" t="s">
        <v>59</v>
      </c>
      <c r="V20" s="1920"/>
      <c r="W20" s="1920"/>
      <c r="X20" s="1920"/>
      <c r="Y20" s="192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09" t="s">
        <v>83</v>
      </c>
      <c r="U21" s="50" t="s">
        <v>60</v>
      </c>
      <c r="V21" s="1920"/>
      <c r="W21" s="1920"/>
      <c r="X21" s="1920"/>
      <c r="Y21" s="1927"/>
    </row>
    <row r="22" spans="1:25" ht="39.75" customHeight="1" x14ac:dyDescent="0.25">
      <c r="A22" s="10"/>
      <c r="B22" s="1916" t="s">
        <v>49</v>
      </c>
      <c r="C22" s="1923">
        <v>641778</v>
      </c>
      <c r="D22" s="1920"/>
      <c r="E22" s="1920"/>
      <c r="F22" s="1920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10"/>
      <c r="U22" s="50" t="s">
        <v>61</v>
      </c>
      <c r="V22" s="1920"/>
      <c r="W22" s="1920"/>
      <c r="X22" s="1920"/>
      <c r="Y22" s="1927"/>
    </row>
    <row r="23" spans="1:25" ht="47.25" customHeight="1" x14ac:dyDescent="0.25">
      <c r="A23" s="10"/>
      <c r="B23" s="1916"/>
      <c r="C23" s="1924"/>
      <c r="D23" s="1920"/>
      <c r="E23" s="1920"/>
      <c r="F23" s="19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93" t="s">
        <v>47</v>
      </c>
      <c r="U23" s="51" t="s">
        <v>62</v>
      </c>
      <c r="V23" s="1921">
        <f>V14+V16+V17-V18-V19-V20-V21+V22</f>
        <v>137843.345</v>
      </c>
      <c r="W23" s="1921"/>
      <c r="X23" s="1921"/>
      <c r="Y23" s="1927"/>
    </row>
    <row r="24" spans="1:25" ht="40.5" customHeight="1" x14ac:dyDescent="0.25">
      <c r="B24" s="1916"/>
      <c r="C24" s="114" t="s">
        <v>46</v>
      </c>
      <c r="D24" s="114" t="s">
        <v>50</v>
      </c>
      <c r="E24" s="114" t="s">
        <v>51</v>
      </c>
      <c r="F24" s="114" t="s">
        <v>52</v>
      </c>
      <c r="T24" s="1893"/>
      <c r="U24" s="51" t="s">
        <v>63</v>
      </c>
      <c r="V24" s="1920">
        <f>V15+V21-V22</f>
        <v>10689</v>
      </c>
      <c r="W24" s="1920"/>
      <c r="X24" s="192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00" t="s">
        <v>165</v>
      </c>
      <c r="U3" s="1900"/>
      <c r="V3" s="1900"/>
      <c r="W3" s="1900"/>
      <c r="X3" s="1900"/>
      <c r="Y3" s="1900"/>
    </row>
    <row r="4" spans="1:25" s="11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6" customFormat="1" ht="25.5" customHeight="1" x14ac:dyDescent="0.25">
      <c r="A5" s="1901"/>
      <c r="B5" s="190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930" t="s">
        <v>150</v>
      </c>
      <c r="R14" s="1930"/>
      <c r="T14" s="1893" t="s">
        <v>46</v>
      </c>
      <c r="U14" s="114" t="s">
        <v>54</v>
      </c>
      <c r="V14" s="1918">
        <v>137843</v>
      </c>
      <c r="W14" s="1926"/>
      <c r="X14" s="1919"/>
    </row>
    <row r="15" spans="1:25" ht="22.5" customHeight="1" x14ac:dyDescent="0.25">
      <c r="A15" s="100" t="s">
        <v>38</v>
      </c>
      <c r="B15" s="1918">
        <v>348922</v>
      </c>
      <c r="C15" s="1919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920">
        <v>52</v>
      </c>
      <c r="R15" s="1920"/>
      <c r="T15" s="1893"/>
      <c r="U15" s="114" t="s">
        <v>64</v>
      </c>
      <c r="V15" s="1920">
        <v>10689</v>
      </c>
      <c r="W15" s="1920"/>
      <c r="X15" s="1920"/>
    </row>
    <row r="16" spans="1:25" ht="24.75" customHeight="1" x14ac:dyDescent="0.25">
      <c r="A16" s="100" t="s">
        <v>39</v>
      </c>
      <c r="B16" s="1918">
        <v>35856</v>
      </c>
      <c r="C16" s="1919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1883"/>
      <c r="R16" s="1883"/>
      <c r="T16" s="1912" t="s">
        <v>55</v>
      </c>
      <c r="U16" s="1912"/>
      <c r="V16" s="1925">
        <f>Y12</f>
        <v>115341.38249999999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883"/>
      <c r="R17" s="1883"/>
      <c r="T17" s="1928" t="s">
        <v>107</v>
      </c>
      <c r="U17" s="1929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107877</v>
      </c>
      <c r="C18" s="1919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1883"/>
      <c r="R18" s="1883"/>
      <c r="T18" s="1912" t="s">
        <v>57</v>
      </c>
      <c r="U18" s="1912"/>
      <c r="V18" s="1920">
        <f>450+700</f>
        <v>1150</v>
      </c>
      <c r="W18" s="1920"/>
      <c r="X18" s="1920"/>
      <c r="Y18" s="1927" t="s">
        <v>166</v>
      </c>
    </row>
    <row r="19" spans="1:25" ht="25.5" customHeight="1" x14ac:dyDescent="0.25">
      <c r="A19" s="100" t="s">
        <v>41</v>
      </c>
      <c r="B19" s="1918">
        <f>B15+B16+B17-B18</f>
        <v>276901</v>
      </c>
      <c r="C19" s="1919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918">
        <f t="shared" ref="Q19" si="14">Q15+Q16+Q17-Q18</f>
        <v>52</v>
      </c>
      <c r="R19" s="1919"/>
      <c r="T19" s="1914" t="s">
        <v>48</v>
      </c>
      <c r="U19" s="49" t="s">
        <v>58</v>
      </c>
      <c r="V19" s="1920">
        <v>202000</v>
      </c>
      <c r="W19" s="1920"/>
      <c r="X19" s="1920"/>
      <c r="Y19" s="1927"/>
    </row>
    <row r="20" spans="1:25" ht="23.25" customHeight="1" x14ac:dyDescent="0.25">
      <c r="A20" s="11" t="s">
        <v>168</v>
      </c>
      <c r="B20" s="1936">
        <f>B19*0.9625</f>
        <v>266517.21250000002</v>
      </c>
      <c r="C20" s="1937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936">
        <f>241*Q19</f>
        <v>12532</v>
      </c>
      <c r="R20" s="1937"/>
      <c r="T20" s="1915"/>
      <c r="U20" s="49" t="s">
        <v>59</v>
      </c>
      <c r="V20" s="1920">
        <v>1687</v>
      </c>
      <c r="W20" s="1920"/>
      <c r="X20" s="1920"/>
      <c r="Y20" s="1927"/>
    </row>
    <row r="21" spans="1:25" ht="23.25" customHeight="1" x14ac:dyDescent="0.25">
      <c r="A21" s="15"/>
      <c r="B21" s="10"/>
      <c r="O21" s="10"/>
      <c r="P21" s="10"/>
      <c r="Q21" s="10"/>
      <c r="R21" s="10"/>
      <c r="T21" s="1931" t="s">
        <v>167</v>
      </c>
      <c r="U21" s="1932"/>
      <c r="V21" s="1918">
        <v>43125</v>
      </c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641778</v>
      </c>
      <c r="D22" s="1923">
        <v>202000</v>
      </c>
      <c r="E22" s="1923">
        <v>34512</v>
      </c>
      <c r="F22" s="1923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09" t="s">
        <v>83</v>
      </c>
      <c r="U22" s="50" t="s">
        <v>60</v>
      </c>
      <c r="V22" s="1920">
        <v>244775</v>
      </c>
      <c r="W22" s="1920"/>
      <c r="X22" s="1920"/>
      <c r="Y22" s="1927"/>
    </row>
    <row r="23" spans="1:25" ht="39.75" customHeight="1" x14ac:dyDescent="0.25">
      <c r="A23" s="10"/>
      <c r="B23" s="1934"/>
      <c r="C23" s="1924"/>
      <c r="D23" s="1924"/>
      <c r="E23" s="1924"/>
      <c r="F23" s="1924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1910"/>
      <c r="U23" s="50" t="s">
        <v>61</v>
      </c>
      <c r="V23" s="1920">
        <v>245125</v>
      </c>
      <c r="W23" s="1920"/>
      <c r="X23" s="1920"/>
      <c r="Y23" s="1927"/>
    </row>
    <row r="24" spans="1:25" ht="47.25" customHeight="1" x14ac:dyDescent="0.25">
      <c r="A24" s="10"/>
      <c r="B24" s="1935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1893" t="s">
        <v>47</v>
      </c>
      <c r="U24" s="51" t="s">
        <v>62</v>
      </c>
      <c r="V24" s="1921">
        <f>V14+V16+V17-V18-V19-V20-V22+V23-V21</f>
        <v>5572.382500000007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10339</v>
      </c>
      <c r="W25" s="1920"/>
      <c r="X25" s="1920"/>
    </row>
  </sheetData>
  <mergeCells count="5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V20:X20"/>
    <mergeCell ref="B20:C20"/>
    <mergeCell ref="Q20:R20"/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00" t="s">
        <v>169</v>
      </c>
      <c r="U3" s="1900"/>
      <c r="V3" s="1900"/>
      <c r="W3" s="1900"/>
      <c r="X3" s="1900"/>
      <c r="Y3" s="1900"/>
    </row>
    <row r="4" spans="1:25" s="11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6" customFormat="1" ht="25.5" customHeight="1" x14ac:dyDescent="0.25">
      <c r="A5" s="1901"/>
      <c r="B5" s="190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930" t="s">
        <v>150</v>
      </c>
      <c r="R14" s="1930"/>
      <c r="S14" s="86" t="s">
        <v>171</v>
      </c>
      <c r="T14" s="1893" t="s">
        <v>46</v>
      </c>
      <c r="U14" s="114" t="s">
        <v>54</v>
      </c>
      <c r="V14" s="1918">
        <v>5572</v>
      </c>
      <c r="W14" s="1926"/>
      <c r="X14" s="1919"/>
    </row>
    <row r="15" spans="1:25" ht="22.5" customHeight="1" x14ac:dyDescent="0.25">
      <c r="A15" s="100" t="s">
        <v>38</v>
      </c>
      <c r="B15" s="1918">
        <v>276901</v>
      </c>
      <c r="C15" s="1919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1920">
        <v>52</v>
      </c>
      <c r="R15" s="1920"/>
      <c r="S15" s="114">
        <v>396</v>
      </c>
      <c r="T15" s="1893"/>
      <c r="U15" s="114" t="s">
        <v>64</v>
      </c>
      <c r="V15" s="1920">
        <v>10339</v>
      </c>
      <c r="W15" s="1920"/>
      <c r="X15" s="1920"/>
    </row>
    <row r="16" spans="1:25" ht="24.75" customHeight="1" x14ac:dyDescent="0.25">
      <c r="A16" s="100" t="s">
        <v>39</v>
      </c>
      <c r="B16" s="1918">
        <v>139055</v>
      </c>
      <c r="C16" s="1919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1883"/>
      <c r="R16" s="1883"/>
      <c r="S16" s="113"/>
      <c r="T16" s="1912" t="s">
        <v>55</v>
      </c>
      <c r="U16" s="1912"/>
      <c r="V16" s="1925">
        <f>Y12</f>
        <v>165355.98750000002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883"/>
      <c r="R17" s="1883"/>
      <c r="S17" s="113"/>
      <c r="T17" s="1928" t="s">
        <v>107</v>
      </c>
      <c r="U17" s="1929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139055</v>
      </c>
      <c r="C18" s="1919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883"/>
      <c r="R18" s="1883"/>
      <c r="S18" s="114">
        <v>100</v>
      </c>
      <c r="T18" s="1912" t="s">
        <v>57</v>
      </c>
      <c r="U18" s="1912"/>
      <c r="V18" s="1920">
        <f>450+1060</f>
        <v>1510</v>
      </c>
      <c r="W18" s="1920"/>
      <c r="X18" s="1920"/>
      <c r="Y18" s="1927" t="s">
        <v>170</v>
      </c>
    </row>
    <row r="19" spans="1:25" ht="25.5" customHeight="1" x14ac:dyDescent="0.25">
      <c r="A19" s="100" t="s">
        <v>41</v>
      </c>
      <c r="B19" s="1918">
        <f>B15+B16+B17-B18</f>
        <v>276901</v>
      </c>
      <c r="C19" s="1919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918">
        <f t="shared" ref="Q19" si="14">Q15+Q16+Q17-Q18</f>
        <v>52</v>
      </c>
      <c r="R19" s="1919"/>
      <c r="S19" s="114">
        <f>S15+S16-S17-S18</f>
        <v>296</v>
      </c>
      <c r="T19" s="1914" t="s">
        <v>48</v>
      </c>
      <c r="U19" s="49" t="s">
        <v>58</v>
      </c>
      <c r="V19" s="1920">
        <v>133840</v>
      </c>
      <c r="W19" s="1920"/>
      <c r="X19" s="1920"/>
      <c r="Y19" s="1927"/>
    </row>
    <row r="20" spans="1:25" ht="23.25" customHeight="1" x14ac:dyDescent="0.25">
      <c r="A20" s="11" t="s">
        <v>168</v>
      </c>
      <c r="B20" s="1936">
        <f>B19*0.9625</f>
        <v>266517.21250000002</v>
      </c>
      <c r="C20" s="1937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936">
        <f>241*Q19</f>
        <v>12532</v>
      </c>
      <c r="R20" s="1937"/>
      <c r="S20" s="113">
        <f>241*S19</f>
        <v>71336</v>
      </c>
      <c r="T20" s="1915"/>
      <c r="U20" s="49" t="s">
        <v>59</v>
      </c>
      <c r="V20" s="1920">
        <v>24100</v>
      </c>
      <c r="W20" s="1920"/>
      <c r="X20" s="1920"/>
      <c r="Y20" s="1927"/>
    </row>
    <row r="21" spans="1:25" ht="23.25" customHeight="1" x14ac:dyDescent="0.25">
      <c r="A21" s="15"/>
      <c r="B21" s="10"/>
      <c r="O21" s="10"/>
      <c r="P21" s="10"/>
      <c r="Q21" s="10"/>
      <c r="R21" s="10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474290</v>
      </c>
      <c r="D22" s="1923">
        <v>133840</v>
      </c>
      <c r="E22" s="1923">
        <v>133840</v>
      </c>
      <c r="F22" s="1923">
        <f>C22-D22+E22</f>
        <v>474290</v>
      </c>
      <c r="G22" s="10"/>
      <c r="Q22" s="10"/>
      <c r="R22" s="10"/>
      <c r="T22" s="1909" t="s">
        <v>83</v>
      </c>
      <c r="U22" s="50" t="s">
        <v>60</v>
      </c>
      <c r="V22" s="1920">
        <v>133840</v>
      </c>
      <c r="W22" s="1920"/>
      <c r="X22" s="1920"/>
      <c r="Y22" s="1927"/>
    </row>
    <row r="23" spans="1:25" ht="39.75" customHeight="1" x14ac:dyDescent="0.25">
      <c r="A23" s="10"/>
      <c r="B23" s="1934"/>
      <c r="C23" s="1924"/>
      <c r="D23" s="1924"/>
      <c r="E23" s="1924"/>
      <c r="F23" s="1924"/>
      <c r="G23" s="10"/>
      <c r="Q23" s="10"/>
      <c r="R23" s="10"/>
      <c r="T23" s="1910"/>
      <c r="U23" s="50" t="s">
        <v>61</v>
      </c>
      <c r="V23" s="1920">
        <v>133840</v>
      </c>
      <c r="W23" s="1920"/>
      <c r="X23" s="1920"/>
      <c r="Y23" s="1927"/>
    </row>
    <row r="24" spans="1:25" ht="47.25" customHeight="1" x14ac:dyDescent="0.25">
      <c r="A24" s="10"/>
      <c r="B24" s="1935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893" t="s">
        <v>47</v>
      </c>
      <c r="U24" s="51" t="s">
        <v>62</v>
      </c>
      <c r="V24" s="1921">
        <f>V14+V16+V17-V18-V19-V20-V22+V23-V21</f>
        <v>11477.987500000017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10339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0"/>
      <c r="J33" s="10"/>
      <c r="K33" s="1938"/>
      <c r="L33" s="1938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I32:J32"/>
    <mergeCell ref="K32:L32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00" t="s">
        <v>172</v>
      </c>
      <c r="U3" s="1900"/>
      <c r="V3" s="1900"/>
      <c r="W3" s="1900"/>
      <c r="X3" s="1900"/>
      <c r="Y3" s="1900"/>
    </row>
    <row r="4" spans="1:25" s="11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6" customFormat="1" ht="25.5" customHeight="1" x14ac:dyDescent="0.25">
      <c r="A5" s="1901"/>
      <c r="B5" s="190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1930" t="s">
        <v>150</v>
      </c>
      <c r="R14" s="1930"/>
      <c r="S14" s="86" t="s">
        <v>171</v>
      </c>
      <c r="T14" s="1893" t="s">
        <v>46</v>
      </c>
      <c r="U14" s="114" t="s">
        <v>176</v>
      </c>
      <c r="V14" s="1918">
        <v>11478</v>
      </c>
      <c r="W14" s="1926"/>
      <c r="X14" s="1919"/>
    </row>
    <row r="15" spans="1:25" ht="22.5" customHeight="1" x14ac:dyDescent="0.25">
      <c r="A15" s="100" t="s">
        <v>38</v>
      </c>
      <c r="B15" s="1918">
        <v>276901</v>
      </c>
      <c r="C15" s="1919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1920">
        <v>52</v>
      </c>
      <c r="R15" s="1920"/>
      <c r="S15" s="114">
        <v>296</v>
      </c>
      <c r="T15" s="1893"/>
      <c r="U15" s="114" t="s">
        <v>64</v>
      </c>
      <c r="V15" s="1920">
        <v>10339</v>
      </c>
      <c r="W15" s="1920"/>
      <c r="X15" s="1920"/>
    </row>
    <row r="16" spans="1:25" ht="24.75" customHeight="1" x14ac:dyDescent="0.25">
      <c r="A16" s="100" t="s">
        <v>39</v>
      </c>
      <c r="B16" s="1918">
        <v>114285</v>
      </c>
      <c r="C16" s="1919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1883"/>
      <c r="R16" s="1883"/>
      <c r="S16" s="113"/>
      <c r="T16" s="1912" t="s">
        <v>55</v>
      </c>
      <c r="U16" s="1912"/>
      <c r="V16" s="1925">
        <f>Y12</f>
        <v>106151.2925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883"/>
      <c r="R17" s="1883"/>
      <c r="S17" s="113"/>
      <c r="T17" s="1928" t="s">
        <v>87</v>
      </c>
      <c r="U17" s="1929"/>
      <c r="V17" s="1920">
        <v>80000</v>
      </c>
      <c r="W17" s="1920"/>
      <c r="X17" s="1920"/>
    </row>
    <row r="18" spans="1:25" ht="27" customHeight="1" x14ac:dyDescent="0.25">
      <c r="A18" s="100" t="s">
        <v>40</v>
      </c>
      <c r="B18" s="1922">
        <f>C12</f>
        <v>109153</v>
      </c>
      <c r="C18" s="1919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883"/>
      <c r="R18" s="1883"/>
      <c r="S18" s="114"/>
      <c r="T18" s="1912" t="s">
        <v>57</v>
      </c>
      <c r="U18" s="1912"/>
      <c r="V18" s="1920">
        <v>450</v>
      </c>
      <c r="W18" s="1920"/>
      <c r="X18" s="1920"/>
      <c r="Y18" s="1927" t="s">
        <v>103</v>
      </c>
    </row>
    <row r="19" spans="1:25" ht="25.5" customHeight="1" x14ac:dyDescent="0.25">
      <c r="A19" s="100" t="s">
        <v>41</v>
      </c>
      <c r="B19" s="1918">
        <f>B15+B16+B17-B18</f>
        <v>282033</v>
      </c>
      <c r="C19" s="1919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918">
        <f t="shared" ref="Q19" si="14">Q15+Q16+Q17-Q18</f>
        <v>52</v>
      </c>
      <c r="R19" s="1919"/>
      <c r="S19" s="114">
        <f>S15+S16-S17-S18</f>
        <v>296</v>
      </c>
      <c r="T19" s="1914" t="s">
        <v>48</v>
      </c>
      <c r="U19" s="49" t="s">
        <v>58</v>
      </c>
      <c r="V19" s="1920">
        <v>196500</v>
      </c>
      <c r="W19" s="1920"/>
      <c r="X19" s="1920"/>
      <c r="Y19" s="1927"/>
    </row>
    <row r="20" spans="1:25" ht="23.25" customHeight="1" x14ac:dyDescent="0.25">
      <c r="A20" s="11" t="s">
        <v>168</v>
      </c>
      <c r="B20" s="1936">
        <f>B19*0.9625</f>
        <v>271456.76250000001</v>
      </c>
      <c r="C20" s="1937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936">
        <f>241*Q19</f>
        <v>12532</v>
      </c>
      <c r="R20" s="1937"/>
      <c r="S20" s="113">
        <f>241*S19</f>
        <v>71336</v>
      </c>
      <c r="T20" s="1915"/>
      <c r="U20" s="49" t="s">
        <v>59</v>
      </c>
      <c r="V20" s="1920"/>
      <c r="W20" s="1920"/>
      <c r="X20" s="1920"/>
      <c r="Y20" s="1927"/>
    </row>
    <row r="21" spans="1:25" ht="23.25" customHeight="1" x14ac:dyDescent="0.25">
      <c r="A21" s="15"/>
      <c r="B21" s="10"/>
      <c r="O21" s="10"/>
      <c r="P21" s="10"/>
      <c r="Q21" s="10"/>
      <c r="R21" s="10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474290</v>
      </c>
      <c r="D22" s="1923">
        <v>196500</v>
      </c>
      <c r="E22" s="1923">
        <v>110000</v>
      </c>
      <c r="F22" s="1923">
        <f>C22-D22+E22</f>
        <v>387790</v>
      </c>
      <c r="G22" s="10"/>
      <c r="Q22" s="10"/>
      <c r="R22" s="10"/>
      <c r="T22" s="1909" t="s">
        <v>83</v>
      </c>
      <c r="U22" s="50" t="s">
        <v>60</v>
      </c>
      <c r="V22" s="1920">
        <v>113210</v>
      </c>
      <c r="W22" s="1920"/>
      <c r="X22" s="1920"/>
      <c r="Y22" s="1927"/>
    </row>
    <row r="23" spans="1:25" ht="39.75" customHeight="1" x14ac:dyDescent="0.25">
      <c r="A23" s="10"/>
      <c r="B23" s="1934"/>
      <c r="C23" s="1924"/>
      <c r="D23" s="1924"/>
      <c r="E23" s="1924"/>
      <c r="F23" s="1924"/>
      <c r="G23" s="10"/>
      <c r="Q23" s="10"/>
      <c r="R23" s="10"/>
      <c r="T23" s="1910"/>
      <c r="U23" s="50" t="s">
        <v>61</v>
      </c>
      <c r="V23" s="1920">
        <v>116500</v>
      </c>
      <c r="W23" s="1920"/>
      <c r="X23" s="1920"/>
      <c r="Y23" s="1927"/>
    </row>
    <row r="24" spans="1:25" ht="47.25" customHeight="1" x14ac:dyDescent="0.25">
      <c r="A24" s="10"/>
      <c r="B24" s="1935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893" t="s">
        <v>47</v>
      </c>
      <c r="U24" s="51" t="s">
        <v>62</v>
      </c>
      <c r="V24" s="1921">
        <f>V14+V16+V17-V18-V19-V20-V22+V23-V21</f>
        <v>3969.2924999999814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7049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0"/>
      <c r="J33" s="10"/>
      <c r="K33" s="1938"/>
      <c r="L33" s="1938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900" t="s">
        <v>177</v>
      </c>
      <c r="U3" s="1900"/>
      <c r="V3" s="1900"/>
      <c r="W3" s="1900"/>
      <c r="X3" s="1900"/>
      <c r="Y3" s="1900"/>
    </row>
    <row r="4" spans="1:25" s="120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20" customFormat="1" ht="25.5" customHeight="1" x14ac:dyDescent="0.25">
      <c r="A5" s="1901"/>
      <c r="B5" s="190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930" t="s">
        <v>150</v>
      </c>
      <c r="R14" s="1930"/>
      <c r="S14" s="129" t="s">
        <v>171</v>
      </c>
      <c r="T14" s="1893" t="s">
        <v>46</v>
      </c>
      <c r="U14" s="121" t="s">
        <v>176</v>
      </c>
      <c r="V14" s="1918">
        <v>3969</v>
      </c>
      <c r="W14" s="1926"/>
      <c r="X14" s="1919"/>
    </row>
    <row r="15" spans="1:25" ht="22.5" customHeight="1" x14ac:dyDescent="0.25">
      <c r="A15" s="100" t="s">
        <v>38</v>
      </c>
      <c r="B15" s="1918">
        <v>282033</v>
      </c>
      <c r="C15" s="1919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920">
        <v>52</v>
      </c>
      <c r="R15" s="1920"/>
      <c r="S15" s="121">
        <v>296</v>
      </c>
      <c r="T15" s="1893"/>
      <c r="U15" s="121" t="s">
        <v>64</v>
      </c>
      <c r="V15" s="1920">
        <v>7049</v>
      </c>
      <c r="W15" s="1920"/>
      <c r="X15" s="1920"/>
    </row>
    <row r="16" spans="1:25" ht="24.75" customHeight="1" x14ac:dyDescent="0.25">
      <c r="A16" s="100" t="s">
        <v>39</v>
      </c>
      <c r="B16" s="1918">
        <v>114285</v>
      </c>
      <c r="C16" s="1919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1883"/>
      <c r="R16" s="1883"/>
      <c r="S16" s="123"/>
      <c r="T16" s="1912" t="s">
        <v>55</v>
      </c>
      <c r="U16" s="1912"/>
      <c r="V16" s="1925">
        <f>Y12</f>
        <v>153728.73499999999</v>
      </c>
      <c r="W16" s="1925"/>
      <c r="X16" s="1920"/>
    </row>
    <row r="17" spans="1:25" ht="28.5" customHeight="1" x14ac:dyDescent="0.25">
      <c r="A17" s="101" t="s">
        <v>44</v>
      </c>
      <c r="B17" s="1918">
        <v>26470</v>
      </c>
      <c r="C17" s="191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883"/>
      <c r="R17" s="1883"/>
      <c r="S17" s="123"/>
      <c r="T17" s="1928" t="s">
        <v>178</v>
      </c>
      <c r="U17" s="1929"/>
      <c r="V17" s="1920">
        <v>9000</v>
      </c>
      <c r="W17" s="1920"/>
      <c r="X17" s="1920"/>
    </row>
    <row r="18" spans="1:25" ht="27" customHeight="1" x14ac:dyDescent="0.25">
      <c r="A18" s="100" t="s">
        <v>40</v>
      </c>
      <c r="B18" s="1922">
        <f>C12</f>
        <v>144446</v>
      </c>
      <c r="C18" s="1919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883">
        <v>46</v>
      </c>
      <c r="R18" s="1883"/>
      <c r="S18" s="121">
        <v>9</v>
      </c>
      <c r="T18" s="1912" t="s">
        <v>57</v>
      </c>
      <c r="U18" s="1912"/>
      <c r="V18" s="1920">
        <f>450+25477</f>
        <v>25927</v>
      </c>
      <c r="W18" s="1920"/>
      <c r="X18" s="1920"/>
      <c r="Y18" s="1927" t="s">
        <v>159</v>
      </c>
    </row>
    <row r="19" spans="1:25" ht="25.5" customHeight="1" x14ac:dyDescent="0.25">
      <c r="A19" s="100" t="s">
        <v>41</v>
      </c>
      <c r="B19" s="1918">
        <f>B15+B16+B17-B18</f>
        <v>278342</v>
      </c>
      <c r="C19" s="1919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918">
        <f t="shared" ref="Q19" si="14">Q15+Q16+Q17-Q18</f>
        <v>6</v>
      </c>
      <c r="R19" s="1919"/>
      <c r="S19" s="121">
        <f>S15+S16-S17-S18</f>
        <v>287</v>
      </c>
      <c r="T19" s="1914" t="s">
        <v>48</v>
      </c>
      <c r="U19" s="49" t="s">
        <v>58</v>
      </c>
      <c r="V19" s="1920">
        <v>110000</v>
      </c>
      <c r="W19" s="1920"/>
      <c r="X19" s="1920"/>
      <c r="Y19" s="1927"/>
    </row>
    <row r="20" spans="1:25" ht="23.25" customHeight="1" x14ac:dyDescent="0.25">
      <c r="A20" s="11" t="s">
        <v>168</v>
      </c>
      <c r="B20" s="1936">
        <f>B19*0.9625</f>
        <v>267904.17499999999</v>
      </c>
      <c r="C20" s="1937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936">
        <f>241*Q19</f>
        <v>1446</v>
      </c>
      <c r="R20" s="1937"/>
      <c r="S20" s="123">
        <f>241*S19</f>
        <v>69167</v>
      </c>
      <c r="T20" s="1915"/>
      <c r="U20" s="49" t="s">
        <v>59</v>
      </c>
      <c r="V20" s="1920"/>
      <c r="W20" s="1920"/>
      <c r="X20" s="1920"/>
      <c r="Y20" s="1927"/>
    </row>
    <row r="21" spans="1:25" ht="23.25" customHeight="1" x14ac:dyDescent="0.25">
      <c r="A21" s="15"/>
      <c r="B21" s="130"/>
      <c r="O21" s="130"/>
      <c r="P21" s="130"/>
      <c r="Q21" s="130"/>
      <c r="R21" s="130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387790</v>
      </c>
      <c r="D22" s="1923">
        <v>110000</v>
      </c>
      <c r="E22" s="1923">
        <v>558744</v>
      </c>
      <c r="F22" s="1923">
        <f>C22-D22+E22</f>
        <v>836534</v>
      </c>
      <c r="G22" s="130"/>
      <c r="Q22" s="130"/>
      <c r="R22" s="130"/>
      <c r="T22" s="1909" t="s">
        <v>83</v>
      </c>
      <c r="U22" s="50" t="s">
        <v>60</v>
      </c>
      <c r="V22" s="1920">
        <v>140490</v>
      </c>
      <c r="W22" s="1920"/>
      <c r="X22" s="1920"/>
      <c r="Y22" s="1927"/>
    </row>
    <row r="23" spans="1:25" ht="39.75" customHeight="1" x14ac:dyDescent="0.25">
      <c r="A23" s="130"/>
      <c r="B23" s="1934"/>
      <c r="C23" s="1924"/>
      <c r="D23" s="1924"/>
      <c r="E23" s="1924"/>
      <c r="F23" s="1924"/>
      <c r="G23" s="130"/>
      <c r="Q23" s="130"/>
      <c r="R23" s="130"/>
      <c r="T23" s="1910"/>
      <c r="U23" s="50" t="s">
        <v>61</v>
      </c>
      <c r="V23" s="1920">
        <v>110000</v>
      </c>
      <c r="W23" s="1920"/>
      <c r="X23" s="1920"/>
      <c r="Y23" s="1927"/>
    </row>
    <row r="24" spans="1:25" ht="47.25" customHeight="1" x14ac:dyDescent="0.25">
      <c r="A24" s="130"/>
      <c r="B24" s="193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893" t="s">
        <v>47</v>
      </c>
      <c r="U24" s="51" t="s">
        <v>62</v>
      </c>
      <c r="V24" s="1921">
        <f>V14+V16+V17-V18-V19-V20-V22+V23-V21</f>
        <v>280.73499999998603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37539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30"/>
      <c r="J33" s="130"/>
      <c r="K33" s="1938"/>
      <c r="L33" s="1938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900" t="s">
        <v>179</v>
      </c>
      <c r="U3" s="1900"/>
      <c r="V3" s="1900"/>
      <c r="W3" s="1900"/>
      <c r="X3" s="1900"/>
      <c r="Y3" s="1900"/>
    </row>
    <row r="4" spans="1:25" s="120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20" customFormat="1" ht="25.5" customHeight="1" x14ac:dyDescent="0.25">
      <c r="A5" s="1901"/>
      <c r="B5" s="190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930" t="s">
        <v>150</v>
      </c>
      <c r="R14" s="1930"/>
      <c r="S14" s="129" t="s">
        <v>171</v>
      </c>
      <c r="T14" s="1893" t="s">
        <v>46</v>
      </c>
      <c r="U14" s="121" t="s">
        <v>176</v>
      </c>
      <c r="V14" s="1918">
        <v>281</v>
      </c>
      <c r="W14" s="1926"/>
      <c r="X14" s="1919"/>
    </row>
    <row r="15" spans="1:25" ht="22.5" customHeight="1" x14ac:dyDescent="0.25">
      <c r="A15" s="100" t="s">
        <v>38</v>
      </c>
      <c r="B15" s="1918">
        <v>278342</v>
      </c>
      <c r="C15" s="1919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920">
        <v>6</v>
      </c>
      <c r="R15" s="1920"/>
      <c r="S15" s="121">
        <v>287</v>
      </c>
      <c r="T15" s="1893"/>
      <c r="U15" s="121" t="s">
        <v>64</v>
      </c>
      <c r="V15" s="1920">
        <v>37539</v>
      </c>
      <c r="W15" s="1920"/>
      <c r="X15" s="1920"/>
    </row>
    <row r="16" spans="1:25" ht="24.75" customHeight="1" x14ac:dyDescent="0.25">
      <c r="A16" s="100" t="s">
        <v>39</v>
      </c>
      <c r="B16" s="1918">
        <v>264935</v>
      </c>
      <c r="C16" s="1919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1883"/>
      <c r="R16" s="1883"/>
      <c r="S16" s="123"/>
      <c r="T16" s="1912" t="s">
        <v>55</v>
      </c>
      <c r="U16" s="1912"/>
      <c r="V16" s="1925">
        <f>Y12</f>
        <v>396104.92250000004</v>
      </c>
      <c r="W16" s="1925"/>
      <c r="X16" s="1920"/>
    </row>
    <row r="17" spans="1:25" ht="28.5" customHeight="1" x14ac:dyDescent="0.25">
      <c r="A17" s="101" t="s">
        <v>44</v>
      </c>
      <c r="B17" s="1918">
        <v>68116</v>
      </c>
      <c r="C17" s="191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883"/>
      <c r="R17" s="1883"/>
      <c r="S17" s="123"/>
      <c r="T17" s="1928" t="s">
        <v>178</v>
      </c>
      <c r="U17" s="1929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176621</v>
      </c>
      <c r="C18" s="1919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883"/>
      <c r="R18" s="1883"/>
      <c r="S18" s="121"/>
      <c r="T18" s="1912" t="s">
        <v>57</v>
      </c>
      <c r="U18" s="1912"/>
      <c r="V18" s="1920">
        <f>450+270</f>
        <v>720</v>
      </c>
      <c r="W18" s="1920"/>
      <c r="X18" s="1920"/>
      <c r="Y18" s="1927" t="s">
        <v>135</v>
      </c>
    </row>
    <row r="19" spans="1:25" ht="25.5" customHeight="1" x14ac:dyDescent="0.25">
      <c r="A19" s="100" t="s">
        <v>41</v>
      </c>
      <c r="B19" s="1918">
        <f>B15+B16+B17-B18</f>
        <v>434772</v>
      </c>
      <c r="C19" s="1919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918">
        <f t="shared" ref="Q19" si="14">Q15+Q16+Q17-Q18</f>
        <v>6</v>
      </c>
      <c r="R19" s="1919"/>
      <c r="S19" s="121">
        <f>S15+S16-S17-S18</f>
        <v>287</v>
      </c>
      <c r="T19" s="1914" t="s">
        <v>48</v>
      </c>
      <c r="U19" s="49" t="s">
        <v>58</v>
      </c>
      <c r="V19" s="1920">
        <v>255000</v>
      </c>
      <c r="W19" s="1920"/>
      <c r="X19" s="1920"/>
      <c r="Y19" s="1927"/>
    </row>
    <row r="20" spans="1:25" ht="23.25" customHeight="1" x14ac:dyDescent="0.25">
      <c r="A20" s="11" t="s">
        <v>168</v>
      </c>
      <c r="B20" s="1936">
        <f>B19*0.9625</f>
        <v>418468.05</v>
      </c>
      <c r="C20" s="1937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936">
        <f>241*Q19</f>
        <v>1446</v>
      </c>
      <c r="R20" s="1937"/>
      <c r="S20" s="123">
        <f>241*S19</f>
        <v>69167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5"/>
      <c r="B21" s="1939"/>
      <c r="C21" s="1939"/>
      <c r="O21" s="130"/>
      <c r="P21" s="130"/>
      <c r="Q21" s="130"/>
      <c r="R21" s="130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836534</v>
      </c>
      <c r="D22" s="1923">
        <v>255000</v>
      </c>
      <c r="E22" s="1923">
        <v>255000</v>
      </c>
      <c r="F22" s="1923">
        <f>C22-D22+E22</f>
        <v>836534</v>
      </c>
      <c r="G22" s="130"/>
      <c r="Q22" s="130"/>
      <c r="R22" s="130"/>
      <c r="T22" s="1909" t="s">
        <v>83</v>
      </c>
      <c r="U22" s="50" t="s">
        <v>60</v>
      </c>
      <c r="V22" s="1920">
        <v>390130</v>
      </c>
      <c r="W22" s="1920"/>
      <c r="X22" s="1920"/>
      <c r="Y22" s="1927"/>
    </row>
    <row r="23" spans="1:25" ht="39.75" customHeight="1" x14ac:dyDescent="0.25">
      <c r="A23" s="130"/>
      <c r="B23" s="1934"/>
      <c r="C23" s="1924"/>
      <c r="D23" s="1924"/>
      <c r="E23" s="1924"/>
      <c r="F23" s="1924"/>
      <c r="G23" s="130"/>
      <c r="Q23" s="130"/>
      <c r="R23" s="130"/>
      <c r="T23" s="1910"/>
      <c r="U23" s="50" t="s">
        <v>61</v>
      </c>
      <c r="V23" s="1920">
        <v>255000</v>
      </c>
      <c r="W23" s="1920"/>
      <c r="X23" s="1920"/>
      <c r="Y23" s="1927"/>
    </row>
    <row r="24" spans="1:25" ht="47.25" customHeight="1" x14ac:dyDescent="0.25">
      <c r="A24" s="130"/>
      <c r="B24" s="193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893" t="s">
        <v>47</v>
      </c>
      <c r="U24" s="51" t="s">
        <v>62</v>
      </c>
      <c r="V24" s="1921">
        <f>V14+V16+V17-V18-V19-V20-V22+V23-V21</f>
        <v>5535.9225000000442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172669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30"/>
      <c r="J33" s="130"/>
      <c r="K33" s="1938"/>
      <c r="L33" s="1938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900" t="s">
        <v>180</v>
      </c>
      <c r="U3" s="1900"/>
      <c r="V3" s="1900"/>
      <c r="W3" s="1900"/>
      <c r="X3" s="1900"/>
      <c r="Y3" s="1900"/>
    </row>
    <row r="4" spans="1:25" s="120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20" customFormat="1" ht="25.5" customHeight="1" x14ac:dyDescent="0.25">
      <c r="A5" s="1901"/>
      <c r="B5" s="190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930" t="s">
        <v>150</v>
      </c>
      <c r="R14" s="1930"/>
      <c r="S14" s="129" t="s">
        <v>171</v>
      </c>
      <c r="T14" s="1893" t="s">
        <v>46</v>
      </c>
      <c r="U14" s="121" t="s">
        <v>176</v>
      </c>
      <c r="V14" s="1918">
        <v>5536</v>
      </c>
      <c r="W14" s="1926"/>
      <c r="X14" s="1919"/>
    </row>
    <row r="15" spans="1:25" ht="22.5" customHeight="1" x14ac:dyDescent="0.25">
      <c r="A15" s="100" t="s">
        <v>38</v>
      </c>
      <c r="B15" s="1918">
        <v>434772</v>
      </c>
      <c r="C15" s="1919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1920">
        <v>6</v>
      </c>
      <c r="R15" s="1920"/>
      <c r="S15" s="121">
        <v>287</v>
      </c>
      <c r="T15" s="1893"/>
      <c r="U15" s="121" t="s">
        <v>64</v>
      </c>
      <c r="V15" s="1920">
        <v>172669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1883"/>
      <c r="R16" s="1883"/>
      <c r="S16" s="123"/>
      <c r="T16" s="1912" t="s">
        <v>55</v>
      </c>
      <c r="U16" s="1912"/>
      <c r="V16" s="1925">
        <f>Y12</f>
        <v>298631.15749999997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883"/>
      <c r="R17" s="1883"/>
      <c r="S17" s="123"/>
      <c r="T17" s="1931" t="s">
        <v>181</v>
      </c>
      <c r="U17" s="1932"/>
      <c r="V17" s="1920">
        <v>13500</v>
      </c>
      <c r="W17" s="1920"/>
      <c r="X17" s="1920"/>
    </row>
    <row r="18" spans="1:25" ht="27" customHeight="1" x14ac:dyDescent="0.25">
      <c r="A18" s="100" t="s">
        <v>40</v>
      </c>
      <c r="B18" s="1922">
        <f>C12</f>
        <v>133267</v>
      </c>
      <c r="C18" s="1919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1883"/>
      <c r="R18" s="1883"/>
      <c r="S18" s="121">
        <v>161</v>
      </c>
      <c r="T18" s="1912" t="s">
        <v>57</v>
      </c>
      <c r="U18" s="1912"/>
      <c r="V18" s="1920">
        <f>450+380+65562</f>
        <v>66392</v>
      </c>
      <c r="W18" s="1920"/>
      <c r="X18" s="1920"/>
      <c r="Y18" s="1927" t="s">
        <v>182</v>
      </c>
    </row>
    <row r="19" spans="1:25" ht="25.5" customHeight="1" x14ac:dyDescent="0.25">
      <c r="A19" s="100" t="s">
        <v>41</v>
      </c>
      <c r="B19" s="1918">
        <f>B15+B16+B17-B18</f>
        <v>301505</v>
      </c>
      <c r="C19" s="1919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918">
        <f t="shared" ref="Q19" si="14">Q15+Q16+Q17-Q18</f>
        <v>6</v>
      </c>
      <c r="R19" s="1919"/>
      <c r="S19" s="121">
        <f>S15+S16-S17-S18</f>
        <v>126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11" t="s">
        <v>187</v>
      </c>
      <c r="B20" s="1936">
        <f>B19*0.9625</f>
        <v>290198.5625</v>
      </c>
      <c r="C20" s="1937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936">
        <f>241*Q19</f>
        <v>1446</v>
      </c>
      <c r="R20" s="1937"/>
      <c r="S20" s="123">
        <f>241*S19</f>
        <v>30366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0">
        <f>SUM(B20:S20)</f>
        <v>583920.5625</v>
      </c>
      <c r="C21" s="1940"/>
      <c r="O21" s="130"/>
      <c r="P21" s="130"/>
      <c r="Q21" s="130"/>
      <c r="R21" s="130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836534</v>
      </c>
      <c r="D22" s="1923"/>
      <c r="E22" s="1923"/>
      <c r="F22" s="1923">
        <f>C22-D22+E22</f>
        <v>836534</v>
      </c>
      <c r="G22" s="130"/>
      <c r="Q22" s="130"/>
      <c r="R22" s="130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130"/>
      <c r="B23" s="1934"/>
      <c r="C23" s="1924"/>
      <c r="D23" s="1924"/>
      <c r="E23" s="1924"/>
      <c r="F23" s="1924"/>
      <c r="G23" s="130"/>
      <c r="Q23" s="130"/>
      <c r="R23" s="130"/>
      <c r="T23" s="1910"/>
      <c r="U23" s="50" t="s">
        <v>61</v>
      </c>
      <c r="V23" s="1920"/>
      <c r="W23" s="1920"/>
      <c r="X23" s="1920"/>
      <c r="Y23" s="1927"/>
    </row>
    <row r="24" spans="1:25" ht="47.25" customHeight="1" x14ac:dyDescent="0.25">
      <c r="A24" s="130"/>
      <c r="B24" s="193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893" t="s">
        <v>47</v>
      </c>
      <c r="U24" s="51" t="s">
        <v>62</v>
      </c>
      <c r="V24" s="1921">
        <f>V14+V16+V17-V18-V19-V20-V22+V23-V21</f>
        <v>251275.15749999997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172669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30"/>
      <c r="J33" s="130"/>
      <c r="K33" s="1938"/>
      <c r="L33" s="1938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900" t="s">
        <v>183</v>
      </c>
      <c r="U3" s="1900"/>
      <c r="V3" s="1900"/>
      <c r="W3" s="1900"/>
      <c r="X3" s="1900"/>
      <c r="Y3" s="1900"/>
    </row>
    <row r="4" spans="1:25" s="120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20" customFormat="1" ht="25.5" customHeight="1" x14ac:dyDescent="0.25">
      <c r="A5" s="1901"/>
      <c r="B5" s="190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930" t="s">
        <v>150</v>
      </c>
      <c r="R14" s="1930"/>
      <c r="S14" s="129" t="s">
        <v>171</v>
      </c>
      <c r="T14" s="1893" t="s">
        <v>46</v>
      </c>
      <c r="U14" s="121" t="s">
        <v>176</v>
      </c>
      <c r="V14" s="1918">
        <v>251275</v>
      </c>
      <c r="W14" s="1926"/>
      <c r="X14" s="1919"/>
    </row>
    <row r="15" spans="1:25" ht="22.5" customHeight="1" x14ac:dyDescent="0.25">
      <c r="A15" s="100" t="s">
        <v>38</v>
      </c>
      <c r="B15" s="1918">
        <v>301505</v>
      </c>
      <c r="C15" s="1919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920">
        <v>6</v>
      </c>
      <c r="R15" s="1920"/>
      <c r="S15" s="121">
        <v>126</v>
      </c>
      <c r="T15" s="1893"/>
      <c r="U15" s="121" t="s">
        <v>64</v>
      </c>
      <c r="V15" s="1920">
        <v>172669</v>
      </c>
      <c r="W15" s="1920"/>
      <c r="X15" s="1920"/>
    </row>
    <row r="16" spans="1:25" ht="24.75" customHeight="1" x14ac:dyDescent="0.25">
      <c r="A16" s="100" t="s">
        <v>39</v>
      </c>
      <c r="B16" s="1918">
        <v>75636</v>
      </c>
      <c r="C16" s="1919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883"/>
      <c r="R16" s="1883"/>
      <c r="S16" s="123"/>
      <c r="T16" s="1912" t="s">
        <v>55</v>
      </c>
      <c r="U16" s="1912"/>
      <c r="V16" s="1925">
        <f>Y12</f>
        <v>141881.89000000001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883"/>
      <c r="R17" s="1883"/>
      <c r="S17" s="123"/>
      <c r="T17" s="1931" t="s">
        <v>181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102404</v>
      </c>
      <c r="C18" s="1919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883"/>
      <c r="R18" s="1883"/>
      <c r="S18" s="121"/>
      <c r="T18" s="1912" t="s">
        <v>57</v>
      </c>
      <c r="U18" s="1912"/>
      <c r="V18" s="1920">
        <v>450</v>
      </c>
      <c r="W18" s="1920"/>
      <c r="X18" s="1920"/>
      <c r="Y18" s="1927" t="s">
        <v>103</v>
      </c>
    </row>
    <row r="19" spans="1:25" ht="25.5" customHeight="1" x14ac:dyDescent="0.25">
      <c r="A19" s="100" t="s">
        <v>41</v>
      </c>
      <c r="B19" s="1918">
        <f>B15+B16+B17-B18</f>
        <v>274737</v>
      </c>
      <c r="C19" s="1919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918">
        <f t="shared" ref="Q19" si="14">Q15+Q16+Q17-Q18</f>
        <v>6</v>
      </c>
      <c r="R19" s="1919"/>
      <c r="S19" s="121">
        <f>S15+S16-S17-S18</f>
        <v>126</v>
      </c>
      <c r="T19" s="1914" t="s">
        <v>48</v>
      </c>
      <c r="U19" s="49" t="s">
        <v>58</v>
      </c>
      <c r="V19" s="1920">
        <v>280000</v>
      </c>
      <c r="W19" s="1920"/>
      <c r="X19" s="1920"/>
      <c r="Y19" s="1927"/>
    </row>
    <row r="20" spans="1:25" ht="23.25" customHeight="1" x14ac:dyDescent="0.25">
      <c r="A20" s="11" t="s">
        <v>187</v>
      </c>
      <c r="B20" s="1936">
        <f>B19*0.9625</f>
        <v>264434.36249999999</v>
      </c>
      <c r="C20" s="1937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936">
        <f>241*Q19</f>
        <v>1446</v>
      </c>
      <c r="R20" s="1937"/>
      <c r="S20" s="123">
        <f>241*S19</f>
        <v>30366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0">
        <f>SUM(B20:S20)</f>
        <v>723427.86250000005</v>
      </c>
      <c r="C21" s="1940"/>
      <c r="O21" s="130"/>
      <c r="P21" s="130"/>
      <c r="Q21" s="130"/>
      <c r="R21" s="130"/>
      <c r="T21" s="1931" t="s">
        <v>167</v>
      </c>
      <c r="U21" s="1932"/>
      <c r="V21" s="1918">
        <v>80000</v>
      </c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836534</v>
      </c>
      <c r="D22" s="1923">
        <v>280000</v>
      </c>
      <c r="E22" s="1923">
        <v>280000</v>
      </c>
      <c r="F22" s="1923">
        <f>C22-D22+E22</f>
        <v>836534</v>
      </c>
      <c r="G22" s="130"/>
      <c r="Q22" s="130"/>
      <c r="R22" s="130"/>
      <c r="T22" s="1909" t="s">
        <v>83</v>
      </c>
      <c r="U22" s="50" t="s">
        <v>60</v>
      </c>
      <c r="V22" s="1920">
        <v>306510</v>
      </c>
      <c r="W22" s="1920"/>
      <c r="X22" s="1920"/>
      <c r="Y22" s="1927"/>
    </row>
    <row r="23" spans="1:25" ht="39.75" customHeight="1" x14ac:dyDescent="0.25">
      <c r="A23" s="130"/>
      <c r="B23" s="1934"/>
      <c r="C23" s="1924"/>
      <c r="D23" s="1924"/>
      <c r="E23" s="1924"/>
      <c r="F23" s="1924"/>
      <c r="G23" s="130"/>
      <c r="Q23" s="130"/>
      <c r="R23" s="130"/>
      <c r="T23" s="1910"/>
      <c r="U23" s="50" t="s">
        <v>61</v>
      </c>
      <c r="V23" s="1920">
        <v>280000</v>
      </c>
      <c r="W23" s="1920"/>
      <c r="X23" s="1920"/>
      <c r="Y23" s="1927"/>
    </row>
    <row r="24" spans="1:25" ht="47.25" customHeight="1" x14ac:dyDescent="0.25">
      <c r="A24" s="130"/>
      <c r="B24" s="193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893" t="s">
        <v>47</v>
      </c>
      <c r="U24" s="51" t="s">
        <v>62</v>
      </c>
      <c r="V24" s="1921">
        <f>V14+V16+V17-V18-V19-V20-V22+V23-V21</f>
        <v>6196.890000000014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199179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30"/>
      <c r="J33" s="130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900" t="s">
        <v>184</v>
      </c>
      <c r="U3" s="1900"/>
      <c r="V3" s="1900"/>
      <c r="W3" s="1900"/>
      <c r="X3" s="1900"/>
      <c r="Y3" s="1900"/>
    </row>
    <row r="4" spans="1:25" s="120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20" customFormat="1" ht="25.5" customHeight="1" x14ac:dyDescent="0.25">
      <c r="A5" s="1901"/>
      <c r="B5" s="190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930" t="s">
        <v>150</v>
      </c>
      <c r="R14" s="1930"/>
      <c r="S14" s="129" t="s">
        <v>171</v>
      </c>
      <c r="T14" s="1893" t="s">
        <v>46</v>
      </c>
      <c r="U14" s="121" t="s">
        <v>176</v>
      </c>
      <c r="V14" s="1918">
        <v>6197</v>
      </c>
      <c r="W14" s="1926"/>
      <c r="X14" s="1919"/>
    </row>
    <row r="15" spans="1:25" ht="22.5" customHeight="1" x14ac:dyDescent="0.25">
      <c r="A15" s="100" t="s">
        <v>38</v>
      </c>
      <c r="B15" s="1918">
        <v>274737</v>
      </c>
      <c r="C15" s="1919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920">
        <v>6</v>
      </c>
      <c r="R15" s="1920"/>
      <c r="S15" s="121">
        <v>126</v>
      </c>
      <c r="T15" s="1893"/>
      <c r="U15" s="121" t="s">
        <v>64</v>
      </c>
      <c r="V15" s="1920">
        <v>199179</v>
      </c>
      <c r="W15" s="1920"/>
      <c r="X15" s="1920"/>
    </row>
    <row r="16" spans="1:25" ht="24.75" customHeight="1" x14ac:dyDescent="0.25">
      <c r="A16" s="100" t="s">
        <v>39</v>
      </c>
      <c r="B16" s="1918">
        <v>136104</v>
      </c>
      <c r="C16" s="1919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883"/>
      <c r="R16" s="1883"/>
      <c r="S16" s="123"/>
      <c r="T16" s="1912" t="s">
        <v>55</v>
      </c>
      <c r="U16" s="1912"/>
      <c r="V16" s="1925">
        <f>Y12</f>
        <v>137565.625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883"/>
      <c r="R17" s="1883"/>
      <c r="S17" s="123"/>
      <c r="T17" s="1931" t="s">
        <v>181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135250</v>
      </c>
      <c r="C18" s="1919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883"/>
      <c r="R18" s="1883"/>
      <c r="S18" s="121"/>
      <c r="T18" s="1912" t="s">
        <v>57</v>
      </c>
      <c r="U18" s="1912"/>
      <c r="V18" s="1920">
        <f>450+100</f>
        <v>550</v>
      </c>
      <c r="W18" s="1920"/>
      <c r="X18" s="1920"/>
      <c r="Y18" s="1927" t="s">
        <v>185</v>
      </c>
    </row>
    <row r="19" spans="1:25" ht="25.5" customHeight="1" x14ac:dyDescent="0.25">
      <c r="A19" s="100" t="s">
        <v>41</v>
      </c>
      <c r="B19" s="1918">
        <f>B15+B16+B17-B18</f>
        <v>275591</v>
      </c>
      <c r="C19" s="1919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918">
        <f t="shared" ref="Q19" si="14">Q15+Q16+Q17-Q18</f>
        <v>6</v>
      </c>
      <c r="R19" s="1919"/>
      <c r="S19" s="121">
        <f>S15+S16-S17-S18</f>
        <v>126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11" t="s">
        <v>187</v>
      </c>
      <c r="B20" s="1936">
        <f>B19*0.9625</f>
        <v>265256.33750000002</v>
      </c>
      <c r="C20" s="1937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936">
        <f>241*Q19</f>
        <v>1446</v>
      </c>
      <c r="R20" s="1937"/>
      <c r="S20" s="123">
        <f>241*S19</f>
        <v>30366</v>
      </c>
      <c r="T20" s="1915"/>
      <c r="U20" s="49" t="s">
        <v>59</v>
      </c>
      <c r="V20" s="1920">
        <v>131000</v>
      </c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718262.33750000002</v>
      </c>
      <c r="C21" s="1941"/>
      <c r="O21" s="130"/>
      <c r="P21" s="130"/>
      <c r="Q21" s="130"/>
      <c r="R21" s="130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836534</v>
      </c>
      <c r="D22" s="1923"/>
      <c r="E22" s="1923"/>
      <c r="F22" s="1923">
        <f>C22-D22+E22</f>
        <v>836534</v>
      </c>
      <c r="G22" s="130"/>
      <c r="Q22" s="130"/>
      <c r="R22" s="130"/>
      <c r="T22" s="1909" t="s">
        <v>83</v>
      </c>
      <c r="U22" s="50" t="s">
        <v>60</v>
      </c>
      <c r="V22" s="1920">
        <v>137030</v>
      </c>
      <c r="W22" s="1920"/>
      <c r="X22" s="1920"/>
      <c r="Y22" s="1927"/>
    </row>
    <row r="23" spans="1:25" ht="39.75" customHeight="1" x14ac:dyDescent="0.25">
      <c r="A23" s="130"/>
      <c r="B23" s="1934"/>
      <c r="C23" s="1924"/>
      <c r="D23" s="1924"/>
      <c r="E23" s="1924"/>
      <c r="F23" s="1924"/>
      <c r="G23" s="130"/>
      <c r="Q23" s="130"/>
      <c r="R23" s="130"/>
      <c r="T23" s="1910"/>
      <c r="U23" s="50" t="s">
        <v>61</v>
      </c>
      <c r="V23" s="1920">
        <v>131000</v>
      </c>
      <c r="W23" s="1920"/>
      <c r="X23" s="1920"/>
      <c r="Y23" s="1927"/>
    </row>
    <row r="24" spans="1:25" ht="47.25" customHeight="1" x14ac:dyDescent="0.25">
      <c r="A24" s="130"/>
      <c r="B24" s="193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893" t="s">
        <v>47</v>
      </c>
      <c r="U24" s="51" t="s">
        <v>62</v>
      </c>
      <c r="V24" s="1921">
        <f>V14+V16+V17-V18-V19-V20-V22+V23-V21</f>
        <v>6182.625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205209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30"/>
      <c r="J33" s="130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900" t="s">
        <v>188</v>
      </c>
      <c r="U3" s="1900"/>
      <c r="V3" s="1900"/>
      <c r="W3" s="1900"/>
      <c r="X3" s="1900"/>
      <c r="Y3" s="1900"/>
    </row>
    <row r="4" spans="1:25" s="120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20" customFormat="1" ht="25.5" customHeight="1" x14ac:dyDescent="0.25">
      <c r="A5" s="1901"/>
      <c r="B5" s="190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930" t="s">
        <v>150</v>
      </c>
      <c r="R14" s="1930"/>
      <c r="S14" s="129" t="s">
        <v>171</v>
      </c>
      <c r="T14" s="1893" t="s">
        <v>46</v>
      </c>
      <c r="U14" s="121" t="s">
        <v>176</v>
      </c>
      <c r="V14" s="1918">
        <v>6183</v>
      </c>
      <c r="W14" s="1926"/>
      <c r="X14" s="1919"/>
    </row>
    <row r="15" spans="1:25" ht="22.5" customHeight="1" x14ac:dyDescent="0.25">
      <c r="A15" s="100" t="s">
        <v>38</v>
      </c>
      <c r="B15" s="1918">
        <v>275591</v>
      </c>
      <c r="C15" s="1919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920">
        <v>6</v>
      </c>
      <c r="R15" s="1920"/>
      <c r="S15" s="121">
        <v>126</v>
      </c>
      <c r="T15" s="1893"/>
      <c r="U15" s="121" t="s">
        <v>64</v>
      </c>
      <c r="V15" s="1920">
        <v>205209</v>
      </c>
      <c r="W15" s="1920"/>
      <c r="X15" s="1920"/>
    </row>
    <row r="16" spans="1:25" ht="24.75" customHeight="1" x14ac:dyDescent="0.25">
      <c r="A16" s="100" t="s">
        <v>39</v>
      </c>
      <c r="B16" s="1918">
        <v>278232</v>
      </c>
      <c r="C16" s="1919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883"/>
      <c r="R16" s="1883"/>
      <c r="S16" s="123"/>
      <c r="T16" s="1912" t="s">
        <v>55</v>
      </c>
      <c r="U16" s="1912"/>
      <c r="V16" s="1925">
        <f>Y12</f>
        <v>149217.1925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883"/>
      <c r="R17" s="1883"/>
      <c r="S17" s="123"/>
      <c r="T17" s="1931" t="s">
        <v>181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147193</v>
      </c>
      <c r="C18" s="1919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883"/>
      <c r="R18" s="1883"/>
      <c r="S18" s="121"/>
      <c r="T18" s="1912" t="s">
        <v>57</v>
      </c>
      <c r="U18" s="1912"/>
      <c r="V18" s="1920">
        <v>450</v>
      </c>
      <c r="W18" s="1920"/>
      <c r="X18" s="1920"/>
      <c r="Y18" s="1927" t="s">
        <v>189</v>
      </c>
    </row>
    <row r="19" spans="1:25" ht="25.5" customHeight="1" x14ac:dyDescent="0.25">
      <c r="A19" s="100" t="s">
        <v>41</v>
      </c>
      <c r="B19" s="1918">
        <f>B15+B16+B17-B18</f>
        <v>406630</v>
      </c>
      <c r="C19" s="1919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918">
        <f t="shared" ref="Q19" si="14">Q15+Q16+Q17-Q18</f>
        <v>6</v>
      </c>
      <c r="R19" s="1919"/>
      <c r="S19" s="121">
        <f>S15+S16-S17-S18</f>
        <v>126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11" t="s">
        <v>187</v>
      </c>
      <c r="B20" s="1936">
        <f>B19*0.9625</f>
        <v>391381.375</v>
      </c>
      <c r="C20" s="1937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936">
        <f>241*Q19</f>
        <v>1446</v>
      </c>
      <c r="R20" s="1937"/>
      <c r="S20" s="123">
        <f>241*S19</f>
        <v>30366</v>
      </c>
      <c r="T20" s="1915"/>
      <c r="U20" s="49" t="s">
        <v>59</v>
      </c>
      <c r="V20" s="1920">
        <v>147800</v>
      </c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838396.375</v>
      </c>
      <c r="C21" s="1941"/>
      <c r="O21" s="130"/>
      <c r="P21" s="130"/>
      <c r="Q21" s="130"/>
      <c r="R21" s="130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836534</v>
      </c>
      <c r="D22" s="1923"/>
      <c r="E22" s="1923">
        <v>120000</v>
      </c>
      <c r="F22" s="1923">
        <f>C22-D22+E22</f>
        <v>956534</v>
      </c>
      <c r="G22" s="130"/>
      <c r="Q22" s="130"/>
      <c r="R22" s="130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130"/>
      <c r="B23" s="1934"/>
      <c r="C23" s="1924"/>
      <c r="D23" s="1924"/>
      <c r="E23" s="1924"/>
      <c r="F23" s="1924"/>
      <c r="G23" s="130"/>
      <c r="Q23" s="130"/>
      <c r="R23" s="130"/>
      <c r="T23" s="1910"/>
      <c r="U23" s="50" t="s">
        <v>61</v>
      </c>
      <c r="V23" s="1920"/>
      <c r="W23" s="1920"/>
      <c r="X23" s="1920"/>
      <c r="Y23" s="1927"/>
    </row>
    <row r="24" spans="1:25" ht="47.25" customHeight="1" x14ac:dyDescent="0.25">
      <c r="A24" s="130"/>
      <c r="B24" s="193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893" t="s">
        <v>47</v>
      </c>
      <c r="U24" s="51" t="s">
        <v>62</v>
      </c>
      <c r="V24" s="1921">
        <f>V14+V16+V17-V18-V19-V20-V22+V23-V21</f>
        <v>7150.1925000000047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205209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30"/>
      <c r="J33" s="130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900" t="s">
        <v>190</v>
      </c>
      <c r="U3" s="1900"/>
      <c r="V3" s="1900"/>
      <c r="W3" s="1900"/>
      <c r="X3" s="1900"/>
      <c r="Y3" s="1900"/>
    </row>
    <row r="4" spans="1:25" s="120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20" customFormat="1" ht="25.5" customHeight="1" x14ac:dyDescent="0.25">
      <c r="A5" s="1901"/>
      <c r="B5" s="190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930" t="s">
        <v>150</v>
      </c>
      <c r="R14" s="1930"/>
      <c r="S14" s="129" t="s">
        <v>171</v>
      </c>
      <c r="T14" s="1893" t="s">
        <v>46</v>
      </c>
      <c r="U14" s="121" t="s">
        <v>176</v>
      </c>
      <c r="V14" s="1918">
        <v>7150</v>
      </c>
      <c r="W14" s="1926"/>
      <c r="X14" s="1919"/>
    </row>
    <row r="15" spans="1:25" ht="22.5" customHeight="1" x14ac:dyDescent="0.25">
      <c r="A15" s="100" t="s">
        <v>38</v>
      </c>
      <c r="B15" s="1918">
        <v>406630</v>
      </c>
      <c r="C15" s="1919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920">
        <v>6</v>
      </c>
      <c r="R15" s="1920"/>
      <c r="S15" s="121">
        <v>126</v>
      </c>
      <c r="T15" s="1893"/>
      <c r="U15" s="121" t="s">
        <v>64</v>
      </c>
      <c r="V15" s="1920">
        <v>205209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1883"/>
      <c r="R16" s="1883"/>
      <c r="S16" s="123"/>
      <c r="T16" s="1912" t="s">
        <v>55</v>
      </c>
      <c r="U16" s="1912"/>
      <c r="V16" s="1925">
        <f>Y12</f>
        <v>85917.805000000008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883"/>
      <c r="R17" s="1883"/>
      <c r="S17" s="123"/>
      <c r="T17" s="1931" t="s">
        <v>181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81098</v>
      </c>
      <c r="C18" s="1919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883"/>
      <c r="R18" s="1883"/>
      <c r="S18" s="121"/>
      <c r="T18" s="1912" t="s">
        <v>57</v>
      </c>
      <c r="U18" s="1912"/>
      <c r="V18" s="1920">
        <v>450</v>
      </c>
      <c r="W18" s="1920"/>
      <c r="X18" s="1920"/>
      <c r="Y18" s="1927" t="s">
        <v>189</v>
      </c>
    </row>
    <row r="19" spans="1:25" ht="25.5" customHeight="1" x14ac:dyDescent="0.25">
      <c r="A19" s="100" t="s">
        <v>41</v>
      </c>
      <c r="B19" s="1918">
        <f>B15+B16+B17-B18</f>
        <v>325532</v>
      </c>
      <c r="C19" s="1919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918">
        <f t="shared" ref="Q19" si="14">Q15+Q16+Q17-Q18</f>
        <v>6</v>
      </c>
      <c r="R19" s="1919"/>
      <c r="S19" s="121">
        <f>S15+S16-S17-S18</f>
        <v>126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11" t="s">
        <v>187</v>
      </c>
      <c r="B20" s="1936">
        <f>B19*0.9625</f>
        <v>313324.55</v>
      </c>
      <c r="C20" s="1937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936">
        <f>241*Q19</f>
        <v>1446</v>
      </c>
      <c r="R20" s="1937"/>
      <c r="S20" s="123">
        <f>241*S19</f>
        <v>30366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753289.55</v>
      </c>
      <c r="C21" s="1941"/>
      <c r="O21" s="130"/>
      <c r="P21" s="130"/>
      <c r="Q21" s="130"/>
      <c r="R21" s="130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956534</v>
      </c>
      <c r="D22" s="1923"/>
      <c r="E22" s="1923"/>
      <c r="F22" s="1923">
        <f>C22-D22+E22</f>
        <v>956534</v>
      </c>
      <c r="G22" s="130"/>
      <c r="Q22" s="130"/>
      <c r="R22" s="130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130"/>
      <c r="B23" s="1934"/>
      <c r="C23" s="1924"/>
      <c r="D23" s="1924"/>
      <c r="E23" s="1924"/>
      <c r="F23" s="1924"/>
      <c r="G23" s="130"/>
      <c r="Q23" s="130"/>
      <c r="R23" s="130"/>
      <c r="T23" s="1910"/>
      <c r="U23" s="50" t="s">
        <v>61</v>
      </c>
      <c r="V23" s="1920"/>
      <c r="W23" s="1920"/>
      <c r="X23" s="1920"/>
      <c r="Y23" s="1927"/>
    </row>
    <row r="24" spans="1:25" ht="47.25" customHeight="1" x14ac:dyDescent="0.25">
      <c r="A24" s="130"/>
      <c r="B24" s="193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893" t="s">
        <v>47</v>
      </c>
      <c r="U24" s="51" t="s">
        <v>62</v>
      </c>
      <c r="V24" s="1921">
        <f>V14+V16+V17-V18-V19-V20-V22+V23-V21</f>
        <v>92617.805000000008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205209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30"/>
      <c r="J33" s="130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900" t="s">
        <v>191</v>
      </c>
      <c r="U3" s="1900"/>
      <c r="V3" s="1900"/>
      <c r="W3" s="1900"/>
      <c r="X3" s="1900"/>
      <c r="Y3" s="1900"/>
    </row>
    <row r="4" spans="1:25" s="120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20" customFormat="1" ht="25.5" customHeight="1" x14ac:dyDescent="0.25">
      <c r="A5" s="1901"/>
      <c r="B5" s="190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930" t="s">
        <v>150</v>
      </c>
      <c r="R14" s="1930"/>
      <c r="S14" s="129" t="s">
        <v>171</v>
      </c>
      <c r="T14" s="1893" t="s">
        <v>46</v>
      </c>
      <c r="U14" s="121" t="s">
        <v>176</v>
      </c>
      <c r="V14" s="1918">
        <v>92618</v>
      </c>
      <c r="W14" s="1926"/>
      <c r="X14" s="1919"/>
    </row>
    <row r="15" spans="1:25" ht="22.5" customHeight="1" x14ac:dyDescent="0.25">
      <c r="A15" s="100" t="s">
        <v>38</v>
      </c>
      <c r="B15" s="1918">
        <v>325532</v>
      </c>
      <c r="C15" s="1919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920">
        <v>6</v>
      </c>
      <c r="R15" s="1920"/>
      <c r="S15" s="121">
        <v>126</v>
      </c>
      <c r="T15" s="1893"/>
      <c r="U15" s="121" t="s">
        <v>64</v>
      </c>
      <c r="V15" s="1920">
        <v>205209</v>
      </c>
      <c r="W15" s="1920"/>
      <c r="X15" s="1920"/>
    </row>
    <row r="16" spans="1:25" ht="24.75" customHeight="1" x14ac:dyDescent="0.25">
      <c r="A16" s="100" t="s">
        <v>39</v>
      </c>
      <c r="B16" s="1918">
        <v>234701</v>
      </c>
      <c r="C16" s="1919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883"/>
      <c r="R16" s="1883"/>
      <c r="S16" s="123"/>
      <c r="T16" s="1912" t="s">
        <v>55</v>
      </c>
      <c r="U16" s="1912"/>
      <c r="V16" s="1925">
        <f>Y12</f>
        <v>240922.41250000003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883"/>
      <c r="R17" s="1883"/>
      <c r="S17" s="123"/>
      <c r="T17" s="1931" t="s">
        <v>205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167585</v>
      </c>
      <c r="C18" s="1919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883"/>
      <c r="R18" s="1883"/>
      <c r="S18" s="121"/>
      <c r="T18" s="1912" t="s">
        <v>57</v>
      </c>
      <c r="U18" s="1912"/>
      <c r="V18" s="1920">
        <f>450+120+160+150</f>
        <v>880</v>
      </c>
      <c r="W18" s="1920"/>
      <c r="X18" s="1920"/>
      <c r="Y18" s="1927" t="s">
        <v>192</v>
      </c>
    </row>
    <row r="19" spans="1:25" ht="25.5" customHeight="1" x14ac:dyDescent="0.25">
      <c r="A19" s="100" t="s">
        <v>41</v>
      </c>
      <c r="B19" s="1918">
        <f>B15+B16+B17-B18</f>
        <v>392648</v>
      </c>
      <c r="C19" s="1919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918">
        <f t="shared" ref="Q19" si="14">Q15+Q16+Q17-Q18</f>
        <v>6</v>
      </c>
      <c r="R19" s="1919"/>
      <c r="S19" s="121">
        <f>S15+S16-S17-S18</f>
        <v>126</v>
      </c>
      <c r="T19" s="1914" t="s">
        <v>48</v>
      </c>
      <c r="U19" s="49" t="s">
        <v>58</v>
      </c>
      <c r="V19" s="1920">
        <v>370000</v>
      </c>
      <c r="W19" s="1920"/>
      <c r="X19" s="1920"/>
      <c r="Y19" s="1927"/>
    </row>
    <row r="20" spans="1:25" ht="23.25" customHeight="1" x14ac:dyDescent="0.25">
      <c r="A20" s="11" t="s">
        <v>187</v>
      </c>
      <c r="B20" s="1936">
        <f>B19*0.9625</f>
        <v>377923.7</v>
      </c>
      <c r="C20" s="1937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936">
        <f>241*Q19</f>
        <v>1446</v>
      </c>
      <c r="R20" s="1937"/>
      <c r="S20" s="123">
        <f>241*S19</f>
        <v>30366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764793.2</v>
      </c>
      <c r="C21" s="1941"/>
      <c r="O21" s="130"/>
      <c r="P21" s="130"/>
      <c r="Q21" s="130"/>
      <c r="R21" s="130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956534</v>
      </c>
      <c r="D22" s="1923">
        <v>370000</v>
      </c>
      <c r="E22" s="1923">
        <v>250000</v>
      </c>
      <c r="F22" s="1923">
        <f>C22-D22+E22</f>
        <v>836534</v>
      </c>
      <c r="G22" s="130"/>
      <c r="Q22" s="130"/>
      <c r="R22" s="130"/>
      <c r="T22" s="1909" t="s">
        <v>83</v>
      </c>
      <c r="U22" s="50" t="s">
        <v>60</v>
      </c>
      <c r="V22" s="1920">
        <v>324840</v>
      </c>
      <c r="W22" s="1920"/>
      <c r="X22" s="1920"/>
      <c r="Y22" s="1927"/>
    </row>
    <row r="23" spans="1:25" ht="39.75" customHeight="1" x14ac:dyDescent="0.25">
      <c r="A23" s="130"/>
      <c r="B23" s="1934"/>
      <c r="C23" s="1924"/>
      <c r="D23" s="1924"/>
      <c r="E23" s="1924"/>
      <c r="F23" s="1924"/>
      <c r="G23" s="130"/>
      <c r="Q23" s="130"/>
      <c r="R23" s="130"/>
      <c r="T23" s="1910"/>
      <c r="U23" s="50" t="s">
        <v>61</v>
      </c>
      <c r="V23" s="1920">
        <v>370000</v>
      </c>
      <c r="W23" s="1920"/>
      <c r="X23" s="1920"/>
      <c r="Y23" s="1927"/>
    </row>
    <row r="24" spans="1:25" ht="47.25" customHeight="1" x14ac:dyDescent="0.25">
      <c r="A24" s="130"/>
      <c r="B24" s="193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893" t="s">
        <v>47</v>
      </c>
      <c r="U24" s="51" t="s">
        <v>62</v>
      </c>
      <c r="V24" s="1921">
        <f>V14+V16+V17-V18-V19-V20-V22+V23-V21</f>
        <v>7820.4125000000349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160049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30"/>
      <c r="J33" s="130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900" t="s">
        <v>194</v>
      </c>
      <c r="U3" s="1900"/>
      <c r="V3" s="1900"/>
      <c r="W3" s="1900"/>
      <c r="X3" s="1900"/>
      <c r="Y3" s="1900"/>
    </row>
    <row r="4" spans="1:25" s="13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36" customFormat="1" ht="25.5" customHeight="1" x14ac:dyDescent="0.25">
      <c r="A5" s="1901"/>
      <c r="B5" s="1901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930" t="s">
        <v>150</v>
      </c>
      <c r="R14" s="1930"/>
      <c r="S14" s="140" t="s">
        <v>171</v>
      </c>
      <c r="T14" s="1893" t="s">
        <v>46</v>
      </c>
      <c r="U14" s="134" t="s">
        <v>176</v>
      </c>
      <c r="V14" s="1918">
        <v>7820</v>
      </c>
      <c r="W14" s="1926"/>
      <c r="X14" s="1919"/>
    </row>
    <row r="15" spans="1:25" ht="22.5" customHeight="1" x14ac:dyDescent="0.25">
      <c r="A15" s="100" t="s">
        <v>38</v>
      </c>
      <c r="B15" s="1918">
        <v>392648</v>
      </c>
      <c r="C15" s="1919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920">
        <v>6</v>
      </c>
      <c r="R15" s="1920"/>
      <c r="S15" s="134">
        <v>126</v>
      </c>
      <c r="T15" s="1893"/>
      <c r="U15" s="134" t="s">
        <v>64</v>
      </c>
      <c r="V15" s="1920">
        <v>160049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883"/>
      <c r="R16" s="1883"/>
      <c r="S16" s="133"/>
      <c r="T16" s="1912" t="s">
        <v>55</v>
      </c>
      <c r="U16" s="1912"/>
      <c r="V16" s="1925">
        <f>Y12</f>
        <v>217455.60250000001</v>
      </c>
      <c r="W16" s="1925"/>
      <c r="X16" s="1920"/>
    </row>
    <row r="17" spans="1:25" ht="28.5" customHeight="1" x14ac:dyDescent="0.25">
      <c r="A17" s="101" t="s">
        <v>44</v>
      </c>
      <c r="B17" s="1918">
        <v>34668</v>
      </c>
      <c r="C17" s="1919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883"/>
      <c r="R17" s="1883"/>
      <c r="S17" s="133"/>
      <c r="T17" s="1931" t="s">
        <v>205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152269</v>
      </c>
      <c r="C18" s="1919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883"/>
      <c r="R18" s="1883"/>
      <c r="S18" s="134"/>
      <c r="T18" s="1912" t="s">
        <v>57</v>
      </c>
      <c r="U18" s="1912"/>
      <c r="V18" s="1920">
        <v>450</v>
      </c>
      <c r="W18" s="1920"/>
      <c r="X18" s="1920"/>
      <c r="Y18" s="1927" t="s">
        <v>193</v>
      </c>
    </row>
    <row r="19" spans="1:25" ht="25.5" customHeight="1" x14ac:dyDescent="0.25">
      <c r="A19" s="100" t="s">
        <v>41</v>
      </c>
      <c r="B19" s="1918">
        <f>B15+B16+B17-B18</f>
        <v>275047</v>
      </c>
      <c r="C19" s="1919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918">
        <f t="shared" ref="Q19" si="14">Q15+Q16+Q17-Q18</f>
        <v>6</v>
      </c>
      <c r="R19" s="1919"/>
      <c r="S19" s="134">
        <f>S15+S16-S17-S18</f>
        <v>126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11" t="s">
        <v>187</v>
      </c>
      <c r="B20" s="1936">
        <f>B19*0.9625</f>
        <v>264732.73749999999</v>
      </c>
      <c r="C20" s="1937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936">
        <f>241*Q19</f>
        <v>1446</v>
      </c>
      <c r="R20" s="1937"/>
      <c r="S20" s="133">
        <f>241*S19</f>
        <v>30366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582917.5575</v>
      </c>
      <c r="C21" s="1941"/>
      <c r="O21" s="141"/>
      <c r="P21" s="141"/>
      <c r="Q21" s="141"/>
      <c r="R21" s="141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836534</v>
      </c>
      <c r="D22" s="1923"/>
      <c r="E22" s="1923"/>
      <c r="F22" s="1923">
        <f>C22-D22+E22</f>
        <v>836534</v>
      </c>
      <c r="G22" s="141"/>
      <c r="Q22" s="141"/>
      <c r="R22" s="141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141"/>
      <c r="B23" s="1934"/>
      <c r="C23" s="1924"/>
      <c r="D23" s="1924"/>
      <c r="E23" s="1924"/>
      <c r="F23" s="1924"/>
      <c r="G23" s="141"/>
      <c r="Q23" s="141"/>
      <c r="R23" s="141"/>
      <c r="T23" s="1910"/>
      <c r="U23" s="50" t="s">
        <v>61</v>
      </c>
      <c r="V23" s="1920"/>
      <c r="W23" s="1920"/>
      <c r="X23" s="1920"/>
      <c r="Y23" s="1927"/>
    </row>
    <row r="24" spans="1:25" ht="47.25" customHeight="1" x14ac:dyDescent="0.25">
      <c r="A24" s="141"/>
      <c r="B24" s="1935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893" t="s">
        <v>47</v>
      </c>
      <c r="U24" s="51" t="s">
        <v>62</v>
      </c>
      <c r="V24" s="1921">
        <f>V14+V16+V17-V18-V19-V20-V22+V23-V21</f>
        <v>224825.60250000001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160049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41"/>
      <c r="J33" s="141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900" t="s">
        <v>195</v>
      </c>
      <c r="U3" s="1900"/>
      <c r="V3" s="1900"/>
      <c r="W3" s="1900"/>
      <c r="X3" s="1900"/>
      <c r="Y3" s="1900"/>
    </row>
    <row r="4" spans="1:25" s="13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36" customFormat="1" ht="25.5" customHeight="1" x14ac:dyDescent="0.25">
      <c r="A5" s="1901"/>
      <c r="B5" s="1901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930" t="s">
        <v>150</v>
      </c>
      <c r="R14" s="1930"/>
      <c r="S14" s="140" t="s">
        <v>171</v>
      </c>
      <c r="T14" s="1893" t="s">
        <v>46</v>
      </c>
      <c r="U14" s="134" t="s">
        <v>176</v>
      </c>
      <c r="V14" s="1918">
        <v>224826</v>
      </c>
      <c r="W14" s="1926"/>
      <c r="X14" s="1919"/>
    </row>
    <row r="15" spans="1:25" ht="22.5" customHeight="1" x14ac:dyDescent="0.25">
      <c r="A15" s="100" t="s">
        <v>38</v>
      </c>
      <c r="B15" s="1918">
        <v>275047</v>
      </c>
      <c r="C15" s="1919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920">
        <v>6</v>
      </c>
      <c r="R15" s="1920"/>
      <c r="S15" s="134">
        <v>126</v>
      </c>
      <c r="T15" s="1893"/>
      <c r="U15" s="134" t="s">
        <v>64</v>
      </c>
      <c r="V15" s="1920">
        <v>160049</v>
      </c>
      <c r="W15" s="1920"/>
      <c r="X15" s="1920"/>
    </row>
    <row r="16" spans="1:25" ht="24.75" customHeight="1" x14ac:dyDescent="0.25">
      <c r="A16" s="100" t="s">
        <v>39</v>
      </c>
      <c r="B16" s="1918">
        <v>114285</v>
      </c>
      <c r="C16" s="1919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1883"/>
      <c r="R16" s="1883"/>
      <c r="S16" s="133"/>
      <c r="T16" s="1912" t="s">
        <v>55</v>
      </c>
      <c r="U16" s="1912"/>
      <c r="V16" s="1925">
        <f>Y12</f>
        <v>140846.33749999999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883"/>
      <c r="R17" s="1883"/>
      <c r="S17" s="133"/>
      <c r="T17" s="1931" t="s">
        <v>181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107115</v>
      </c>
      <c r="C18" s="1919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883"/>
      <c r="R18" s="1883"/>
      <c r="S18" s="134"/>
      <c r="T18" s="1912" t="s">
        <v>57</v>
      </c>
      <c r="U18" s="1912"/>
      <c r="V18" s="1920">
        <f>450+260</f>
        <v>710</v>
      </c>
      <c r="W18" s="1920"/>
      <c r="X18" s="1920"/>
      <c r="Y18" s="1927" t="s">
        <v>196</v>
      </c>
    </row>
    <row r="19" spans="1:25" ht="25.5" customHeight="1" x14ac:dyDescent="0.25">
      <c r="A19" s="100" t="s">
        <v>41</v>
      </c>
      <c r="B19" s="1918">
        <f>B15+B16+B17-B18</f>
        <v>282217</v>
      </c>
      <c r="C19" s="1919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918">
        <f t="shared" ref="Q19" si="14">Q15+Q16+Q17-Q18</f>
        <v>6</v>
      </c>
      <c r="R19" s="1919"/>
      <c r="S19" s="134">
        <f>S15+S16-S17-S18</f>
        <v>126</v>
      </c>
      <c r="T19" s="1914" t="s">
        <v>48</v>
      </c>
      <c r="U19" s="49" t="s">
        <v>58</v>
      </c>
      <c r="V19" s="1920">
        <v>507500</v>
      </c>
      <c r="W19" s="1920"/>
      <c r="X19" s="1920"/>
      <c r="Y19" s="1927"/>
    </row>
    <row r="20" spans="1:25" ht="23.25" customHeight="1" x14ac:dyDescent="0.25">
      <c r="A20" s="11" t="s">
        <v>187</v>
      </c>
      <c r="B20" s="1936">
        <f>B19*0.9625</f>
        <v>271633.86249999999</v>
      </c>
      <c r="C20" s="1937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936">
        <f>241*Q19</f>
        <v>1446</v>
      </c>
      <c r="R20" s="1937"/>
      <c r="S20" s="133">
        <f>241*S19</f>
        <v>30366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736568.86250000005</v>
      </c>
      <c r="C21" s="1941"/>
      <c r="O21" s="141"/>
      <c r="P21" s="141"/>
      <c r="Q21" s="141"/>
      <c r="R21" s="141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836534</v>
      </c>
      <c r="D22" s="1923">
        <v>507500</v>
      </c>
      <c r="E22" s="1923">
        <v>293099</v>
      </c>
      <c r="F22" s="1923">
        <f>C22-D22+E22</f>
        <v>622133</v>
      </c>
      <c r="G22" s="141"/>
      <c r="Q22" s="141"/>
      <c r="R22" s="141"/>
      <c r="T22" s="1909" t="s">
        <v>83</v>
      </c>
      <c r="U22" s="50" t="s">
        <v>60</v>
      </c>
      <c r="V22" s="1920">
        <v>357520</v>
      </c>
      <c r="W22" s="1920"/>
      <c r="X22" s="1920"/>
      <c r="Y22" s="1927"/>
    </row>
    <row r="23" spans="1:25" ht="39.75" customHeight="1" x14ac:dyDescent="0.25">
      <c r="A23" s="141"/>
      <c r="B23" s="1934"/>
      <c r="C23" s="1924"/>
      <c r="D23" s="1924"/>
      <c r="E23" s="1924"/>
      <c r="F23" s="1924"/>
      <c r="G23" s="141"/>
      <c r="Q23" s="141"/>
      <c r="R23" s="141"/>
      <c r="T23" s="1910"/>
      <c r="U23" s="50" t="s">
        <v>61</v>
      </c>
      <c r="V23" s="1920">
        <v>507500</v>
      </c>
      <c r="W23" s="1920"/>
      <c r="X23" s="1920"/>
      <c r="Y23" s="1927"/>
    </row>
    <row r="24" spans="1:25" ht="47.25" customHeight="1" x14ac:dyDescent="0.25">
      <c r="A24" s="141"/>
      <c r="B24" s="1935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893" t="s">
        <v>47</v>
      </c>
      <c r="U24" s="51" t="s">
        <v>62</v>
      </c>
      <c r="V24" s="1921">
        <f>V14+V16+V17-V18-V19-V20-V22+V23-V21</f>
        <v>7442.3375000000233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10069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41"/>
      <c r="J33" s="141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900" t="s">
        <v>197</v>
      </c>
      <c r="U3" s="1900"/>
      <c r="V3" s="1900"/>
      <c r="W3" s="1900"/>
      <c r="X3" s="1900"/>
      <c r="Y3" s="1900"/>
    </row>
    <row r="4" spans="1:25" s="13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36" customFormat="1" ht="25.5" customHeight="1" x14ac:dyDescent="0.25">
      <c r="A5" s="1901"/>
      <c r="B5" s="1901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930" t="s">
        <v>150</v>
      </c>
      <c r="R14" s="1930"/>
      <c r="S14" s="140" t="s">
        <v>171</v>
      </c>
      <c r="T14" s="1893" t="s">
        <v>46</v>
      </c>
      <c r="U14" s="134" t="s">
        <v>176</v>
      </c>
      <c r="V14" s="1918">
        <v>7442</v>
      </c>
      <c r="W14" s="1926"/>
      <c r="X14" s="1919"/>
    </row>
    <row r="15" spans="1:25" ht="22.5" customHeight="1" x14ac:dyDescent="0.25">
      <c r="A15" s="100" t="s">
        <v>38</v>
      </c>
      <c r="B15" s="1918">
        <v>282217</v>
      </c>
      <c r="C15" s="1919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1920">
        <v>6</v>
      </c>
      <c r="R15" s="1920"/>
      <c r="S15" s="134">
        <v>126</v>
      </c>
      <c r="T15" s="1893"/>
      <c r="U15" s="134" t="s">
        <v>64</v>
      </c>
      <c r="V15" s="1920">
        <v>10069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1883"/>
      <c r="R16" s="1883"/>
      <c r="S16" s="133"/>
      <c r="T16" s="1912" t="s">
        <v>55</v>
      </c>
      <c r="U16" s="1912"/>
      <c r="V16" s="1925">
        <f>Y12</f>
        <v>137582.78750000001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883"/>
      <c r="R17" s="1883"/>
      <c r="S17" s="133"/>
      <c r="T17" s="1931" t="s">
        <v>181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121935</v>
      </c>
      <c r="C18" s="1919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883"/>
      <c r="R18" s="1883"/>
      <c r="S18" s="134"/>
      <c r="T18" s="1912" t="s">
        <v>57</v>
      </c>
      <c r="U18" s="1912"/>
      <c r="V18" s="1920">
        <f>450+100</f>
        <v>550</v>
      </c>
      <c r="W18" s="1920"/>
      <c r="X18" s="1920"/>
      <c r="Y18" s="1927" t="s">
        <v>198</v>
      </c>
    </row>
    <row r="19" spans="1:25" ht="25.5" customHeight="1" x14ac:dyDescent="0.25">
      <c r="A19" s="100" t="s">
        <v>41</v>
      </c>
      <c r="B19" s="1918">
        <f>B15+B16+B17-B18</f>
        <v>160282</v>
      </c>
      <c r="C19" s="1919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918">
        <f t="shared" ref="Q19" si="14">Q15+Q16+Q17-Q18</f>
        <v>6</v>
      </c>
      <c r="R19" s="1919"/>
      <c r="S19" s="134">
        <f>S15+S16-S17-S18</f>
        <v>126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11" t="s">
        <v>187</v>
      </c>
      <c r="B20" s="1936">
        <f>B19*0.9625</f>
        <v>154271.42500000002</v>
      </c>
      <c r="C20" s="1937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936">
        <f>241*Q19</f>
        <v>1446</v>
      </c>
      <c r="R20" s="1937"/>
      <c r="S20" s="133">
        <f>241*S19</f>
        <v>30366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600268.125</v>
      </c>
      <c r="C21" s="1941"/>
      <c r="O21" s="141"/>
      <c r="P21" s="141"/>
      <c r="Q21" s="141"/>
      <c r="R21" s="141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622133</v>
      </c>
      <c r="D22" s="1923"/>
      <c r="E22" s="1923"/>
      <c r="F22" s="1923">
        <f>C22-D22+E22</f>
        <v>622133</v>
      </c>
      <c r="G22" s="141"/>
      <c r="Q22" s="141"/>
      <c r="R22" s="141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141"/>
      <c r="B23" s="1934"/>
      <c r="C23" s="1924"/>
      <c r="D23" s="1924"/>
      <c r="E23" s="1924"/>
      <c r="F23" s="1924"/>
      <c r="G23" s="141"/>
      <c r="Q23" s="141"/>
      <c r="R23" s="141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141"/>
      <c r="B24" s="1935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893" t="s">
        <v>47</v>
      </c>
      <c r="U24" s="51" t="s">
        <v>62</v>
      </c>
      <c r="V24" s="1921">
        <f>V14+V16+V17-V18-V19-V20-V22+V23-V21</f>
        <v>144474.78750000001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10069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41"/>
      <c r="J33" s="141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900" t="s">
        <v>199</v>
      </c>
      <c r="U3" s="1900"/>
      <c r="V3" s="1900"/>
      <c r="W3" s="1900"/>
      <c r="X3" s="1900"/>
      <c r="Y3" s="1900"/>
    </row>
    <row r="4" spans="1:25" s="144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44" customFormat="1" ht="25.5" customHeight="1" x14ac:dyDescent="0.25">
      <c r="A5" s="1901"/>
      <c r="B5" s="1901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930" t="s">
        <v>150</v>
      </c>
      <c r="R14" s="1930"/>
      <c r="S14" s="153" t="s">
        <v>171</v>
      </c>
      <c r="T14" s="1893" t="s">
        <v>46</v>
      </c>
      <c r="U14" s="145" t="s">
        <v>176</v>
      </c>
      <c r="V14" s="1918">
        <v>144475</v>
      </c>
      <c r="W14" s="1926"/>
      <c r="X14" s="1919"/>
    </row>
    <row r="15" spans="1:25" ht="22.5" customHeight="1" x14ac:dyDescent="0.25">
      <c r="A15" s="100" t="s">
        <v>38</v>
      </c>
      <c r="B15" s="1918">
        <v>160282</v>
      </c>
      <c r="C15" s="1919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920">
        <v>6</v>
      </c>
      <c r="R15" s="1920"/>
      <c r="S15" s="145">
        <v>126</v>
      </c>
      <c r="T15" s="1893"/>
      <c r="U15" s="145" t="s">
        <v>64</v>
      </c>
      <c r="V15" s="1920">
        <v>10069</v>
      </c>
      <c r="W15" s="1920"/>
      <c r="X15" s="1920"/>
    </row>
    <row r="16" spans="1:25" ht="24.75" customHeight="1" x14ac:dyDescent="0.25">
      <c r="A16" s="100" t="s">
        <v>39</v>
      </c>
      <c r="B16" s="1918">
        <v>202597</v>
      </c>
      <c r="C16" s="1919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883"/>
      <c r="R16" s="1883"/>
      <c r="S16" s="147"/>
      <c r="T16" s="1912" t="s">
        <v>55</v>
      </c>
      <c r="U16" s="1912"/>
      <c r="V16" s="1925">
        <f>Y12</f>
        <v>263294.24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883"/>
      <c r="R17" s="1883"/>
      <c r="S17" s="147"/>
      <c r="T17" s="1931" t="s">
        <v>87</v>
      </c>
      <c r="U17" s="1932"/>
      <c r="V17" s="1920">
        <v>100000</v>
      </c>
      <c r="W17" s="1920"/>
      <c r="X17" s="1920"/>
    </row>
    <row r="18" spans="1:25" ht="27" customHeight="1" x14ac:dyDescent="0.25">
      <c r="A18" s="100" t="s">
        <v>40</v>
      </c>
      <c r="B18" s="1922">
        <f>C12</f>
        <v>79264</v>
      </c>
      <c r="C18" s="1919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1883"/>
      <c r="R18" s="1883"/>
      <c r="S18" s="145"/>
      <c r="T18" s="1912" t="s">
        <v>57</v>
      </c>
      <c r="U18" s="1912"/>
      <c r="V18" s="1920">
        <f>450+2000</f>
        <v>2450</v>
      </c>
      <c r="W18" s="1920"/>
      <c r="X18" s="1920"/>
      <c r="Y18" s="1927" t="s">
        <v>200</v>
      </c>
    </row>
    <row r="19" spans="1:25" ht="25.5" customHeight="1" x14ac:dyDescent="0.25">
      <c r="A19" s="100" t="s">
        <v>41</v>
      </c>
      <c r="B19" s="1918">
        <f>B15+B16+B17-B18</f>
        <v>283615</v>
      </c>
      <c r="C19" s="1919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918">
        <f t="shared" ref="Q19" si="14">Q15+Q16+Q17-Q18</f>
        <v>6</v>
      </c>
      <c r="R19" s="1919"/>
      <c r="S19" s="145">
        <f>S15+S16-S17-S18</f>
        <v>126</v>
      </c>
      <c r="T19" s="1914" t="s">
        <v>48</v>
      </c>
      <c r="U19" s="49" t="s">
        <v>58</v>
      </c>
      <c r="V19" s="1920">
        <v>394131</v>
      </c>
      <c r="W19" s="1920"/>
      <c r="X19" s="1920"/>
      <c r="Y19" s="1927"/>
    </row>
    <row r="20" spans="1:25" ht="23.25" customHeight="1" x14ac:dyDescent="0.25">
      <c r="A20" s="11" t="s">
        <v>187</v>
      </c>
      <c r="B20" s="1936">
        <f>B19*0.9625</f>
        <v>272979.4375</v>
      </c>
      <c r="C20" s="1937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936">
        <f>241*Q19</f>
        <v>1446</v>
      </c>
      <c r="R20" s="1937"/>
      <c r="S20" s="147">
        <f>241*S19</f>
        <v>30366</v>
      </c>
      <c r="T20" s="1915"/>
      <c r="U20" s="49" t="s">
        <v>59</v>
      </c>
      <c r="V20" s="1920">
        <v>100000</v>
      </c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534677.53749999998</v>
      </c>
      <c r="C21" s="1941"/>
      <c r="O21" s="154"/>
      <c r="P21" s="154"/>
      <c r="Q21" s="154"/>
      <c r="R21" s="154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622133</v>
      </c>
      <c r="D22" s="1923">
        <v>494131</v>
      </c>
      <c r="E22" s="1923">
        <v>195000</v>
      </c>
      <c r="F22" s="1923">
        <f>C22-D22+E22</f>
        <v>323002</v>
      </c>
      <c r="G22" s="154"/>
      <c r="Q22" s="154"/>
      <c r="R22" s="154"/>
      <c r="T22" s="1909" t="s">
        <v>83</v>
      </c>
      <c r="U22" s="50" t="s">
        <v>60</v>
      </c>
      <c r="V22" s="1920">
        <v>393510</v>
      </c>
      <c r="W22" s="1920"/>
      <c r="X22" s="1920"/>
      <c r="Y22" s="1927"/>
    </row>
    <row r="23" spans="1:25" ht="39.75" customHeight="1" x14ac:dyDescent="0.25">
      <c r="A23" s="154"/>
      <c r="B23" s="1934"/>
      <c r="C23" s="1924"/>
      <c r="D23" s="1924"/>
      <c r="E23" s="1924"/>
      <c r="F23" s="1924"/>
      <c r="G23" s="154"/>
      <c r="Q23" s="154"/>
      <c r="R23" s="154"/>
      <c r="T23" s="1910"/>
      <c r="U23" s="50" t="s">
        <v>61</v>
      </c>
      <c r="V23" s="1920">
        <v>394131</v>
      </c>
      <c r="W23" s="1920"/>
      <c r="X23" s="1920"/>
      <c r="Y23" s="1927"/>
    </row>
    <row r="24" spans="1:25" ht="48" customHeight="1" x14ac:dyDescent="0.25">
      <c r="A24" s="154"/>
      <c r="B24" s="1935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893" t="s">
        <v>47</v>
      </c>
      <c r="U24" s="51" t="s">
        <v>62</v>
      </c>
      <c r="V24" s="1921">
        <f>V14+V16+V17-V18-V19-V20-V22+V23-V21</f>
        <v>11809.239999999991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9448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54"/>
      <c r="J33" s="154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900" t="s">
        <v>201</v>
      </c>
      <c r="U3" s="1900"/>
      <c r="V3" s="1900"/>
      <c r="W3" s="1900"/>
      <c r="X3" s="1900"/>
      <c r="Y3" s="1900"/>
    </row>
    <row r="4" spans="1:25" s="144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44" customFormat="1" ht="25.5" customHeight="1" x14ac:dyDescent="0.25">
      <c r="A5" s="1901"/>
      <c r="B5" s="1901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930" t="s">
        <v>150</v>
      </c>
      <c r="R14" s="1930"/>
      <c r="S14" s="153" t="s">
        <v>171</v>
      </c>
      <c r="T14" s="1893" t="s">
        <v>46</v>
      </c>
      <c r="U14" s="145" t="s">
        <v>176</v>
      </c>
      <c r="V14" s="1918">
        <v>11809</v>
      </c>
      <c r="W14" s="1926"/>
      <c r="X14" s="1919"/>
    </row>
    <row r="15" spans="1:25" ht="22.5" customHeight="1" x14ac:dyDescent="0.25">
      <c r="A15" s="100" t="s">
        <v>38</v>
      </c>
      <c r="B15" s="1918">
        <v>283615</v>
      </c>
      <c r="C15" s="1919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920">
        <v>6</v>
      </c>
      <c r="R15" s="1920"/>
      <c r="S15" s="145">
        <v>126</v>
      </c>
      <c r="T15" s="1893"/>
      <c r="U15" s="145" t="s">
        <v>64</v>
      </c>
      <c r="V15" s="1920">
        <v>9448</v>
      </c>
      <c r="W15" s="1920"/>
      <c r="X15" s="1920"/>
    </row>
    <row r="16" spans="1:25" ht="24.75" customHeight="1" x14ac:dyDescent="0.25">
      <c r="A16" s="100" t="s">
        <v>39</v>
      </c>
      <c r="B16" s="1918">
        <v>119480</v>
      </c>
      <c r="C16" s="1919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1883"/>
      <c r="R16" s="1883"/>
      <c r="S16" s="147"/>
      <c r="T16" s="1912" t="s">
        <v>55</v>
      </c>
      <c r="U16" s="1912"/>
      <c r="V16" s="1925">
        <f>Y12</f>
        <v>157186.1225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883"/>
      <c r="R17" s="1883"/>
      <c r="S17" s="147"/>
      <c r="T17" s="1931" t="s">
        <v>205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126141</v>
      </c>
      <c r="C18" s="1919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1883"/>
      <c r="R18" s="1883"/>
      <c r="S18" s="145">
        <v>15</v>
      </c>
      <c r="T18" s="1912" t="s">
        <v>57</v>
      </c>
      <c r="U18" s="1912"/>
      <c r="V18" s="1920">
        <f>450+28778</f>
        <v>29228</v>
      </c>
      <c r="W18" s="1920"/>
      <c r="X18" s="1920"/>
      <c r="Y18" s="1927" t="s">
        <v>203</v>
      </c>
    </row>
    <row r="19" spans="1:25" ht="25.5" customHeight="1" x14ac:dyDescent="0.25">
      <c r="A19" s="100" t="s">
        <v>41</v>
      </c>
      <c r="B19" s="1918">
        <f>B15+B16+B17-B18</f>
        <v>276954</v>
      </c>
      <c r="C19" s="1919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918">
        <f t="shared" ref="Q19" si="14">Q15+Q16+Q17-Q18</f>
        <v>6</v>
      </c>
      <c r="R19" s="1919"/>
      <c r="S19" s="145">
        <f>S15+S16-S17-S18</f>
        <v>111</v>
      </c>
      <c r="T19" s="1914" t="s">
        <v>48</v>
      </c>
      <c r="U19" s="49" t="s">
        <v>58</v>
      </c>
      <c r="V19" s="1920">
        <v>126000</v>
      </c>
      <c r="W19" s="1920"/>
      <c r="X19" s="1920"/>
      <c r="Y19" s="1927"/>
    </row>
    <row r="20" spans="1:25" ht="23.25" customHeight="1" x14ac:dyDescent="0.25">
      <c r="A20" s="11" t="s">
        <v>187</v>
      </c>
      <c r="B20" s="1936">
        <f>B19*0.9625</f>
        <v>266568.22500000003</v>
      </c>
      <c r="C20" s="1937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936">
        <f>241*Q19</f>
        <v>1446</v>
      </c>
      <c r="R20" s="1937"/>
      <c r="S20" s="147">
        <f>241*S19</f>
        <v>26751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517911.22500000003</v>
      </c>
      <c r="C21" s="1941"/>
      <c r="O21" s="154"/>
      <c r="P21" s="154"/>
      <c r="Q21" s="154"/>
      <c r="R21" s="154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323002</v>
      </c>
      <c r="D22" s="1923">
        <v>126000</v>
      </c>
      <c r="E22" s="1923">
        <v>139100</v>
      </c>
      <c r="F22" s="1923">
        <f>C22-D22+E22</f>
        <v>336102</v>
      </c>
      <c r="G22" s="154"/>
      <c r="Q22" s="154"/>
      <c r="R22" s="154"/>
      <c r="T22" s="1909" t="s">
        <v>83</v>
      </c>
      <c r="U22" s="50" t="s">
        <v>60</v>
      </c>
      <c r="V22" s="1920">
        <v>126440</v>
      </c>
      <c r="W22" s="1920"/>
      <c r="X22" s="1920"/>
      <c r="Y22" s="1927"/>
    </row>
    <row r="23" spans="1:25" ht="39.75" customHeight="1" x14ac:dyDescent="0.25">
      <c r="A23" s="154"/>
      <c r="B23" s="1934"/>
      <c r="C23" s="1924"/>
      <c r="D23" s="1924"/>
      <c r="E23" s="1924"/>
      <c r="F23" s="1924"/>
      <c r="G23" s="154"/>
      <c r="Q23" s="154"/>
      <c r="R23" s="154"/>
      <c r="T23" s="1910"/>
      <c r="U23" s="50" t="s">
        <v>61</v>
      </c>
      <c r="V23" s="1920">
        <v>126000</v>
      </c>
      <c r="W23" s="1920"/>
      <c r="X23" s="1920"/>
      <c r="Y23" s="1927"/>
    </row>
    <row r="24" spans="1:25" ht="48" customHeight="1" x14ac:dyDescent="0.25">
      <c r="A24" s="154"/>
      <c r="B24" s="1935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893" t="s">
        <v>47</v>
      </c>
      <c r="U24" s="51" t="s">
        <v>62</v>
      </c>
      <c r="V24" s="1921">
        <f>V14+V16+V17-V18-V19-V20-V22+V23-V21</f>
        <v>13327.122499999998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9888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54"/>
      <c r="J33" s="154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900" t="s">
        <v>204</v>
      </c>
      <c r="U3" s="1900"/>
      <c r="V3" s="1900"/>
      <c r="W3" s="1900"/>
      <c r="X3" s="1900"/>
      <c r="Y3" s="1900"/>
    </row>
    <row r="4" spans="1:25" s="160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60" customFormat="1" ht="25.5" customHeight="1" x14ac:dyDescent="0.25">
      <c r="A5" s="1901"/>
      <c r="B5" s="1901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1930" t="s">
        <v>150</v>
      </c>
      <c r="R14" s="1930"/>
      <c r="S14" s="164" t="s">
        <v>171</v>
      </c>
      <c r="T14" s="1893" t="s">
        <v>46</v>
      </c>
      <c r="U14" s="158" t="s">
        <v>176</v>
      </c>
      <c r="V14" s="1918">
        <v>13327</v>
      </c>
      <c r="W14" s="1926"/>
      <c r="X14" s="1919"/>
    </row>
    <row r="15" spans="1:25" ht="22.5" customHeight="1" x14ac:dyDescent="0.25">
      <c r="A15" s="100" t="s">
        <v>38</v>
      </c>
      <c r="B15" s="1918">
        <v>276954</v>
      </c>
      <c r="C15" s="1919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1920">
        <v>6</v>
      </c>
      <c r="R15" s="1920"/>
      <c r="S15" s="158">
        <v>111</v>
      </c>
      <c r="T15" s="1893"/>
      <c r="U15" s="158" t="s">
        <v>64</v>
      </c>
      <c r="V15" s="1920">
        <v>9888</v>
      </c>
      <c r="W15" s="1920"/>
      <c r="X15" s="1920"/>
    </row>
    <row r="16" spans="1:25" ht="24.75" customHeight="1" x14ac:dyDescent="0.25">
      <c r="A16" s="100" t="s">
        <v>39</v>
      </c>
      <c r="B16" s="1918">
        <v>214959</v>
      </c>
      <c r="C16" s="1919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1883"/>
      <c r="R16" s="1883"/>
      <c r="S16" s="157"/>
      <c r="T16" s="1912" t="s">
        <v>55</v>
      </c>
      <c r="U16" s="1912"/>
      <c r="V16" s="1925">
        <f>Y12</f>
        <v>144866.8425</v>
      </c>
      <c r="W16" s="1925"/>
      <c r="X16" s="1920"/>
    </row>
    <row r="17" spans="1:25" ht="28.5" customHeight="1" x14ac:dyDescent="0.25">
      <c r="A17" s="101" t="s">
        <v>44</v>
      </c>
      <c r="B17" s="1918">
        <v>1696</v>
      </c>
      <c r="C17" s="1919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1883"/>
      <c r="R17" s="1883"/>
      <c r="S17" s="157"/>
      <c r="T17" s="1931" t="s">
        <v>202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146733</v>
      </c>
      <c r="C18" s="1919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1883"/>
      <c r="R18" s="1883"/>
      <c r="S18" s="158"/>
      <c r="T18" s="1912" t="s">
        <v>57</v>
      </c>
      <c r="U18" s="1912"/>
      <c r="V18" s="1920">
        <f>450+90+1632</f>
        <v>2172</v>
      </c>
      <c r="W18" s="1920"/>
      <c r="X18" s="1920"/>
      <c r="Y18" s="1927" t="s">
        <v>206</v>
      </c>
    </row>
    <row r="19" spans="1:25" ht="25.5" customHeight="1" x14ac:dyDescent="0.25">
      <c r="A19" s="100" t="s">
        <v>41</v>
      </c>
      <c r="B19" s="1918">
        <f>B15+B16+B17-B18</f>
        <v>346876</v>
      </c>
      <c r="C19" s="1919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1918">
        <f t="shared" ref="Q19" si="14">Q15+Q16+Q17-Q18</f>
        <v>6</v>
      </c>
      <c r="R19" s="1919"/>
      <c r="S19" s="158">
        <f>S15+S16-S17-S18</f>
        <v>111</v>
      </c>
      <c r="T19" s="1914" t="s">
        <v>48</v>
      </c>
      <c r="U19" s="49" t="s">
        <v>58</v>
      </c>
      <c r="V19" s="1920">
        <v>143000</v>
      </c>
      <c r="W19" s="1920"/>
      <c r="X19" s="1920"/>
      <c r="Y19" s="1927"/>
    </row>
    <row r="20" spans="1:25" ht="23.25" customHeight="1" x14ac:dyDescent="0.25">
      <c r="A20" s="11" t="s">
        <v>187</v>
      </c>
      <c r="B20" s="1936">
        <f>B19*0.9625</f>
        <v>333868.15000000002</v>
      </c>
      <c r="C20" s="1937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1936">
        <f>241*Q19</f>
        <v>1446</v>
      </c>
      <c r="R20" s="1937"/>
      <c r="S20" s="157">
        <f>241*S19</f>
        <v>26751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583042.15</v>
      </c>
      <c r="C21" s="1941"/>
      <c r="O21" s="165"/>
      <c r="P21" s="165"/>
      <c r="Q21" s="165"/>
      <c r="R21" s="165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336102</v>
      </c>
      <c r="D22" s="1923">
        <v>143000</v>
      </c>
      <c r="E22" s="1923">
        <v>206898</v>
      </c>
      <c r="F22" s="1923">
        <f>C22-D22+E22</f>
        <v>400000</v>
      </c>
      <c r="G22" s="165"/>
      <c r="Q22" s="165"/>
      <c r="R22" s="165"/>
      <c r="T22" s="1909" t="s">
        <v>83</v>
      </c>
      <c r="U22" s="50" t="s">
        <v>60</v>
      </c>
      <c r="V22" s="1920">
        <v>142990</v>
      </c>
      <c r="W22" s="1920"/>
      <c r="X22" s="1920"/>
      <c r="Y22" s="1927"/>
    </row>
    <row r="23" spans="1:25" ht="39.75" customHeight="1" x14ac:dyDescent="0.25">
      <c r="A23" s="165"/>
      <c r="B23" s="1934"/>
      <c r="C23" s="1924"/>
      <c r="D23" s="1924"/>
      <c r="E23" s="1924"/>
      <c r="F23" s="1924"/>
      <c r="G23" s="165"/>
      <c r="Q23" s="165"/>
      <c r="R23" s="165"/>
      <c r="T23" s="1910"/>
      <c r="U23" s="50" t="s">
        <v>61</v>
      </c>
      <c r="V23" s="1920">
        <v>143000</v>
      </c>
      <c r="W23" s="1920"/>
      <c r="X23" s="1920"/>
      <c r="Y23" s="1927"/>
    </row>
    <row r="24" spans="1:25" ht="48" customHeight="1" x14ac:dyDescent="0.25">
      <c r="A24" s="165"/>
      <c r="B24" s="1935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1893" t="s">
        <v>47</v>
      </c>
      <c r="U24" s="51" t="s">
        <v>62</v>
      </c>
      <c r="V24" s="1921">
        <f>V14+V16+V17-V18-V19-V20-V22+V23-V21</f>
        <v>13031.842499999999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9878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65"/>
      <c r="J33" s="165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900" t="s">
        <v>207</v>
      </c>
      <c r="U3" s="1900"/>
      <c r="V3" s="1900"/>
      <c r="W3" s="1900"/>
      <c r="X3" s="1900"/>
      <c r="Y3" s="1900"/>
    </row>
    <row r="4" spans="1:25" s="16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66" customFormat="1" ht="25.5" customHeight="1" x14ac:dyDescent="0.25">
      <c r="A5" s="1901"/>
      <c r="B5" s="1901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930" t="s">
        <v>150</v>
      </c>
      <c r="R14" s="1930"/>
      <c r="S14" s="175" t="s">
        <v>171</v>
      </c>
      <c r="T14" s="1893" t="s">
        <v>46</v>
      </c>
      <c r="U14" s="167" t="s">
        <v>176</v>
      </c>
      <c r="V14" s="1918">
        <v>13032</v>
      </c>
      <c r="W14" s="1926"/>
      <c r="X14" s="1919"/>
    </row>
    <row r="15" spans="1:25" ht="22.5" customHeight="1" x14ac:dyDescent="0.25">
      <c r="A15" s="100" t="s">
        <v>38</v>
      </c>
      <c r="B15" s="1918">
        <v>346876</v>
      </c>
      <c r="C15" s="1919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1920">
        <v>6</v>
      </c>
      <c r="R15" s="1920"/>
      <c r="S15" s="167">
        <v>111</v>
      </c>
      <c r="T15" s="1893"/>
      <c r="U15" s="167" t="s">
        <v>64</v>
      </c>
      <c r="V15" s="1920">
        <v>9878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1883"/>
      <c r="R16" s="1883"/>
      <c r="S16" s="172">
        <v>6</v>
      </c>
      <c r="T16" s="1912" t="s">
        <v>55</v>
      </c>
      <c r="U16" s="1912"/>
      <c r="V16" s="1925">
        <f>Y12</f>
        <v>295400.6925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883"/>
      <c r="R17" s="1883"/>
      <c r="S17" s="169"/>
      <c r="T17" s="1931" t="s">
        <v>209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197393</v>
      </c>
      <c r="C18" s="1919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1920">
        <v>6</v>
      </c>
      <c r="R18" s="1920"/>
      <c r="S18" s="167"/>
      <c r="T18" s="1912" t="s">
        <v>57</v>
      </c>
      <c r="U18" s="1912"/>
      <c r="V18" s="1920">
        <f>450</f>
        <v>450</v>
      </c>
      <c r="W18" s="1920"/>
      <c r="X18" s="1920"/>
      <c r="Y18" s="1927" t="s">
        <v>208</v>
      </c>
    </row>
    <row r="19" spans="1:25" ht="25.5" customHeight="1" x14ac:dyDescent="0.25">
      <c r="A19" s="100" t="s">
        <v>41</v>
      </c>
      <c r="B19" s="1918">
        <f>B15+B16+B17-B18</f>
        <v>149483</v>
      </c>
      <c r="C19" s="1919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918">
        <f t="shared" ref="Q19" si="14">Q15+Q16+Q17-Q18</f>
        <v>0</v>
      </c>
      <c r="R19" s="1919"/>
      <c r="S19" s="167">
        <f>S15+S16-S17-S18</f>
        <v>117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11" t="s">
        <v>187</v>
      </c>
      <c r="B20" s="1936">
        <f>B19*0.9625</f>
        <v>143877.38750000001</v>
      </c>
      <c r="C20" s="1937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936">
        <f>241*Q19</f>
        <v>0</v>
      </c>
      <c r="R20" s="1937"/>
      <c r="S20" s="169">
        <f>241*S19</f>
        <v>28197</v>
      </c>
      <c r="T20" s="1915"/>
      <c r="U20" s="49" t="s">
        <v>59</v>
      </c>
      <c r="V20" s="1920">
        <v>7471</v>
      </c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849814.08749999991</v>
      </c>
      <c r="C21" s="1941"/>
      <c r="O21" s="176"/>
      <c r="P21" s="176"/>
      <c r="Q21" s="176"/>
      <c r="R21" s="176"/>
      <c r="T21" s="1931" t="s">
        <v>167</v>
      </c>
      <c r="U21" s="1932"/>
      <c r="V21" s="1918">
        <v>100000</v>
      </c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400000</v>
      </c>
      <c r="D22" s="1923"/>
      <c r="E22" s="1923">
        <v>551046</v>
      </c>
      <c r="F22" s="1923">
        <f>C22-D22+E22</f>
        <v>951046</v>
      </c>
      <c r="G22" s="176"/>
      <c r="Q22" s="176"/>
      <c r="R22" s="176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176"/>
      <c r="B23" s="1934"/>
      <c r="C23" s="1924"/>
      <c r="D23" s="1924"/>
      <c r="E23" s="1924"/>
      <c r="F23" s="1924"/>
      <c r="G23" s="176"/>
      <c r="Q23" s="176"/>
      <c r="R23" s="176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176"/>
      <c r="B24" s="1935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893" t="s">
        <v>47</v>
      </c>
      <c r="U24" s="51" t="s">
        <v>62</v>
      </c>
      <c r="V24" s="1921">
        <f>V14+V16+V17-V18-V19-V20-V22+V23-V21</f>
        <v>200511.6925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9878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76"/>
      <c r="J33" s="176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900" t="s">
        <v>210</v>
      </c>
      <c r="U3" s="1900"/>
      <c r="V3" s="1900"/>
      <c r="W3" s="1900"/>
      <c r="X3" s="1900"/>
      <c r="Y3" s="1900"/>
    </row>
    <row r="4" spans="1:25" s="16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66" customFormat="1" ht="25.5" customHeight="1" x14ac:dyDescent="0.25">
      <c r="A5" s="1901"/>
      <c r="B5" s="1901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930" t="s">
        <v>212</v>
      </c>
      <c r="R14" s="1930"/>
      <c r="S14" s="175" t="s">
        <v>171</v>
      </c>
      <c r="T14" s="1893" t="s">
        <v>46</v>
      </c>
      <c r="U14" s="167" t="s">
        <v>176</v>
      </c>
      <c r="V14" s="1918">
        <v>200512</v>
      </c>
      <c r="W14" s="1926"/>
      <c r="X14" s="1919"/>
    </row>
    <row r="15" spans="1:25" ht="22.5" customHeight="1" x14ac:dyDescent="0.25">
      <c r="A15" s="100" t="s">
        <v>38</v>
      </c>
      <c r="B15" s="1918">
        <v>149483</v>
      </c>
      <c r="C15" s="1919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1920">
        <v>178</v>
      </c>
      <c r="R15" s="1920"/>
      <c r="S15" s="167">
        <v>117</v>
      </c>
      <c r="T15" s="1893"/>
      <c r="U15" s="167" t="s">
        <v>64</v>
      </c>
      <c r="V15" s="1920">
        <v>9878</v>
      </c>
      <c r="W15" s="1920"/>
      <c r="X15" s="1920"/>
    </row>
    <row r="16" spans="1:25" ht="24.75" customHeight="1" x14ac:dyDescent="0.25">
      <c r="A16" s="100" t="s">
        <v>39</v>
      </c>
      <c r="B16" s="1918">
        <v>291948</v>
      </c>
      <c r="C16" s="1919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1883"/>
      <c r="R16" s="1883"/>
      <c r="S16" s="172"/>
      <c r="T16" s="1912" t="s">
        <v>55</v>
      </c>
      <c r="U16" s="1912"/>
      <c r="V16" s="1925">
        <f>Y12</f>
        <v>209494.82500000001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883"/>
      <c r="R17" s="1883"/>
      <c r="S17" s="169"/>
      <c r="T17" s="1931" t="s">
        <v>211</v>
      </c>
      <c r="U17" s="1932"/>
      <c r="V17" s="1920">
        <v>100000</v>
      </c>
      <c r="W17" s="1920"/>
      <c r="X17" s="1920"/>
    </row>
    <row r="18" spans="1:25" ht="27" customHeight="1" x14ac:dyDescent="0.25">
      <c r="A18" s="100" t="s">
        <v>40</v>
      </c>
      <c r="B18" s="1922">
        <f>C12</f>
        <v>157970</v>
      </c>
      <c r="C18" s="1919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920"/>
      <c r="R18" s="1920"/>
      <c r="S18" s="167"/>
      <c r="T18" s="1912" t="s">
        <v>57</v>
      </c>
      <c r="U18" s="1912"/>
      <c r="V18" s="1920">
        <v>450</v>
      </c>
      <c r="W18" s="1920"/>
      <c r="X18" s="1920"/>
      <c r="Y18" s="1927" t="s">
        <v>208</v>
      </c>
    </row>
    <row r="19" spans="1:25" ht="25.5" customHeight="1" x14ac:dyDescent="0.25">
      <c r="A19" s="100" t="s">
        <v>41</v>
      </c>
      <c r="B19" s="1918">
        <f>B15+B16+B17-B18</f>
        <v>283461</v>
      </c>
      <c r="C19" s="1919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918">
        <f t="shared" ref="Q19" si="14">Q15+Q16+Q17-Q18</f>
        <v>178</v>
      </c>
      <c r="R19" s="1919"/>
      <c r="S19" s="167">
        <f>S15+S16-S17-S18</f>
        <v>117</v>
      </c>
      <c r="T19" s="1914" t="s">
        <v>48</v>
      </c>
      <c r="U19" s="49" t="s">
        <v>58</v>
      </c>
      <c r="V19" s="1920">
        <v>281000</v>
      </c>
      <c r="W19" s="1920"/>
      <c r="X19" s="1920"/>
      <c r="Y19" s="1927"/>
    </row>
    <row r="20" spans="1:25" ht="23.25" customHeight="1" x14ac:dyDescent="0.25">
      <c r="A20" s="11" t="s">
        <v>187</v>
      </c>
      <c r="B20" s="1936">
        <f>B19*0.9625</f>
        <v>272831.21250000002</v>
      </c>
      <c r="C20" s="1937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936">
        <f>241*Q19</f>
        <v>42898</v>
      </c>
      <c r="R20" s="1937"/>
      <c r="S20" s="169">
        <f>241*S19</f>
        <v>28197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923555.8125</v>
      </c>
      <c r="C21" s="1941"/>
      <c r="O21" s="176"/>
      <c r="P21" s="176"/>
      <c r="Q21" s="176"/>
      <c r="R21" s="176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951046</v>
      </c>
      <c r="D22" s="1923">
        <v>281000</v>
      </c>
      <c r="E22" s="1923">
        <v>281000</v>
      </c>
      <c r="F22" s="1923">
        <f>C22-D22+E22</f>
        <v>951046</v>
      </c>
      <c r="G22" s="176"/>
      <c r="Q22" s="176"/>
      <c r="R22" s="176"/>
      <c r="T22" s="1909" t="s">
        <v>83</v>
      </c>
      <c r="U22" s="50" t="s">
        <v>60</v>
      </c>
      <c r="V22" s="1920">
        <v>494360</v>
      </c>
      <c r="W22" s="1920"/>
      <c r="X22" s="1920"/>
      <c r="Y22" s="1927"/>
    </row>
    <row r="23" spans="1:25" ht="39.75" customHeight="1" x14ac:dyDescent="0.25">
      <c r="A23" s="176"/>
      <c r="B23" s="1934"/>
      <c r="C23" s="1924"/>
      <c r="D23" s="1924"/>
      <c r="E23" s="1924"/>
      <c r="F23" s="1924"/>
      <c r="G23" s="176"/>
      <c r="Q23" s="176"/>
      <c r="R23" s="176"/>
      <c r="T23" s="1910"/>
      <c r="U23" s="50" t="s">
        <v>61</v>
      </c>
      <c r="V23" s="1920">
        <v>281000</v>
      </c>
      <c r="W23" s="1920"/>
      <c r="X23" s="1920"/>
      <c r="Y23" s="1927"/>
    </row>
    <row r="24" spans="1:25" ht="48" customHeight="1" x14ac:dyDescent="0.25">
      <c r="A24" s="176"/>
      <c r="B24" s="1935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893" t="s">
        <v>47</v>
      </c>
      <c r="U24" s="51" t="s">
        <v>62</v>
      </c>
      <c r="V24" s="1921">
        <f>V14+V16+V17-V18-V19-V20-V22+V23-V21</f>
        <v>15196.825000000012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223238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76"/>
      <c r="J33" s="176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900" t="s">
        <v>213</v>
      </c>
      <c r="U3" s="1900"/>
      <c r="V3" s="1900"/>
      <c r="W3" s="1900"/>
      <c r="X3" s="1900"/>
      <c r="Y3" s="1900"/>
    </row>
    <row r="4" spans="1:25" s="16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66" customFormat="1" ht="25.5" customHeight="1" x14ac:dyDescent="0.25">
      <c r="A5" s="1901"/>
      <c r="B5" s="1901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930" t="s">
        <v>215</v>
      </c>
      <c r="R14" s="1930"/>
      <c r="S14" s="175" t="s">
        <v>171</v>
      </c>
      <c r="T14" s="1893" t="s">
        <v>46</v>
      </c>
      <c r="U14" s="167" t="s">
        <v>176</v>
      </c>
      <c r="V14" s="1918">
        <v>15197</v>
      </c>
      <c r="W14" s="1926"/>
      <c r="X14" s="1919"/>
    </row>
    <row r="15" spans="1:25" ht="22.5" customHeight="1" x14ac:dyDescent="0.25">
      <c r="A15" s="100" t="s">
        <v>38</v>
      </c>
      <c r="B15" s="1918">
        <v>283461</v>
      </c>
      <c r="C15" s="1919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1920">
        <v>178</v>
      </c>
      <c r="R15" s="1920"/>
      <c r="S15" s="167">
        <v>117</v>
      </c>
      <c r="T15" s="1893"/>
      <c r="U15" s="167" t="s">
        <v>64</v>
      </c>
      <c r="V15" s="1920">
        <v>223238</v>
      </c>
      <c r="W15" s="1920"/>
      <c r="X15" s="1920"/>
    </row>
    <row r="16" spans="1:25" ht="24.75" customHeight="1" x14ac:dyDescent="0.25">
      <c r="A16" s="100" t="s">
        <v>39</v>
      </c>
      <c r="B16" s="1918">
        <v>150649</v>
      </c>
      <c r="C16" s="1919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1883"/>
      <c r="R16" s="1883"/>
      <c r="S16" s="172"/>
      <c r="T16" s="1912" t="s">
        <v>55</v>
      </c>
      <c r="U16" s="1912"/>
      <c r="V16" s="1925">
        <f>Y12</f>
        <v>236349.49250000002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883"/>
      <c r="R17" s="1883"/>
      <c r="S17" s="169"/>
      <c r="T17" s="1931" t="s">
        <v>211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202273</v>
      </c>
      <c r="C18" s="1919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920"/>
      <c r="R18" s="1920"/>
      <c r="S18" s="167"/>
      <c r="T18" s="1912" t="s">
        <v>57</v>
      </c>
      <c r="U18" s="1912"/>
      <c r="V18" s="1920">
        <f>500+180+23500</f>
        <v>24180</v>
      </c>
      <c r="W18" s="1920"/>
      <c r="X18" s="1920"/>
      <c r="Y18" s="1927" t="s">
        <v>214</v>
      </c>
    </row>
    <row r="19" spans="1:25" ht="25.5" customHeight="1" x14ac:dyDescent="0.25">
      <c r="A19" s="100" t="s">
        <v>41</v>
      </c>
      <c r="B19" s="1918">
        <f>B15+B16+B17-B18</f>
        <v>231837</v>
      </c>
      <c r="C19" s="1919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918">
        <f t="shared" ref="Q19" si="14">Q15+Q16+Q17-Q18</f>
        <v>178</v>
      </c>
      <c r="R19" s="1919"/>
      <c r="S19" s="167">
        <f>S15+S16-S17-S18</f>
        <v>117</v>
      </c>
      <c r="T19" s="1914" t="s">
        <v>48</v>
      </c>
      <c r="U19" s="49" t="s">
        <v>58</v>
      </c>
      <c r="V19" s="1920">
        <v>400000</v>
      </c>
      <c r="W19" s="1920"/>
      <c r="X19" s="1920"/>
      <c r="Y19" s="1927"/>
    </row>
    <row r="20" spans="1:25" ht="23.25" customHeight="1" x14ac:dyDescent="0.25">
      <c r="A20" s="11" t="s">
        <v>187</v>
      </c>
      <c r="B20" s="1936">
        <f>B19*0.9625</f>
        <v>223143.11250000002</v>
      </c>
      <c r="C20" s="1937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936">
        <f>241*Q19</f>
        <v>42898</v>
      </c>
      <c r="R20" s="1937"/>
      <c r="S20" s="169">
        <f>241*S19</f>
        <v>28197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931056.91249999998</v>
      </c>
      <c r="C21" s="1941"/>
      <c r="O21" s="176"/>
      <c r="P21" s="176"/>
      <c r="Q21" s="176"/>
      <c r="R21" s="176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951046</v>
      </c>
      <c r="D22" s="1923">
        <v>400000</v>
      </c>
      <c r="E22" s="1923">
        <v>241400</v>
      </c>
      <c r="F22" s="1923">
        <f>C22-D22+E22</f>
        <v>792446</v>
      </c>
      <c r="G22" s="176"/>
      <c r="Q22" s="176"/>
      <c r="R22" s="176"/>
      <c r="T22" s="1909" t="s">
        <v>83</v>
      </c>
      <c r="U22" s="50" t="s">
        <v>60</v>
      </c>
      <c r="V22" s="1920">
        <v>226060</v>
      </c>
      <c r="W22" s="1920"/>
      <c r="X22" s="1920"/>
      <c r="Y22" s="1927"/>
    </row>
    <row r="23" spans="1:25" ht="39.75" customHeight="1" x14ac:dyDescent="0.25">
      <c r="A23" s="176"/>
      <c r="B23" s="1934"/>
      <c r="C23" s="1924"/>
      <c r="D23" s="1924"/>
      <c r="E23" s="1924"/>
      <c r="F23" s="1924"/>
      <c r="G23" s="176"/>
      <c r="Q23" s="176"/>
      <c r="R23" s="176"/>
      <c r="T23" s="1910"/>
      <c r="U23" s="50" t="s">
        <v>61</v>
      </c>
      <c r="V23" s="1920">
        <v>400000</v>
      </c>
      <c r="W23" s="1920"/>
      <c r="X23" s="1920"/>
      <c r="Y23" s="1927"/>
    </row>
    <row r="24" spans="1:25" ht="48" customHeight="1" x14ac:dyDescent="0.25">
      <c r="A24" s="176"/>
      <c r="B24" s="1935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893" t="s">
        <v>47</v>
      </c>
      <c r="U24" s="51" t="s">
        <v>62</v>
      </c>
      <c r="V24" s="1921">
        <f>V14+V16+V17-V18-V19-V20-V22+V23-V21</f>
        <v>1306.4925000000512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49298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76"/>
      <c r="J33" s="176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900" t="s">
        <v>216</v>
      </c>
      <c r="U3" s="1900"/>
      <c r="V3" s="1900"/>
      <c r="W3" s="1900"/>
      <c r="X3" s="1900"/>
      <c r="Y3" s="1900"/>
    </row>
    <row r="4" spans="1:25" s="16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66" customFormat="1" ht="25.5" customHeight="1" x14ac:dyDescent="0.25">
      <c r="A5" s="1901"/>
      <c r="B5" s="1901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930" t="s">
        <v>215</v>
      </c>
      <c r="R14" s="1930"/>
      <c r="S14" s="175" t="s">
        <v>171</v>
      </c>
      <c r="T14" s="1893" t="s">
        <v>46</v>
      </c>
      <c r="U14" s="167" t="s">
        <v>176</v>
      </c>
      <c r="V14" s="1918">
        <v>1306</v>
      </c>
      <c r="W14" s="1926"/>
      <c r="X14" s="1919"/>
    </row>
    <row r="15" spans="1:25" ht="22.5" customHeight="1" x14ac:dyDescent="0.25">
      <c r="A15" s="100" t="s">
        <v>38</v>
      </c>
      <c r="B15" s="1918">
        <v>231837</v>
      </c>
      <c r="C15" s="1919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1920">
        <v>178</v>
      </c>
      <c r="R15" s="1920"/>
      <c r="S15" s="167">
        <v>117</v>
      </c>
      <c r="T15" s="1893"/>
      <c r="U15" s="167" t="s">
        <v>64</v>
      </c>
      <c r="V15" s="1920">
        <v>49298</v>
      </c>
      <c r="W15" s="1920"/>
      <c r="X15" s="1920"/>
    </row>
    <row r="16" spans="1:25" ht="24.75" customHeight="1" x14ac:dyDescent="0.25">
      <c r="A16" s="100" t="s">
        <v>39</v>
      </c>
      <c r="B16" s="1918">
        <v>135064</v>
      </c>
      <c r="C16" s="1919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1883"/>
      <c r="R16" s="1883"/>
      <c r="S16" s="172"/>
      <c r="T16" s="1912" t="s">
        <v>55</v>
      </c>
      <c r="U16" s="1912"/>
      <c r="V16" s="1925">
        <f>Y12</f>
        <v>156524.44750000001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883"/>
      <c r="R17" s="1883"/>
      <c r="S17" s="169"/>
      <c r="T17" s="1931" t="s">
        <v>211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131911</v>
      </c>
      <c r="C18" s="1919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920"/>
      <c r="R18" s="1920"/>
      <c r="S18" s="167"/>
      <c r="T18" s="1912" t="s">
        <v>57</v>
      </c>
      <c r="U18" s="1912"/>
      <c r="V18" s="1920">
        <v>450</v>
      </c>
      <c r="W18" s="1920"/>
      <c r="X18" s="1920"/>
      <c r="Y18" s="1927" t="s">
        <v>217</v>
      </c>
    </row>
    <row r="19" spans="1:25" ht="25.5" customHeight="1" x14ac:dyDescent="0.25">
      <c r="A19" s="100" t="s">
        <v>41</v>
      </c>
      <c r="B19" s="1918">
        <f>B15+B16+B17-B18</f>
        <v>234990</v>
      </c>
      <c r="C19" s="1919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918">
        <f t="shared" ref="Q19" si="14">Q15+Q16+Q17-Q18</f>
        <v>178</v>
      </c>
      <c r="R19" s="1919"/>
      <c r="S19" s="167">
        <f>S15+S16-S17-S18</f>
        <v>117</v>
      </c>
      <c r="T19" s="1914" t="s">
        <v>48</v>
      </c>
      <c r="U19" s="49" t="s">
        <v>58</v>
      </c>
      <c r="V19" s="1920">
        <v>130000</v>
      </c>
      <c r="W19" s="1920"/>
      <c r="X19" s="1920"/>
      <c r="Y19" s="1927"/>
    </row>
    <row r="20" spans="1:25" ht="23.25" customHeight="1" x14ac:dyDescent="0.25">
      <c r="A20" s="11" t="s">
        <v>187</v>
      </c>
      <c r="B20" s="1936">
        <f>B19*0.9625</f>
        <v>226177.875</v>
      </c>
      <c r="C20" s="1937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936">
        <f>241*Q19</f>
        <v>42898</v>
      </c>
      <c r="R20" s="1937"/>
      <c r="S20" s="169">
        <f>241*S19</f>
        <v>28197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906136.57499999995</v>
      </c>
      <c r="C21" s="1941"/>
      <c r="O21" s="176"/>
      <c r="P21" s="176"/>
      <c r="Q21" s="176"/>
      <c r="R21" s="176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792446</v>
      </c>
      <c r="D22" s="1923">
        <v>130000</v>
      </c>
      <c r="E22" s="1923">
        <v>130000</v>
      </c>
      <c r="F22" s="1923">
        <f>C22-D22+E22</f>
        <v>792446</v>
      </c>
      <c r="G22" s="176"/>
      <c r="Q22" s="176"/>
      <c r="R22" s="176"/>
      <c r="T22" s="1909" t="s">
        <v>83</v>
      </c>
      <c r="U22" s="50" t="s">
        <v>60</v>
      </c>
      <c r="V22" s="1920">
        <v>152930</v>
      </c>
      <c r="W22" s="1920"/>
      <c r="X22" s="1920"/>
      <c r="Y22" s="1927"/>
    </row>
    <row r="23" spans="1:25" ht="39.75" customHeight="1" x14ac:dyDescent="0.25">
      <c r="A23" s="176"/>
      <c r="B23" s="1934"/>
      <c r="C23" s="1924"/>
      <c r="D23" s="1924"/>
      <c r="E23" s="1924"/>
      <c r="F23" s="1924"/>
      <c r="G23" s="176"/>
      <c r="Q23" s="176"/>
      <c r="R23" s="176"/>
      <c r="T23" s="1910"/>
      <c r="U23" s="50" t="s">
        <v>61</v>
      </c>
      <c r="V23" s="1920">
        <v>130000</v>
      </c>
      <c r="W23" s="1920"/>
      <c r="X23" s="1920"/>
      <c r="Y23" s="1927"/>
    </row>
    <row r="24" spans="1:25" ht="48" customHeight="1" x14ac:dyDescent="0.25">
      <c r="A24" s="176"/>
      <c r="B24" s="1935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893" t="s">
        <v>47</v>
      </c>
      <c r="U24" s="51" t="s">
        <v>62</v>
      </c>
      <c r="V24" s="1921">
        <f>V14+V16+V17-V18-V19-V20-V22+V23-V21</f>
        <v>4450.4475000000093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72228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76"/>
      <c r="J33" s="176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900" t="s">
        <v>218</v>
      </c>
      <c r="U3" s="1900"/>
      <c r="V3" s="1900"/>
      <c r="W3" s="1900"/>
      <c r="X3" s="1900"/>
      <c r="Y3" s="1900"/>
    </row>
    <row r="4" spans="1:25" s="16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66" customFormat="1" ht="25.5" customHeight="1" x14ac:dyDescent="0.25">
      <c r="A5" s="1901"/>
      <c r="B5" s="1901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930" t="s">
        <v>215</v>
      </c>
      <c r="R14" s="1930"/>
      <c r="S14" s="175" t="s">
        <v>171</v>
      </c>
      <c r="T14" s="1893" t="s">
        <v>46</v>
      </c>
      <c r="U14" s="167" t="s">
        <v>176</v>
      </c>
      <c r="V14" s="1918">
        <v>4450</v>
      </c>
      <c r="W14" s="1926"/>
      <c r="X14" s="1919"/>
    </row>
    <row r="15" spans="1:25" ht="22.5" customHeight="1" x14ac:dyDescent="0.25">
      <c r="A15" s="100" t="s">
        <v>38</v>
      </c>
      <c r="B15" s="1918">
        <v>234990</v>
      </c>
      <c r="C15" s="1919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1920">
        <v>178</v>
      </c>
      <c r="R15" s="1920"/>
      <c r="S15" s="167">
        <v>117</v>
      </c>
      <c r="T15" s="1893"/>
      <c r="U15" s="167" t="s">
        <v>64</v>
      </c>
      <c r="V15" s="1920">
        <v>72228</v>
      </c>
      <c r="W15" s="1920"/>
      <c r="X15" s="1920"/>
    </row>
    <row r="16" spans="1:25" ht="24.75" customHeight="1" x14ac:dyDescent="0.25">
      <c r="A16" s="100" t="s">
        <v>39</v>
      </c>
      <c r="B16" s="1918">
        <v>187012</v>
      </c>
      <c r="C16" s="1919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1883"/>
      <c r="R16" s="1883"/>
      <c r="S16" s="172"/>
      <c r="T16" s="1912" t="s">
        <v>55</v>
      </c>
      <c r="U16" s="1912"/>
      <c r="V16" s="1925">
        <f>Y12</f>
        <v>186765.66500000001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883"/>
      <c r="R17" s="1883"/>
      <c r="S17" s="169"/>
      <c r="T17" s="1931" t="s">
        <v>211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155394</v>
      </c>
      <c r="C18" s="1919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920"/>
      <c r="R18" s="1920"/>
      <c r="S18" s="167"/>
      <c r="T18" s="1912" t="s">
        <v>57</v>
      </c>
      <c r="U18" s="1912"/>
      <c r="V18" s="1920">
        <v>500</v>
      </c>
      <c r="W18" s="1920"/>
      <c r="X18" s="1920"/>
      <c r="Y18" s="1927" t="s">
        <v>217</v>
      </c>
    </row>
    <row r="19" spans="1:25" ht="25.5" customHeight="1" x14ac:dyDescent="0.25">
      <c r="A19" s="100" t="s">
        <v>41</v>
      </c>
      <c r="B19" s="1918">
        <f>B15+B16+B17-B18</f>
        <v>266608</v>
      </c>
      <c r="C19" s="1919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918">
        <f t="shared" ref="Q19" si="14">Q15+Q16+Q17-Q18</f>
        <v>178</v>
      </c>
      <c r="R19" s="1919"/>
      <c r="S19" s="167">
        <f>S15+S16-S17-S18</f>
        <v>117</v>
      </c>
      <c r="T19" s="1914" t="s">
        <v>48</v>
      </c>
      <c r="U19" s="49" t="s">
        <v>58</v>
      </c>
      <c r="V19" s="1920">
        <v>180000</v>
      </c>
      <c r="W19" s="1920"/>
      <c r="X19" s="1920"/>
      <c r="Y19" s="1927"/>
    </row>
    <row r="20" spans="1:25" ht="23.25" customHeight="1" x14ac:dyDescent="0.25">
      <c r="A20" s="11" t="s">
        <v>187</v>
      </c>
      <c r="B20" s="1936">
        <f>B19*0.9625</f>
        <v>256610.2</v>
      </c>
      <c r="C20" s="1937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936">
        <f>241*Q19</f>
        <v>42898</v>
      </c>
      <c r="R20" s="1937"/>
      <c r="S20" s="169">
        <f>241*S19</f>
        <v>28197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901276.8</v>
      </c>
      <c r="C21" s="1941"/>
      <c r="O21" s="176"/>
      <c r="P21" s="176"/>
      <c r="Q21" s="176"/>
      <c r="R21" s="176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792446</v>
      </c>
      <c r="D22" s="1923">
        <v>180000</v>
      </c>
      <c r="E22" s="1923">
        <v>180000</v>
      </c>
      <c r="F22" s="1923">
        <f>C22-D22+E22</f>
        <v>792446</v>
      </c>
      <c r="G22" s="176"/>
      <c r="Q22" s="176"/>
      <c r="R22" s="176"/>
      <c r="T22" s="1909" t="s">
        <v>83</v>
      </c>
      <c r="U22" s="50" t="s">
        <v>60</v>
      </c>
      <c r="V22" s="1920">
        <v>181320</v>
      </c>
      <c r="W22" s="1920"/>
      <c r="X22" s="1920"/>
      <c r="Y22" s="1927"/>
    </row>
    <row r="23" spans="1:25" ht="39.75" customHeight="1" x14ac:dyDescent="0.25">
      <c r="A23" s="176"/>
      <c r="B23" s="1934"/>
      <c r="C23" s="1924"/>
      <c r="D23" s="1924"/>
      <c r="E23" s="1924"/>
      <c r="F23" s="1924"/>
      <c r="G23" s="176"/>
      <c r="Q23" s="176"/>
      <c r="R23" s="176"/>
      <c r="T23" s="1910"/>
      <c r="U23" s="50" t="s">
        <v>61</v>
      </c>
      <c r="V23" s="1920">
        <v>180000</v>
      </c>
      <c r="W23" s="1920"/>
      <c r="X23" s="1920"/>
      <c r="Y23" s="1927"/>
    </row>
    <row r="24" spans="1:25" ht="48" customHeight="1" x14ac:dyDescent="0.25">
      <c r="A24" s="176"/>
      <c r="B24" s="1935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893" t="s">
        <v>47</v>
      </c>
      <c r="U24" s="51" t="s">
        <v>62</v>
      </c>
      <c r="V24" s="1921">
        <f>V14+V16+V17-V18-V19-V20-V22+V23-V21</f>
        <v>9395.6650000000081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73548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76"/>
      <c r="J33" s="176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900" t="s">
        <v>219</v>
      </c>
      <c r="U3" s="1900"/>
      <c r="V3" s="1900"/>
      <c r="W3" s="1900"/>
      <c r="X3" s="1900"/>
      <c r="Y3" s="1900"/>
    </row>
    <row r="4" spans="1:25" s="18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82" customFormat="1" ht="25.5" customHeight="1" x14ac:dyDescent="0.25">
      <c r="A5" s="1901"/>
      <c r="B5" s="1901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930" t="s">
        <v>215</v>
      </c>
      <c r="R14" s="1930"/>
      <c r="S14" s="186" t="s">
        <v>171</v>
      </c>
      <c r="T14" s="1893" t="s">
        <v>46</v>
      </c>
      <c r="U14" s="180" t="s">
        <v>176</v>
      </c>
      <c r="V14" s="1918">
        <v>9396</v>
      </c>
      <c r="W14" s="1926"/>
      <c r="X14" s="1919"/>
    </row>
    <row r="15" spans="1:25" ht="22.5" customHeight="1" x14ac:dyDescent="0.25">
      <c r="A15" s="100" t="s">
        <v>38</v>
      </c>
      <c r="B15" s="1918">
        <v>266608</v>
      </c>
      <c r="C15" s="1919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1920">
        <v>178</v>
      </c>
      <c r="R15" s="1920"/>
      <c r="S15" s="180">
        <v>117</v>
      </c>
      <c r="T15" s="1893"/>
      <c r="U15" s="180" t="s">
        <v>64</v>
      </c>
      <c r="V15" s="1920">
        <v>73548</v>
      </c>
      <c r="W15" s="1920"/>
      <c r="X15" s="1920"/>
    </row>
    <row r="16" spans="1:25" ht="24.75" customHeight="1" x14ac:dyDescent="0.25">
      <c r="A16" s="100" t="s">
        <v>39</v>
      </c>
      <c r="B16" s="1918">
        <v>311688</v>
      </c>
      <c r="C16" s="1919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1883"/>
      <c r="R16" s="1883"/>
      <c r="S16" s="183"/>
      <c r="T16" s="1912" t="s">
        <v>55</v>
      </c>
      <c r="U16" s="1912"/>
      <c r="V16" s="1925">
        <f>Y12</f>
        <v>243162.86750000002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883"/>
      <c r="R17" s="1883"/>
      <c r="S17" s="179"/>
      <c r="T17" s="1931" t="s">
        <v>211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218623</v>
      </c>
      <c r="C18" s="1919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920"/>
      <c r="R18" s="1920"/>
      <c r="S18" s="180"/>
      <c r="T18" s="1912" t="s">
        <v>57</v>
      </c>
      <c r="U18" s="1912"/>
      <c r="V18" s="1920">
        <v>450</v>
      </c>
      <c r="W18" s="1920"/>
      <c r="X18" s="1920"/>
      <c r="Y18" s="1927" t="s">
        <v>217</v>
      </c>
    </row>
    <row r="19" spans="1:25" ht="25.5" customHeight="1" x14ac:dyDescent="0.25">
      <c r="A19" s="100" t="s">
        <v>41</v>
      </c>
      <c r="B19" s="1918">
        <f>B15+B16+B17-B18</f>
        <v>359673</v>
      </c>
      <c r="C19" s="1919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918">
        <f t="shared" ref="Q19" si="14">Q15+Q16+Q17-Q18</f>
        <v>178</v>
      </c>
      <c r="R19" s="1919"/>
      <c r="S19" s="180">
        <f>S15+S16-S17-S18</f>
        <v>117</v>
      </c>
      <c r="T19" s="1914" t="s">
        <v>48</v>
      </c>
      <c r="U19" s="49" t="s">
        <v>58</v>
      </c>
      <c r="V19" s="1920">
        <v>300000</v>
      </c>
      <c r="W19" s="1920"/>
      <c r="X19" s="1920"/>
      <c r="Y19" s="1927"/>
    </row>
    <row r="20" spans="1:25" ht="23.25" customHeight="1" x14ac:dyDescent="0.25">
      <c r="A20" s="11" t="s">
        <v>187</v>
      </c>
      <c r="B20" s="1936">
        <f>B19*0.9625</f>
        <v>346185.26250000001</v>
      </c>
      <c r="C20" s="1937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936">
        <f>241*Q19</f>
        <v>42898</v>
      </c>
      <c r="R20" s="1937"/>
      <c r="S20" s="179">
        <f>241*S19</f>
        <v>28197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960674.86250000005</v>
      </c>
      <c r="C21" s="1941"/>
      <c r="O21" s="187"/>
      <c r="P21" s="187"/>
      <c r="Q21" s="187"/>
      <c r="R21" s="187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792446</v>
      </c>
      <c r="D22" s="1923">
        <v>300000</v>
      </c>
      <c r="E22" s="1923">
        <v>300000</v>
      </c>
      <c r="F22" s="1923">
        <f>C22-D22+E22</f>
        <v>792446</v>
      </c>
      <c r="G22" s="187"/>
      <c r="Q22" s="187"/>
      <c r="R22" s="187"/>
      <c r="T22" s="1909" t="s">
        <v>83</v>
      </c>
      <c r="U22" s="50" t="s">
        <v>60</v>
      </c>
      <c r="V22" s="1920">
        <v>242760</v>
      </c>
      <c r="W22" s="1920"/>
      <c r="X22" s="1920"/>
      <c r="Y22" s="1927"/>
    </row>
    <row r="23" spans="1:25" ht="39.75" customHeight="1" x14ac:dyDescent="0.25">
      <c r="A23" s="187"/>
      <c r="B23" s="1934"/>
      <c r="C23" s="1924"/>
      <c r="D23" s="1924"/>
      <c r="E23" s="1924"/>
      <c r="F23" s="1924"/>
      <c r="G23" s="187"/>
      <c r="Q23" s="187"/>
      <c r="R23" s="187"/>
      <c r="T23" s="1910"/>
      <c r="U23" s="50" t="s">
        <v>61</v>
      </c>
      <c r="V23" s="1920">
        <v>300000</v>
      </c>
      <c r="W23" s="1920"/>
      <c r="X23" s="1920"/>
      <c r="Y23" s="1927"/>
    </row>
    <row r="24" spans="1:25" ht="48" customHeight="1" x14ac:dyDescent="0.25">
      <c r="A24" s="187"/>
      <c r="B24" s="1935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893" t="s">
        <v>47</v>
      </c>
      <c r="U24" s="51" t="s">
        <v>62</v>
      </c>
      <c r="V24" s="1921">
        <f>V14+V16+V17-V18-V19-V20-V22+V23-V21</f>
        <v>9348.8675000000512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16308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87"/>
      <c r="J33" s="187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900" t="s">
        <v>220</v>
      </c>
      <c r="U3" s="1900"/>
      <c r="V3" s="1900"/>
      <c r="W3" s="1900"/>
      <c r="X3" s="1900"/>
      <c r="Y3" s="1900"/>
    </row>
    <row r="4" spans="1:25" s="18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82" customFormat="1" ht="25.5" customHeight="1" x14ac:dyDescent="0.25">
      <c r="A5" s="1901"/>
      <c r="B5" s="1901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930" t="s">
        <v>215</v>
      </c>
      <c r="R14" s="1930"/>
      <c r="S14" s="186" t="s">
        <v>171</v>
      </c>
      <c r="T14" s="1893" t="s">
        <v>46</v>
      </c>
      <c r="U14" s="180" t="s">
        <v>176</v>
      </c>
      <c r="V14" s="1918">
        <v>9349</v>
      </c>
      <c r="W14" s="1926"/>
      <c r="X14" s="1919"/>
    </row>
    <row r="15" spans="1:25" ht="22.5" customHeight="1" x14ac:dyDescent="0.25">
      <c r="A15" s="100" t="s">
        <v>38</v>
      </c>
      <c r="B15" s="1918">
        <v>359673</v>
      </c>
      <c r="C15" s="1919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1920">
        <v>178</v>
      </c>
      <c r="R15" s="1920"/>
      <c r="S15" s="180">
        <v>117</v>
      </c>
      <c r="T15" s="1893"/>
      <c r="U15" s="180" t="s">
        <v>64</v>
      </c>
      <c r="V15" s="1920">
        <v>16308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1883"/>
      <c r="R16" s="1883"/>
      <c r="S16" s="183"/>
      <c r="T16" s="1912" t="s">
        <v>55</v>
      </c>
      <c r="U16" s="1912"/>
      <c r="V16" s="1925">
        <f>Y12</f>
        <v>151326.9725</v>
      </c>
      <c r="W16" s="1925"/>
      <c r="X16" s="1920"/>
    </row>
    <row r="17" spans="1:25" ht="28.5" customHeight="1" x14ac:dyDescent="0.25">
      <c r="A17" s="101" t="s">
        <v>44</v>
      </c>
      <c r="B17" s="1918">
        <v>40854</v>
      </c>
      <c r="C17" s="1919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883"/>
      <c r="R17" s="1883"/>
      <c r="S17" s="179"/>
      <c r="T17" s="1931" t="s">
        <v>211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109601</v>
      </c>
      <c r="C18" s="1919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920"/>
      <c r="R18" s="1920"/>
      <c r="S18" s="180"/>
      <c r="T18" s="1912" t="s">
        <v>57</v>
      </c>
      <c r="U18" s="1912"/>
      <c r="V18" s="1920">
        <v>500</v>
      </c>
      <c r="W18" s="1920"/>
      <c r="X18" s="1920"/>
      <c r="Y18" s="1927" t="s">
        <v>217</v>
      </c>
    </row>
    <row r="19" spans="1:25" ht="25.5" customHeight="1" x14ac:dyDescent="0.25">
      <c r="A19" s="100" t="s">
        <v>41</v>
      </c>
      <c r="B19" s="1918">
        <f>B15+B16+B17-B18</f>
        <v>290926</v>
      </c>
      <c r="C19" s="1919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918">
        <f t="shared" ref="Q19" si="14">Q15+Q16+Q17-Q18</f>
        <v>178</v>
      </c>
      <c r="R19" s="1919"/>
      <c r="S19" s="180">
        <f>S15+S16-S17-S18</f>
        <v>117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11" t="s">
        <v>187</v>
      </c>
      <c r="B20" s="1936">
        <f>B19*0.9625</f>
        <v>280016.27500000002</v>
      </c>
      <c r="C20" s="1937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936">
        <f>241*Q19</f>
        <v>42898</v>
      </c>
      <c r="R20" s="1937"/>
      <c r="S20" s="179">
        <f>241*S19</f>
        <v>28197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850299.875</v>
      </c>
      <c r="C21" s="1941"/>
      <c r="O21" s="187"/>
      <c r="P21" s="187"/>
      <c r="Q21" s="187"/>
      <c r="R21" s="187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792446</v>
      </c>
      <c r="D22" s="1923"/>
      <c r="E22" s="1923"/>
      <c r="F22" s="1923">
        <f>C22-D22+E22</f>
        <v>792446</v>
      </c>
      <c r="G22" s="187"/>
      <c r="Q22" s="187"/>
      <c r="R22" s="187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187"/>
      <c r="B23" s="1934"/>
      <c r="C23" s="1924"/>
      <c r="D23" s="1924"/>
      <c r="E23" s="1924"/>
      <c r="F23" s="1924"/>
      <c r="G23" s="187"/>
      <c r="Q23" s="187"/>
      <c r="R23" s="187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187"/>
      <c r="B24" s="1935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893" t="s">
        <v>47</v>
      </c>
      <c r="U24" s="51" t="s">
        <v>62</v>
      </c>
      <c r="V24" s="1921">
        <f>V14+V16+V17-V18-V19-V20-V22+V23-V21</f>
        <v>160175.9725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16308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87"/>
      <c r="J33" s="187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900" t="s">
        <v>221</v>
      </c>
      <c r="U3" s="1900"/>
      <c r="V3" s="1900"/>
      <c r="W3" s="1900"/>
      <c r="X3" s="1900"/>
      <c r="Y3" s="1900"/>
    </row>
    <row r="4" spans="1:25" s="18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88" customFormat="1" ht="25.5" customHeight="1" x14ac:dyDescent="0.25">
      <c r="A5" s="1901"/>
      <c r="B5" s="1901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930" t="s">
        <v>215</v>
      </c>
      <c r="R14" s="1930"/>
      <c r="S14" s="197" t="s">
        <v>171</v>
      </c>
      <c r="T14" s="1893" t="s">
        <v>46</v>
      </c>
      <c r="U14" s="189" t="s">
        <v>176</v>
      </c>
      <c r="V14" s="1918">
        <v>160176</v>
      </c>
      <c r="W14" s="1926"/>
      <c r="X14" s="1919"/>
    </row>
    <row r="15" spans="1:25" ht="22.5" customHeight="1" x14ac:dyDescent="0.25">
      <c r="A15" s="100" t="s">
        <v>38</v>
      </c>
      <c r="B15" s="1918">
        <v>290926</v>
      </c>
      <c r="C15" s="1919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920">
        <v>178</v>
      </c>
      <c r="R15" s="1920"/>
      <c r="S15" s="189">
        <v>117</v>
      </c>
      <c r="T15" s="1893"/>
      <c r="U15" s="189" t="s">
        <v>64</v>
      </c>
      <c r="V15" s="1920">
        <v>16308</v>
      </c>
      <c r="W15" s="1920"/>
      <c r="X15" s="1920"/>
    </row>
    <row r="16" spans="1:25" ht="24.75" customHeight="1" x14ac:dyDescent="0.25">
      <c r="A16" s="100" t="s">
        <v>39</v>
      </c>
      <c r="B16" s="1918">
        <v>51948</v>
      </c>
      <c r="C16" s="1919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883"/>
      <c r="R16" s="1883"/>
      <c r="S16" s="194"/>
      <c r="T16" s="1912" t="s">
        <v>55</v>
      </c>
      <c r="U16" s="1912"/>
      <c r="V16" s="1925">
        <f>Y12</f>
        <v>151310.72249999997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883"/>
      <c r="R17" s="1883"/>
      <c r="S17" s="191"/>
      <c r="T17" s="1931" t="s">
        <v>211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101101</v>
      </c>
      <c r="C18" s="1919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920">
        <v>92</v>
      </c>
      <c r="R18" s="1920"/>
      <c r="S18" s="189"/>
      <c r="T18" s="1912" t="s">
        <v>57</v>
      </c>
      <c r="U18" s="1912"/>
      <c r="V18" s="1920">
        <f>450+130+39322</f>
        <v>39902</v>
      </c>
      <c r="W18" s="1920"/>
      <c r="X18" s="1920"/>
      <c r="Y18" s="1927" t="s">
        <v>222</v>
      </c>
    </row>
    <row r="19" spans="1:25" ht="25.5" customHeight="1" x14ac:dyDescent="0.25">
      <c r="A19" s="100" t="s">
        <v>41</v>
      </c>
      <c r="B19" s="1918">
        <f>B15+B16+B17-B18</f>
        <v>241773</v>
      </c>
      <c r="C19" s="1919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918">
        <f t="shared" ref="Q19" si="14">Q15+Q16+Q17-Q18</f>
        <v>86</v>
      </c>
      <c r="R19" s="1919"/>
      <c r="S19" s="189">
        <f>S15+S16-S17-S18</f>
        <v>117</v>
      </c>
      <c r="T19" s="1914" t="s">
        <v>48</v>
      </c>
      <c r="U19" s="49" t="s">
        <v>58</v>
      </c>
      <c r="V19" s="1920">
        <v>50000</v>
      </c>
      <c r="W19" s="1920"/>
      <c r="X19" s="1920"/>
      <c r="Y19" s="1927"/>
    </row>
    <row r="20" spans="1:25" ht="23.25" customHeight="1" x14ac:dyDescent="0.25">
      <c r="A20" s="11" t="s">
        <v>187</v>
      </c>
      <c r="B20" s="1936">
        <f>B19*0.9625</f>
        <v>232706.51250000001</v>
      </c>
      <c r="C20" s="1937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936">
        <f>241*Q19</f>
        <v>20726</v>
      </c>
      <c r="R20" s="1937"/>
      <c r="S20" s="191">
        <f>241*S19</f>
        <v>28197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750148.3125</v>
      </c>
      <c r="C21" s="1941"/>
      <c r="O21" s="198"/>
      <c r="P21" s="198"/>
      <c r="Q21" s="198"/>
      <c r="R21" s="198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792446</v>
      </c>
      <c r="D22" s="1923">
        <v>50000</v>
      </c>
      <c r="E22" s="1923">
        <v>50000</v>
      </c>
      <c r="F22" s="1923">
        <f>C22-D22+E22</f>
        <v>792446</v>
      </c>
      <c r="G22" s="198"/>
      <c r="Q22" s="198"/>
      <c r="R22" s="198"/>
      <c r="T22" s="1909" t="s">
        <v>83</v>
      </c>
      <c r="U22" s="50" t="s">
        <v>60</v>
      </c>
      <c r="V22" s="1920">
        <v>261780</v>
      </c>
      <c r="W22" s="1920"/>
      <c r="X22" s="1920"/>
      <c r="Y22" s="1927"/>
    </row>
    <row r="23" spans="1:25" ht="39.75" customHeight="1" x14ac:dyDescent="0.25">
      <c r="A23" s="198"/>
      <c r="B23" s="1934"/>
      <c r="C23" s="1924"/>
      <c r="D23" s="1924"/>
      <c r="E23" s="1924"/>
      <c r="F23" s="1924"/>
      <c r="G23" s="198"/>
      <c r="Q23" s="198"/>
      <c r="R23" s="198"/>
      <c r="T23" s="1910"/>
      <c r="U23" s="50" t="s">
        <v>61</v>
      </c>
      <c r="V23" s="1920">
        <v>50000</v>
      </c>
      <c r="W23" s="1920"/>
      <c r="X23" s="1920"/>
      <c r="Y23" s="1927"/>
    </row>
    <row r="24" spans="1:25" ht="48" customHeight="1" x14ac:dyDescent="0.25">
      <c r="A24" s="198"/>
      <c r="B24" s="1935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893" t="s">
        <v>47</v>
      </c>
      <c r="U24" s="51" t="s">
        <v>62</v>
      </c>
      <c r="V24" s="1921">
        <f>V14+V16+V17-V18-V19-V20-V22+V23-V21</f>
        <v>9804.7224999999744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228088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98"/>
      <c r="J33" s="198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900" t="s">
        <v>223</v>
      </c>
      <c r="U3" s="1900"/>
      <c r="V3" s="1900"/>
      <c r="W3" s="1900"/>
      <c r="X3" s="1900"/>
      <c r="Y3" s="1900"/>
    </row>
    <row r="4" spans="1:25" s="18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88" customFormat="1" ht="25.5" customHeight="1" x14ac:dyDescent="0.25">
      <c r="A5" s="1901"/>
      <c r="B5" s="1901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930" t="s">
        <v>215</v>
      </c>
      <c r="R14" s="1930"/>
      <c r="S14" s="197" t="s">
        <v>171</v>
      </c>
      <c r="T14" s="1893" t="s">
        <v>46</v>
      </c>
      <c r="U14" s="189" t="s">
        <v>176</v>
      </c>
      <c r="V14" s="1918">
        <v>9805</v>
      </c>
      <c r="W14" s="1926"/>
      <c r="X14" s="1919"/>
    </row>
    <row r="15" spans="1:25" ht="22.5" customHeight="1" x14ac:dyDescent="0.25">
      <c r="A15" s="100" t="s">
        <v>38</v>
      </c>
      <c r="B15" s="1918">
        <v>241773</v>
      </c>
      <c r="C15" s="1919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920">
        <v>86</v>
      </c>
      <c r="R15" s="1920"/>
      <c r="S15" s="189">
        <v>117</v>
      </c>
      <c r="T15" s="1893"/>
      <c r="U15" s="189" t="s">
        <v>64</v>
      </c>
      <c r="V15" s="1920">
        <v>228088</v>
      </c>
      <c r="W15" s="1920"/>
      <c r="X15" s="1920"/>
    </row>
    <row r="16" spans="1:25" ht="24.75" customHeight="1" x14ac:dyDescent="0.25">
      <c r="A16" s="100" t="s">
        <v>39</v>
      </c>
      <c r="B16" s="1918">
        <v>114285</v>
      </c>
      <c r="C16" s="1919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1883"/>
      <c r="R16" s="1883"/>
      <c r="S16" s="194"/>
      <c r="T16" s="1912" t="s">
        <v>55</v>
      </c>
      <c r="U16" s="1912"/>
      <c r="V16" s="1925">
        <f>Y12</f>
        <v>172428.82750000001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883"/>
      <c r="R17" s="1883"/>
      <c r="S17" s="191"/>
      <c r="T17" s="1931" t="s">
        <v>211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123279</v>
      </c>
      <c r="C18" s="1919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920"/>
      <c r="R18" s="1920"/>
      <c r="S18" s="189"/>
      <c r="T18" s="1912" t="s">
        <v>57</v>
      </c>
      <c r="U18" s="1912"/>
      <c r="V18" s="1920">
        <f>500+700+440</f>
        <v>1640</v>
      </c>
      <c r="W18" s="1920"/>
      <c r="X18" s="1920"/>
      <c r="Y18" s="1927" t="s">
        <v>224</v>
      </c>
    </row>
    <row r="19" spans="1:25" ht="25.5" customHeight="1" x14ac:dyDescent="0.25">
      <c r="A19" s="100" t="s">
        <v>41</v>
      </c>
      <c r="B19" s="1918">
        <f>B15+B16+B17-B18</f>
        <v>232779</v>
      </c>
      <c r="C19" s="1919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918">
        <f t="shared" ref="Q19" si="14">Q15+Q16+Q17-Q18</f>
        <v>86</v>
      </c>
      <c r="R19" s="1919"/>
      <c r="S19" s="189">
        <f>S15+S16-S17-S18</f>
        <v>117</v>
      </c>
      <c r="T19" s="1914" t="s">
        <v>48</v>
      </c>
      <c r="U19" s="49" t="s">
        <v>58</v>
      </c>
      <c r="V19" s="1920">
        <v>110000</v>
      </c>
      <c r="W19" s="1920"/>
      <c r="X19" s="1920"/>
      <c r="Y19" s="1927"/>
    </row>
    <row r="20" spans="1:25" ht="23.25" customHeight="1" x14ac:dyDescent="0.25">
      <c r="A20" s="11" t="s">
        <v>187</v>
      </c>
      <c r="B20" s="1936">
        <f>B19*0.9625</f>
        <v>224049.78750000001</v>
      </c>
      <c r="C20" s="1937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936">
        <f>241*Q19</f>
        <v>20726</v>
      </c>
      <c r="R20" s="1937"/>
      <c r="S20" s="191">
        <f>241*S19</f>
        <v>28197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689491.1875</v>
      </c>
      <c r="C21" s="1941"/>
      <c r="O21" s="198"/>
      <c r="P21" s="198"/>
      <c r="Q21" s="198"/>
      <c r="R21" s="198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792446</v>
      </c>
      <c r="D22" s="1923">
        <v>110000</v>
      </c>
      <c r="E22" s="1923">
        <v>110000</v>
      </c>
      <c r="F22" s="1923">
        <f>C22-D22+E22</f>
        <v>792446</v>
      </c>
      <c r="G22" s="198"/>
      <c r="Q22" s="198"/>
      <c r="R22" s="198"/>
      <c r="T22" s="1909" t="s">
        <v>83</v>
      </c>
      <c r="U22" s="50" t="s">
        <v>60</v>
      </c>
      <c r="V22" s="1920">
        <v>169130</v>
      </c>
      <c r="W22" s="1920"/>
      <c r="X22" s="1920"/>
      <c r="Y22" s="1927"/>
    </row>
    <row r="23" spans="1:25" ht="39.75" customHeight="1" x14ac:dyDescent="0.25">
      <c r="A23" s="198"/>
      <c r="B23" s="1934"/>
      <c r="C23" s="1924"/>
      <c r="D23" s="1924"/>
      <c r="E23" s="1924"/>
      <c r="F23" s="1924"/>
      <c r="G23" s="198"/>
      <c r="Q23" s="198"/>
      <c r="R23" s="198"/>
      <c r="T23" s="1910"/>
      <c r="U23" s="50" t="s">
        <v>61</v>
      </c>
      <c r="V23" s="1920">
        <v>110000</v>
      </c>
      <c r="W23" s="1920"/>
      <c r="X23" s="1920"/>
      <c r="Y23" s="1927"/>
    </row>
    <row r="24" spans="1:25" ht="48" customHeight="1" x14ac:dyDescent="0.25">
      <c r="A24" s="198"/>
      <c r="B24" s="1935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893" t="s">
        <v>47</v>
      </c>
      <c r="U24" s="51" t="s">
        <v>62</v>
      </c>
      <c r="V24" s="1921">
        <f>V14+V16+V17-V18-V19-V20-V22+V23-V21</f>
        <v>11463.827500000014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287218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98"/>
      <c r="J33" s="198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900" t="s">
        <v>225</v>
      </c>
      <c r="U3" s="1900"/>
      <c r="V3" s="1900"/>
      <c r="W3" s="1900"/>
      <c r="X3" s="1900"/>
      <c r="Y3" s="1900"/>
    </row>
    <row r="4" spans="1:25" s="18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88" customFormat="1" ht="25.5" customHeight="1" x14ac:dyDescent="0.25">
      <c r="A5" s="1901"/>
      <c r="B5" s="1901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930" t="s">
        <v>215</v>
      </c>
      <c r="R14" s="1930"/>
      <c r="S14" s="197" t="s">
        <v>171</v>
      </c>
      <c r="T14" s="1893" t="s">
        <v>46</v>
      </c>
      <c r="U14" s="189" t="s">
        <v>176</v>
      </c>
      <c r="V14" s="1918">
        <v>11464</v>
      </c>
      <c r="W14" s="1926"/>
      <c r="X14" s="1919"/>
    </row>
    <row r="15" spans="1:25" ht="22.5" customHeight="1" x14ac:dyDescent="0.25">
      <c r="A15" s="100" t="s">
        <v>38</v>
      </c>
      <c r="B15" s="1918">
        <v>232779</v>
      </c>
      <c r="C15" s="1919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1920">
        <v>86</v>
      </c>
      <c r="R15" s="1920"/>
      <c r="S15" s="189">
        <v>117</v>
      </c>
      <c r="T15" s="1893"/>
      <c r="U15" s="189" t="s">
        <v>64</v>
      </c>
      <c r="V15" s="1920">
        <v>287218</v>
      </c>
      <c r="W15" s="1920"/>
      <c r="X15" s="1920"/>
    </row>
    <row r="16" spans="1:25" ht="24.75" customHeight="1" x14ac:dyDescent="0.25">
      <c r="A16" s="100" t="s">
        <v>39</v>
      </c>
      <c r="B16" s="1918">
        <v>114285</v>
      </c>
      <c r="C16" s="1919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1883"/>
      <c r="R16" s="1883"/>
      <c r="S16" s="194"/>
      <c r="T16" s="1912" t="s">
        <v>55</v>
      </c>
      <c r="U16" s="1912"/>
      <c r="V16" s="1925">
        <f>Y12</f>
        <v>130957.86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883"/>
      <c r="R17" s="1883"/>
      <c r="S17" s="191"/>
      <c r="T17" s="1931" t="s">
        <v>211</v>
      </c>
      <c r="U17" s="1932"/>
      <c r="V17" s="1920">
        <v>150000</v>
      </c>
      <c r="W17" s="1920"/>
      <c r="X17" s="1920"/>
    </row>
    <row r="18" spans="1:25" ht="27" customHeight="1" x14ac:dyDescent="0.25">
      <c r="A18" s="100" t="s">
        <v>40</v>
      </c>
      <c r="B18" s="1922">
        <f>C12</f>
        <v>111496</v>
      </c>
      <c r="C18" s="1919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1920"/>
      <c r="R18" s="1920"/>
      <c r="S18" s="189"/>
      <c r="T18" s="1912" t="s">
        <v>57</v>
      </c>
      <c r="U18" s="1912"/>
      <c r="V18" s="1920">
        <f>450+1275</f>
        <v>1725</v>
      </c>
      <c r="W18" s="1920"/>
      <c r="X18" s="1920"/>
      <c r="Y18" s="1927" t="s">
        <v>226</v>
      </c>
    </row>
    <row r="19" spans="1:25" ht="25.5" customHeight="1" x14ac:dyDescent="0.25">
      <c r="A19" s="100" t="s">
        <v>41</v>
      </c>
      <c r="B19" s="1918">
        <f>B15+B16+B17-B18</f>
        <v>235568</v>
      </c>
      <c r="C19" s="1919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918">
        <f t="shared" ref="Q19" si="14">Q15+Q16+Q17-Q18</f>
        <v>86</v>
      </c>
      <c r="R19" s="1919"/>
      <c r="S19" s="189">
        <f>S15+S16-S17-S18</f>
        <v>117</v>
      </c>
      <c r="T19" s="1914" t="s">
        <v>48</v>
      </c>
      <c r="U19" s="49" t="s">
        <v>58</v>
      </c>
      <c r="V19" s="1920">
        <v>554000</v>
      </c>
      <c r="W19" s="1920"/>
      <c r="X19" s="1920"/>
      <c r="Y19" s="1927"/>
    </row>
    <row r="20" spans="1:25" ht="23.25" customHeight="1" x14ac:dyDescent="0.25">
      <c r="A20" s="11" t="s">
        <v>187</v>
      </c>
      <c r="B20" s="1936">
        <f>B19*0.9625</f>
        <v>226734.2</v>
      </c>
      <c r="C20" s="1937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936">
        <f>241*Q19</f>
        <v>20726</v>
      </c>
      <c r="R20" s="1937"/>
      <c r="S20" s="191">
        <f>241*S19</f>
        <v>28197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669803.19999999995</v>
      </c>
      <c r="C21" s="1941"/>
      <c r="O21" s="198"/>
      <c r="P21" s="198"/>
      <c r="Q21" s="198"/>
      <c r="R21" s="198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792446</v>
      </c>
      <c r="D22" s="1923">
        <v>554000</v>
      </c>
      <c r="E22" s="1923">
        <v>110000</v>
      </c>
      <c r="F22" s="1923">
        <f>C22-D22+E22</f>
        <v>348446</v>
      </c>
      <c r="G22" s="198"/>
      <c r="Q22" s="198"/>
      <c r="R22" s="198"/>
      <c r="T22" s="1909" t="s">
        <v>83</v>
      </c>
      <c r="U22" s="50" t="s">
        <v>60</v>
      </c>
      <c r="V22" s="1920">
        <v>127990</v>
      </c>
      <c r="W22" s="1920"/>
      <c r="X22" s="1920"/>
      <c r="Y22" s="1927"/>
    </row>
    <row r="23" spans="1:25" ht="39.75" customHeight="1" x14ac:dyDescent="0.25">
      <c r="A23" s="198"/>
      <c r="B23" s="1934"/>
      <c r="C23" s="1924"/>
      <c r="D23" s="1924"/>
      <c r="E23" s="1924"/>
      <c r="F23" s="1924"/>
      <c r="G23" s="198"/>
      <c r="Q23" s="198"/>
      <c r="R23" s="198"/>
      <c r="T23" s="1910"/>
      <c r="U23" s="50" t="s">
        <v>61</v>
      </c>
      <c r="V23" s="1920">
        <v>404000</v>
      </c>
      <c r="W23" s="1920"/>
      <c r="X23" s="1920"/>
      <c r="Y23" s="1927"/>
    </row>
    <row r="24" spans="1:25" ht="48" customHeight="1" x14ac:dyDescent="0.25">
      <c r="A24" s="198"/>
      <c r="B24" s="1935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893" t="s">
        <v>47</v>
      </c>
      <c r="U24" s="51" t="s">
        <v>62</v>
      </c>
      <c r="V24" s="1921">
        <f>V14+V16+V17-V18-V19-V20-V22+V23-V21</f>
        <v>12706.859999999986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11208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98"/>
      <c r="J33" s="198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900" t="s">
        <v>229</v>
      </c>
      <c r="U3" s="1900"/>
      <c r="V3" s="1900"/>
      <c r="W3" s="1900"/>
      <c r="X3" s="1900"/>
      <c r="Y3" s="1900"/>
    </row>
    <row r="4" spans="1:25" s="18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88" customFormat="1" ht="25.5" customHeight="1" x14ac:dyDescent="0.25">
      <c r="A5" s="1901"/>
      <c r="B5" s="1901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930" t="s">
        <v>215</v>
      </c>
      <c r="R14" s="1930"/>
      <c r="S14" s="197" t="s">
        <v>228</v>
      </c>
      <c r="T14" s="1893" t="s">
        <v>46</v>
      </c>
      <c r="U14" s="189" t="s">
        <v>176</v>
      </c>
      <c r="V14" s="1918">
        <v>12707</v>
      </c>
      <c r="W14" s="1926"/>
      <c r="X14" s="1919"/>
    </row>
    <row r="15" spans="1:25" ht="22.5" customHeight="1" x14ac:dyDescent="0.25">
      <c r="A15" s="100" t="s">
        <v>38</v>
      </c>
      <c r="B15" s="1918">
        <v>235568</v>
      </c>
      <c r="C15" s="1919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920">
        <v>86</v>
      </c>
      <c r="R15" s="1920"/>
      <c r="S15" s="189">
        <v>117</v>
      </c>
      <c r="T15" s="1893"/>
      <c r="U15" s="189" t="s">
        <v>64</v>
      </c>
      <c r="V15" s="1920">
        <v>11208</v>
      </c>
      <c r="W15" s="1920"/>
      <c r="X15" s="1920"/>
    </row>
    <row r="16" spans="1:25" ht="24.75" customHeight="1" x14ac:dyDescent="0.25">
      <c r="A16" s="100" t="s">
        <v>39</v>
      </c>
      <c r="B16" s="1918">
        <v>103896</v>
      </c>
      <c r="C16" s="1919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883"/>
      <c r="R16" s="1883"/>
      <c r="S16" s="194"/>
      <c r="T16" s="1912" t="s">
        <v>55</v>
      </c>
      <c r="U16" s="1912"/>
      <c r="V16" s="1925">
        <f>Y12</f>
        <v>227430.28250000003</v>
      </c>
      <c r="W16" s="1925"/>
      <c r="X16" s="1920"/>
    </row>
    <row r="17" spans="1:25" ht="28.5" customHeight="1" x14ac:dyDescent="0.25">
      <c r="A17" s="101" t="s">
        <v>44</v>
      </c>
      <c r="B17" s="1918">
        <v>136907</v>
      </c>
      <c r="C17" s="1919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883"/>
      <c r="R17" s="1883"/>
      <c r="S17" s="191"/>
      <c r="T17" s="1931" t="s">
        <v>211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221517</v>
      </c>
      <c r="C18" s="1919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920">
        <v>45</v>
      </c>
      <c r="R18" s="1920"/>
      <c r="S18" s="189"/>
      <c r="T18" s="1912" t="s">
        <v>57</v>
      </c>
      <c r="U18" s="1912"/>
      <c r="V18" s="1920">
        <f>500+1590+420</f>
        <v>2510</v>
      </c>
      <c r="W18" s="1920"/>
      <c r="X18" s="1920"/>
      <c r="Y18" s="1927" t="s">
        <v>227</v>
      </c>
    </row>
    <row r="19" spans="1:25" ht="25.5" customHeight="1" x14ac:dyDescent="0.25">
      <c r="A19" s="100" t="s">
        <v>41</v>
      </c>
      <c r="B19" s="1918">
        <f>B15+B16+B17-B18</f>
        <v>254854</v>
      </c>
      <c r="C19" s="1919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918">
        <f t="shared" ref="Q19" si="14">Q15+Q16+Q17-Q18</f>
        <v>41</v>
      </c>
      <c r="R19" s="1919"/>
      <c r="S19" s="189">
        <f>S15+S16-S17-S18</f>
        <v>117</v>
      </c>
      <c r="T19" s="1914" t="s">
        <v>48</v>
      </c>
      <c r="U19" s="49" t="s">
        <v>58</v>
      </c>
      <c r="V19" s="1920">
        <v>203846</v>
      </c>
      <c r="W19" s="1920"/>
      <c r="X19" s="1920"/>
      <c r="Y19" s="1927"/>
    </row>
    <row r="20" spans="1:25" ht="23.25" customHeight="1" x14ac:dyDescent="0.25">
      <c r="A20" s="11" t="s">
        <v>187</v>
      </c>
      <c r="B20" s="1936">
        <f>B19*0.9625</f>
        <v>245296.97500000001</v>
      </c>
      <c r="C20" s="1937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936">
        <f>241*Q19</f>
        <v>9881</v>
      </c>
      <c r="R20" s="1937"/>
      <c r="S20" s="191">
        <f>241*S19</f>
        <v>28197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676405.97499999998</v>
      </c>
      <c r="C21" s="1941"/>
      <c r="O21" s="198"/>
      <c r="P21" s="198"/>
      <c r="Q21" s="198"/>
      <c r="R21" s="198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348446</v>
      </c>
      <c r="D22" s="1923">
        <v>203846</v>
      </c>
      <c r="E22" s="1923">
        <v>100000</v>
      </c>
      <c r="F22" s="1923">
        <f>C22-D22+E22</f>
        <v>244600</v>
      </c>
      <c r="G22" s="198"/>
      <c r="Q22" s="198"/>
      <c r="R22" s="198"/>
      <c r="T22" s="1909" t="s">
        <v>83</v>
      </c>
      <c r="U22" s="50" t="s">
        <v>60</v>
      </c>
      <c r="V22" s="1920">
        <v>215300</v>
      </c>
      <c r="W22" s="1920"/>
      <c r="X22" s="1920"/>
      <c r="Y22" s="1927"/>
    </row>
    <row r="23" spans="1:25" ht="39.75" customHeight="1" x14ac:dyDescent="0.25">
      <c r="A23" s="198"/>
      <c r="B23" s="1934"/>
      <c r="C23" s="1924"/>
      <c r="D23" s="1924"/>
      <c r="E23" s="1924"/>
      <c r="F23" s="1924"/>
      <c r="G23" s="198"/>
      <c r="Q23" s="198"/>
      <c r="R23" s="198"/>
      <c r="T23" s="1910"/>
      <c r="U23" s="50" t="s">
        <v>61</v>
      </c>
      <c r="V23" s="1920">
        <v>203846</v>
      </c>
      <c r="W23" s="1920"/>
      <c r="X23" s="1920"/>
      <c r="Y23" s="1927"/>
    </row>
    <row r="24" spans="1:25" ht="48" customHeight="1" x14ac:dyDescent="0.25">
      <c r="A24" s="198"/>
      <c r="B24" s="1935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893" t="s">
        <v>47</v>
      </c>
      <c r="U24" s="51" t="s">
        <v>62</v>
      </c>
      <c r="V24" s="1921">
        <f>V14+V16+V17-V18-V19-V20-V22+V23-V21</f>
        <v>22327.28250000003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22662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98"/>
      <c r="J33" s="198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900" t="s">
        <v>230</v>
      </c>
      <c r="U3" s="1900"/>
      <c r="V3" s="1900"/>
      <c r="W3" s="1900"/>
      <c r="X3" s="1900"/>
      <c r="Y3" s="1900"/>
    </row>
    <row r="4" spans="1:25" s="18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88" customFormat="1" ht="25.5" customHeight="1" x14ac:dyDescent="0.25">
      <c r="A5" s="1901"/>
      <c r="B5" s="1901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930" t="s">
        <v>215</v>
      </c>
      <c r="R14" s="1930"/>
      <c r="S14" s="197" t="s">
        <v>228</v>
      </c>
      <c r="T14" s="1893" t="s">
        <v>46</v>
      </c>
      <c r="U14" s="189" t="s">
        <v>176</v>
      </c>
      <c r="V14" s="1918">
        <v>22327</v>
      </c>
      <c r="W14" s="1926"/>
      <c r="X14" s="1919"/>
    </row>
    <row r="15" spans="1:25" ht="22.5" customHeight="1" x14ac:dyDescent="0.25">
      <c r="A15" s="100" t="s">
        <v>38</v>
      </c>
      <c r="B15" s="1918">
        <v>254854</v>
      </c>
      <c r="C15" s="1919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920">
        <v>41</v>
      </c>
      <c r="R15" s="1920"/>
      <c r="S15" s="189">
        <v>117</v>
      </c>
      <c r="T15" s="1893"/>
      <c r="U15" s="189" t="s">
        <v>64</v>
      </c>
      <c r="V15" s="1920">
        <v>22662</v>
      </c>
      <c r="W15" s="1920"/>
      <c r="X15" s="1920"/>
    </row>
    <row r="16" spans="1:25" ht="24.75" customHeight="1" x14ac:dyDescent="0.25">
      <c r="A16" s="100" t="s">
        <v>39</v>
      </c>
      <c r="B16" s="1918">
        <v>353247</v>
      </c>
      <c r="C16" s="1919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1883"/>
      <c r="R16" s="1883"/>
      <c r="S16" s="194"/>
      <c r="T16" s="1912" t="s">
        <v>55</v>
      </c>
      <c r="U16" s="1912"/>
      <c r="V16" s="1925">
        <f>Y12</f>
        <v>122078.1275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883"/>
      <c r="R17" s="1883"/>
      <c r="S17" s="191"/>
      <c r="T17" s="1931" t="s">
        <v>211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120759</v>
      </c>
      <c r="C18" s="1919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920"/>
      <c r="R18" s="1920"/>
      <c r="S18" s="189"/>
      <c r="T18" s="1912" t="s">
        <v>57</v>
      </c>
      <c r="U18" s="1912"/>
      <c r="V18" s="1920">
        <v>450</v>
      </c>
      <c r="W18" s="1920"/>
      <c r="X18" s="1920"/>
      <c r="Y18" s="1927" t="s">
        <v>231</v>
      </c>
    </row>
    <row r="19" spans="1:25" ht="25.5" customHeight="1" x14ac:dyDescent="0.25">
      <c r="A19" s="100" t="s">
        <v>41</v>
      </c>
      <c r="B19" s="1918">
        <f>B15+B16+B17-B18</f>
        <v>487342</v>
      </c>
      <c r="C19" s="1919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918">
        <f t="shared" ref="Q19" si="14">Q15+Q16+Q17-Q18</f>
        <v>41</v>
      </c>
      <c r="R19" s="1919"/>
      <c r="S19" s="189">
        <f>S15+S16-S17-S18</f>
        <v>117</v>
      </c>
      <c r="T19" s="1914" t="s">
        <v>48</v>
      </c>
      <c r="U19" s="49" t="s">
        <v>58</v>
      </c>
      <c r="V19" s="1920">
        <v>100000</v>
      </c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469066.67499999999</v>
      </c>
      <c r="C20" s="1943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42">
        <f>241*Q19</f>
        <v>9881</v>
      </c>
      <c r="R20" s="1943"/>
      <c r="S20" s="211">
        <f>241*S19</f>
        <v>28197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1377250.675</v>
      </c>
      <c r="C21" s="1941"/>
      <c r="O21" s="198"/>
      <c r="P21" s="198"/>
      <c r="Q21" s="198"/>
      <c r="R21" s="198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244600</v>
      </c>
      <c r="D22" s="1923">
        <v>100000</v>
      </c>
      <c r="E22" s="1923">
        <v>820816</v>
      </c>
      <c r="F22" s="1923">
        <f>C22-D22+E22</f>
        <v>965416</v>
      </c>
      <c r="G22" s="198"/>
      <c r="Q22" s="198"/>
      <c r="R22" s="198"/>
      <c r="T22" s="1909" t="s">
        <v>83</v>
      </c>
      <c r="U22" s="50" t="s">
        <v>60</v>
      </c>
      <c r="V22" s="1920">
        <v>122770</v>
      </c>
      <c r="W22" s="1920"/>
      <c r="X22" s="1920"/>
      <c r="Y22" s="1927"/>
    </row>
    <row r="23" spans="1:25" ht="39.75" customHeight="1" x14ac:dyDescent="0.25">
      <c r="A23" s="198"/>
      <c r="B23" s="1934"/>
      <c r="C23" s="1924"/>
      <c r="D23" s="1924"/>
      <c r="E23" s="1924"/>
      <c r="F23" s="1924"/>
      <c r="G23" s="198"/>
      <c r="Q23" s="198"/>
      <c r="R23" s="198"/>
      <c r="T23" s="1910"/>
      <c r="U23" s="50" t="s">
        <v>61</v>
      </c>
      <c r="V23" s="1920">
        <v>100000</v>
      </c>
      <c r="W23" s="1920"/>
      <c r="X23" s="1920"/>
      <c r="Y23" s="1927"/>
    </row>
    <row r="24" spans="1:25" ht="48" customHeight="1" x14ac:dyDescent="0.25">
      <c r="A24" s="198"/>
      <c r="B24" s="1935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893" t="s">
        <v>47</v>
      </c>
      <c r="U24" s="51" t="s">
        <v>62</v>
      </c>
      <c r="V24" s="1921">
        <f>V14+V16+V17-V18-V19-V20-V22+V23-V21</f>
        <v>21185.127500000002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45432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198"/>
      <c r="J33" s="198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900" t="s">
        <v>232</v>
      </c>
      <c r="U3" s="1900"/>
      <c r="V3" s="1900"/>
      <c r="W3" s="1900"/>
      <c r="X3" s="1900"/>
      <c r="Y3" s="1900"/>
    </row>
    <row r="4" spans="1:25" s="204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04" customFormat="1" ht="25.5" customHeight="1" x14ac:dyDescent="0.25">
      <c r="A5" s="1901"/>
      <c r="B5" s="1901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930" t="s">
        <v>215</v>
      </c>
      <c r="R14" s="1930"/>
      <c r="S14" s="208" t="s">
        <v>228</v>
      </c>
      <c r="T14" s="1893" t="s">
        <v>46</v>
      </c>
      <c r="U14" s="202" t="s">
        <v>176</v>
      </c>
      <c r="V14" s="1918">
        <v>21185</v>
      </c>
      <c r="W14" s="1926"/>
      <c r="X14" s="1919"/>
    </row>
    <row r="15" spans="1:25" ht="22.5" customHeight="1" x14ac:dyDescent="0.25">
      <c r="A15" s="100" t="s">
        <v>38</v>
      </c>
      <c r="B15" s="1918">
        <v>487342</v>
      </c>
      <c r="C15" s="1919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920">
        <v>41</v>
      </c>
      <c r="R15" s="1920"/>
      <c r="S15" s="202">
        <v>117</v>
      </c>
      <c r="T15" s="1893"/>
      <c r="U15" s="202" t="s">
        <v>64</v>
      </c>
      <c r="V15" s="1920">
        <v>45432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883"/>
      <c r="R16" s="1883"/>
      <c r="S16" s="205"/>
      <c r="T16" s="1912" t="s">
        <v>55</v>
      </c>
      <c r="U16" s="1912"/>
      <c r="V16" s="1925">
        <f>Y12</f>
        <v>233654.59000000003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883"/>
      <c r="R17" s="1883"/>
      <c r="S17" s="201"/>
      <c r="T17" s="1931" t="s">
        <v>211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104924</v>
      </c>
      <c r="C18" s="1919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1920"/>
      <c r="R18" s="1920"/>
      <c r="S18" s="202"/>
      <c r="T18" s="1912" t="s">
        <v>57</v>
      </c>
      <c r="U18" s="1912"/>
      <c r="V18" s="1920">
        <v>500</v>
      </c>
      <c r="W18" s="1920"/>
      <c r="X18" s="1920"/>
      <c r="Y18" s="1927" t="s">
        <v>231</v>
      </c>
    </row>
    <row r="19" spans="1:25" ht="25.5" customHeight="1" x14ac:dyDescent="0.25">
      <c r="A19" s="100" t="s">
        <v>41</v>
      </c>
      <c r="B19" s="1918">
        <f>B15+B16+B17-B18</f>
        <v>382418</v>
      </c>
      <c r="C19" s="1919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918">
        <f t="shared" ref="Q19" si="14">Q15+Q16+Q17-Q18</f>
        <v>41</v>
      </c>
      <c r="R19" s="1919"/>
      <c r="S19" s="202">
        <f>S15+S16-S17-S18</f>
        <v>117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368077.32500000001</v>
      </c>
      <c r="C20" s="1943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42">
        <f>241*Q19</f>
        <v>9881</v>
      </c>
      <c r="R20" s="1943"/>
      <c r="S20" s="211">
        <f>241*S19</f>
        <v>28197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1145734.0249999999</v>
      </c>
      <c r="C21" s="1941"/>
      <c r="O21" s="209"/>
      <c r="P21" s="209"/>
      <c r="Q21" s="209"/>
      <c r="R21" s="209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965416</v>
      </c>
      <c r="D22" s="1923"/>
      <c r="E22" s="1923"/>
      <c r="F22" s="1923">
        <f>C22-D22+E22</f>
        <v>965416</v>
      </c>
      <c r="G22" s="209"/>
      <c r="Q22" s="209"/>
      <c r="R22" s="209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209"/>
      <c r="B23" s="1934"/>
      <c r="C23" s="1924"/>
      <c r="D23" s="1924"/>
      <c r="E23" s="1924"/>
      <c r="F23" s="1924"/>
      <c r="G23" s="209"/>
      <c r="Q23" s="209"/>
      <c r="R23" s="209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209"/>
      <c r="B24" s="1935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893" t="s">
        <v>47</v>
      </c>
      <c r="U24" s="51" t="s">
        <v>62</v>
      </c>
      <c r="V24" s="1921">
        <f>V14+V16+V17-V18-V19-V20-V22+V23-V21</f>
        <v>254339.59000000003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45432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09"/>
      <c r="J33" s="209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900" t="s">
        <v>233</v>
      </c>
      <c r="U3" s="1900"/>
      <c r="V3" s="1900"/>
      <c r="W3" s="1900"/>
      <c r="X3" s="1900"/>
      <c r="Y3" s="1900"/>
    </row>
    <row r="4" spans="1:25" s="204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04" customFormat="1" ht="25.5" customHeight="1" x14ac:dyDescent="0.25">
      <c r="A5" s="1901"/>
      <c r="B5" s="1901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930" t="s">
        <v>215</v>
      </c>
      <c r="R14" s="1930"/>
      <c r="S14" s="208" t="s">
        <v>228</v>
      </c>
      <c r="T14" s="1893" t="s">
        <v>46</v>
      </c>
      <c r="U14" s="202" t="s">
        <v>176</v>
      </c>
      <c r="V14" s="1918">
        <v>254340</v>
      </c>
      <c r="W14" s="1926"/>
      <c r="X14" s="1919"/>
    </row>
    <row r="15" spans="1:25" ht="22.5" customHeight="1" x14ac:dyDescent="0.25">
      <c r="A15" s="100" t="s">
        <v>38</v>
      </c>
      <c r="B15" s="1918">
        <v>382418</v>
      </c>
      <c r="C15" s="1919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920">
        <v>41</v>
      </c>
      <c r="R15" s="1920"/>
      <c r="S15" s="202">
        <v>117</v>
      </c>
      <c r="T15" s="1893"/>
      <c r="U15" s="202" t="s">
        <v>64</v>
      </c>
      <c r="V15" s="1920">
        <v>45432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883"/>
      <c r="R16" s="1883"/>
      <c r="S16" s="205"/>
      <c r="T16" s="1912" t="s">
        <v>55</v>
      </c>
      <c r="U16" s="1912"/>
      <c r="V16" s="1925">
        <f>Y12</f>
        <v>296094.65500000003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883"/>
      <c r="R17" s="1883"/>
      <c r="S17" s="201"/>
      <c r="T17" s="1931" t="s">
        <v>211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114158</v>
      </c>
      <c r="C18" s="1919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1920">
        <v>41</v>
      </c>
      <c r="R18" s="1920"/>
      <c r="S18" s="202">
        <v>98</v>
      </c>
      <c r="T18" s="1912" t="s">
        <v>57</v>
      </c>
      <c r="U18" s="1912"/>
      <c r="V18" s="1920">
        <f>450+131772</f>
        <v>132222</v>
      </c>
      <c r="W18" s="1920"/>
      <c r="X18" s="1920"/>
      <c r="Y18" s="1927" t="s">
        <v>139</v>
      </c>
    </row>
    <row r="19" spans="1:25" ht="25.5" customHeight="1" x14ac:dyDescent="0.25">
      <c r="A19" s="100" t="s">
        <v>41</v>
      </c>
      <c r="B19" s="1918">
        <f>B15+B16+B17-B18</f>
        <v>268260</v>
      </c>
      <c r="C19" s="1919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918">
        <f t="shared" ref="Q19" si="14">Q15+Q16+Q17-Q18</f>
        <v>0</v>
      </c>
      <c r="R19" s="1919"/>
      <c r="S19" s="202">
        <f>S15+S16-S17-S18</f>
        <v>19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258200.25</v>
      </c>
      <c r="C20" s="1943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42">
        <f>241*Q19</f>
        <v>0</v>
      </c>
      <c r="R20" s="1943"/>
      <c r="S20" s="211">
        <f>241*S19</f>
        <v>4579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851307.25</v>
      </c>
      <c r="C21" s="1941"/>
      <c r="O21" s="209"/>
      <c r="P21" s="209"/>
      <c r="Q21" s="209"/>
      <c r="R21" s="209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965416</v>
      </c>
      <c r="D22" s="1923"/>
      <c r="E22" s="1923"/>
      <c r="F22" s="1923">
        <f>C22-D22+E22</f>
        <v>965416</v>
      </c>
      <c r="G22" s="209"/>
      <c r="Q22" s="209"/>
      <c r="R22" s="209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209"/>
      <c r="B23" s="1934"/>
      <c r="C23" s="1924"/>
      <c r="D23" s="1924"/>
      <c r="E23" s="1924"/>
      <c r="F23" s="1924"/>
      <c r="G23" s="209"/>
      <c r="Q23" s="209"/>
      <c r="R23" s="209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209"/>
      <c r="B24" s="1935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893" t="s">
        <v>47</v>
      </c>
      <c r="U24" s="51" t="s">
        <v>62</v>
      </c>
      <c r="V24" s="1921">
        <f>V14+V16+V17-V18-V19-V20-V22+V23-V21</f>
        <v>418212.65500000003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45432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09"/>
      <c r="J33" s="209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00" t="s">
        <v>234</v>
      </c>
      <c r="U3" s="1900"/>
      <c r="V3" s="1900"/>
      <c r="W3" s="1900"/>
      <c r="X3" s="1900"/>
      <c r="Y3" s="1900"/>
    </row>
    <row r="4" spans="1:25" s="21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12" customFormat="1" ht="25.5" customHeight="1" x14ac:dyDescent="0.25">
      <c r="A5" s="1901"/>
      <c r="B5" s="190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30" t="s">
        <v>228</v>
      </c>
      <c r="R14" s="1930"/>
      <c r="S14" s="221"/>
      <c r="T14" s="1893" t="s">
        <v>46</v>
      </c>
      <c r="U14" s="213" t="s">
        <v>176</v>
      </c>
      <c r="V14" s="1918">
        <v>418213</v>
      </c>
      <c r="W14" s="1926"/>
      <c r="X14" s="1919"/>
    </row>
    <row r="15" spans="1:25" ht="22.5" customHeight="1" x14ac:dyDescent="0.25">
      <c r="A15" s="100" t="s">
        <v>38</v>
      </c>
      <c r="B15" s="1918">
        <v>268260</v>
      </c>
      <c r="C15" s="1919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1920">
        <v>19</v>
      </c>
      <c r="R15" s="1920"/>
      <c r="S15" s="213">
        <v>0</v>
      </c>
      <c r="T15" s="1893"/>
      <c r="U15" s="213" t="s">
        <v>64</v>
      </c>
      <c r="V15" s="1920">
        <v>45432</v>
      </c>
      <c r="W15" s="1920"/>
      <c r="X15" s="1920"/>
    </row>
    <row r="16" spans="1:25" ht="24.75" customHeight="1" x14ac:dyDescent="0.25">
      <c r="A16" s="100" t="s">
        <v>39</v>
      </c>
      <c r="B16" s="1918">
        <v>114285</v>
      </c>
      <c r="C16" s="1919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1883"/>
      <c r="R16" s="1883"/>
      <c r="S16" s="218"/>
      <c r="T16" s="1912" t="s">
        <v>55</v>
      </c>
      <c r="U16" s="1912"/>
      <c r="V16" s="1925">
        <f>Y12</f>
        <v>173088.57250000001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83"/>
      <c r="R17" s="1883"/>
      <c r="S17" s="215"/>
      <c r="T17" s="1931" t="s">
        <v>211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126561</v>
      </c>
      <c r="C18" s="1919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20"/>
      <c r="R18" s="1920"/>
      <c r="S18" s="213"/>
      <c r="T18" s="1912" t="s">
        <v>57</v>
      </c>
      <c r="U18" s="1912"/>
      <c r="V18" s="1920">
        <v>500</v>
      </c>
      <c r="W18" s="1920"/>
      <c r="X18" s="1920"/>
      <c r="Y18" s="1927" t="s">
        <v>231</v>
      </c>
    </row>
    <row r="19" spans="1:25" ht="25.5" customHeight="1" x14ac:dyDescent="0.25">
      <c r="A19" s="100" t="s">
        <v>41</v>
      </c>
      <c r="B19" s="1918">
        <f>B15+B16+B17-B18</f>
        <v>255984</v>
      </c>
      <c r="C19" s="1919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918">
        <f t="shared" ref="Q19" si="14">Q15+Q16+Q17-Q18</f>
        <v>19</v>
      </c>
      <c r="R19" s="1919"/>
      <c r="S19" s="213">
        <f>S15+S16-S17-S18</f>
        <v>0</v>
      </c>
      <c r="T19" s="1914" t="s">
        <v>48</v>
      </c>
      <c r="U19" s="49" t="s">
        <v>58</v>
      </c>
      <c r="V19" s="1920">
        <v>412300</v>
      </c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246384.6</v>
      </c>
      <c r="C20" s="1943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42">
        <f>241*Q19</f>
        <v>4579</v>
      </c>
      <c r="R20" s="1943"/>
      <c r="S20" s="211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838179.79999999993</v>
      </c>
      <c r="C21" s="1941"/>
      <c r="O21" s="222"/>
      <c r="P21" s="222"/>
      <c r="Q21" s="222"/>
      <c r="R21" s="222"/>
      <c r="T21" s="1931" t="s">
        <v>167</v>
      </c>
      <c r="U21" s="1932"/>
      <c r="V21" s="1918">
        <v>150000</v>
      </c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965416</v>
      </c>
      <c r="D22" s="1923">
        <v>412300</v>
      </c>
      <c r="E22" s="1923">
        <v>158200</v>
      </c>
      <c r="F22" s="1923">
        <f>C22-D22+E22</f>
        <v>711316</v>
      </c>
      <c r="G22" s="222"/>
      <c r="Q22" s="222"/>
      <c r="R22" s="222"/>
      <c r="T22" s="1909" t="s">
        <v>83</v>
      </c>
      <c r="U22" s="50" t="s">
        <v>60</v>
      </c>
      <c r="V22" s="1920">
        <v>414840</v>
      </c>
      <c r="W22" s="1920"/>
      <c r="X22" s="1920"/>
      <c r="Y22" s="1927"/>
    </row>
    <row r="23" spans="1:25" ht="39.75" customHeight="1" x14ac:dyDescent="0.25">
      <c r="A23" s="222"/>
      <c r="B23" s="1934"/>
      <c r="C23" s="1924"/>
      <c r="D23" s="1924"/>
      <c r="E23" s="1924"/>
      <c r="F23" s="1924"/>
      <c r="G23" s="222"/>
      <c r="Q23" s="222"/>
      <c r="R23" s="222"/>
      <c r="T23" s="1910"/>
      <c r="U23" s="50" t="s">
        <v>61</v>
      </c>
      <c r="V23" s="1920">
        <v>412300</v>
      </c>
      <c r="W23" s="1920"/>
      <c r="X23" s="1920"/>
      <c r="Y23" s="1927"/>
    </row>
    <row r="24" spans="1:25" ht="48" customHeight="1" x14ac:dyDescent="0.25">
      <c r="A24" s="222"/>
      <c r="B24" s="193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93" t="s">
        <v>47</v>
      </c>
      <c r="U24" s="51" t="s">
        <v>62</v>
      </c>
      <c r="V24" s="1921">
        <f>V14+V16+V17-V18-V19-V20-V22+V23-V21</f>
        <v>25961.572500000009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47972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22"/>
      <c r="J33" s="222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00" t="s">
        <v>235</v>
      </c>
      <c r="U3" s="1900"/>
      <c r="V3" s="1900"/>
      <c r="W3" s="1900"/>
      <c r="X3" s="1900"/>
      <c r="Y3" s="1900"/>
    </row>
    <row r="4" spans="1:25" s="21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12" customFormat="1" ht="25.5" customHeight="1" x14ac:dyDescent="0.25">
      <c r="A5" s="1901"/>
      <c r="B5" s="190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30" t="s">
        <v>228</v>
      </c>
      <c r="R14" s="1930"/>
      <c r="S14" s="221"/>
      <c r="T14" s="1893" t="s">
        <v>46</v>
      </c>
      <c r="U14" s="213" t="s">
        <v>176</v>
      </c>
      <c r="V14" s="1918">
        <v>25962</v>
      </c>
      <c r="W14" s="1926"/>
      <c r="X14" s="1919"/>
    </row>
    <row r="15" spans="1:25" ht="22.5" customHeight="1" x14ac:dyDescent="0.25">
      <c r="A15" s="100" t="s">
        <v>38</v>
      </c>
      <c r="B15" s="1918">
        <v>255984</v>
      </c>
      <c r="C15" s="1919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1920">
        <v>19</v>
      </c>
      <c r="R15" s="1920"/>
      <c r="S15" s="213">
        <v>0</v>
      </c>
      <c r="T15" s="1893"/>
      <c r="U15" s="213" t="s">
        <v>64</v>
      </c>
      <c r="V15" s="1920">
        <v>47972</v>
      </c>
      <c r="W15" s="1920"/>
      <c r="X15" s="1920"/>
    </row>
    <row r="16" spans="1:25" ht="24.75" customHeight="1" x14ac:dyDescent="0.25">
      <c r="A16" s="100" t="s">
        <v>39</v>
      </c>
      <c r="B16" s="1918">
        <v>103896</v>
      </c>
      <c r="C16" s="1919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1883"/>
      <c r="R16" s="1883"/>
      <c r="S16" s="218"/>
      <c r="T16" s="1912" t="s">
        <v>55</v>
      </c>
      <c r="U16" s="1912"/>
      <c r="V16" s="1925">
        <f>Y12</f>
        <v>137812.46249999999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83"/>
      <c r="R17" s="1883"/>
      <c r="S17" s="215"/>
      <c r="T17" s="1931" t="s">
        <v>211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120965</v>
      </c>
      <c r="C18" s="1919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20"/>
      <c r="R18" s="1920"/>
      <c r="S18" s="213"/>
      <c r="T18" s="1912" t="s">
        <v>57</v>
      </c>
      <c r="U18" s="1912"/>
      <c r="V18" s="1920">
        <f>450+6250</f>
        <v>6700</v>
      </c>
      <c r="W18" s="1920"/>
      <c r="X18" s="1920"/>
      <c r="Y18" s="1927" t="s">
        <v>231</v>
      </c>
    </row>
    <row r="19" spans="1:25" ht="25.5" customHeight="1" x14ac:dyDescent="0.25">
      <c r="A19" s="100" t="s">
        <v>41</v>
      </c>
      <c r="B19" s="1918">
        <f>B15+B16+B17-B18</f>
        <v>238915</v>
      </c>
      <c r="C19" s="1919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918">
        <f t="shared" ref="Q19" si="14">Q15+Q16+Q17-Q18</f>
        <v>19</v>
      </c>
      <c r="R19" s="1919"/>
      <c r="S19" s="213">
        <f>S15+S16-S17-S18</f>
        <v>0</v>
      </c>
      <c r="T19" s="1914" t="s">
        <v>48</v>
      </c>
      <c r="U19" s="49" t="s">
        <v>58</v>
      </c>
      <c r="V19" s="1920">
        <v>100000</v>
      </c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229955.6875</v>
      </c>
      <c r="C20" s="1943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42">
        <f>241*Q19</f>
        <v>4579</v>
      </c>
      <c r="R20" s="1943"/>
      <c r="S20" s="211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801778.28749999998</v>
      </c>
      <c r="C21" s="1941"/>
      <c r="O21" s="222"/>
      <c r="P21" s="222"/>
      <c r="Q21" s="222"/>
      <c r="R21" s="222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711316</v>
      </c>
      <c r="D22" s="1923">
        <v>100000</v>
      </c>
      <c r="E22" s="1923">
        <v>100000</v>
      </c>
      <c r="F22" s="1923">
        <f>C22-D22+E22</f>
        <v>711316</v>
      </c>
      <c r="G22" s="222"/>
      <c r="Q22" s="222"/>
      <c r="R22" s="222"/>
      <c r="T22" s="1909" t="s">
        <v>83</v>
      </c>
      <c r="U22" s="50" t="s">
        <v>60</v>
      </c>
      <c r="V22" s="1920">
        <v>135970</v>
      </c>
      <c r="W22" s="1920"/>
      <c r="X22" s="1920"/>
      <c r="Y22" s="1927"/>
    </row>
    <row r="23" spans="1:25" ht="39.75" customHeight="1" x14ac:dyDescent="0.25">
      <c r="A23" s="222"/>
      <c r="B23" s="1934"/>
      <c r="C23" s="1924"/>
      <c r="D23" s="1924"/>
      <c r="E23" s="1924"/>
      <c r="F23" s="1924"/>
      <c r="G23" s="222"/>
      <c r="Q23" s="222"/>
      <c r="R23" s="222"/>
      <c r="T23" s="1910"/>
      <c r="U23" s="50" t="s">
        <v>61</v>
      </c>
      <c r="V23" s="1920">
        <v>100000</v>
      </c>
      <c r="W23" s="1920"/>
      <c r="X23" s="1920"/>
      <c r="Y23" s="1927"/>
    </row>
    <row r="24" spans="1:25" ht="48" customHeight="1" x14ac:dyDescent="0.25">
      <c r="A24" s="222"/>
      <c r="B24" s="193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93" t="s">
        <v>47</v>
      </c>
      <c r="U24" s="51" t="s">
        <v>62</v>
      </c>
      <c r="V24" s="1921">
        <f>V14+V16+V17-V18-V19-V20-V22+V23-V21</f>
        <v>21104.462499999994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83942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22"/>
      <c r="J33" s="222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00" t="s">
        <v>236</v>
      </c>
      <c r="U3" s="1900"/>
      <c r="V3" s="1900"/>
      <c r="W3" s="1900"/>
      <c r="X3" s="1900"/>
      <c r="Y3" s="1900"/>
    </row>
    <row r="4" spans="1:25" s="21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12" customFormat="1" ht="25.5" customHeight="1" x14ac:dyDescent="0.25">
      <c r="A5" s="1901"/>
      <c r="B5" s="190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30" t="s">
        <v>228</v>
      </c>
      <c r="R14" s="1930"/>
      <c r="S14" s="221"/>
      <c r="T14" s="1893" t="s">
        <v>46</v>
      </c>
      <c r="U14" s="213" t="s">
        <v>176</v>
      </c>
      <c r="V14" s="1918">
        <v>21104</v>
      </c>
      <c r="W14" s="1926"/>
      <c r="X14" s="1919"/>
    </row>
    <row r="15" spans="1:25" ht="22.5" customHeight="1" x14ac:dyDescent="0.25">
      <c r="A15" s="100" t="s">
        <v>38</v>
      </c>
      <c r="B15" s="1918">
        <v>238915</v>
      </c>
      <c r="C15" s="1919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1920">
        <v>19</v>
      </c>
      <c r="R15" s="1920"/>
      <c r="S15" s="213">
        <v>0</v>
      </c>
      <c r="T15" s="1893"/>
      <c r="U15" s="213" t="s">
        <v>64</v>
      </c>
      <c r="V15" s="1920">
        <v>83942</v>
      </c>
      <c r="W15" s="1920"/>
      <c r="X15" s="1920"/>
    </row>
    <row r="16" spans="1:25" ht="24.75" customHeight="1" x14ac:dyDescent="0.25">
      <c r="A16" s="100" t="s">
        <v>39</v>
      </c>
      <c r="B16" s="1918">
        <v>135065</v>
      </c>
      <c r="C16" s="1919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883"/>
      <c r="R16" s="1883"/>
      <c r="S16" s="218"/>
      <c r="T16" s="1912" t="s">
        <v>55</v>
      </c>
      <c r="U16" s="1912"/>
      <c r="V16" s="1925">
        <f>Y12</f>
        <v>177826.8775</v>
      </c>
      <c r="W16" s="1925"/>
      <c r="X16" s="1920"/>
    </row>
    <row r="17" spans="1:25" ht="28.5" customHeight="1" x14ac:dyDescent="0.25">
      <c r="A17" s="101" t="s">
        <v>44</v>
      </c>
      <c r="B17" s="1918">
        <v>51547</v>
      </c>
      <c r="C17" s="191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83"/>
      <c r="R17" s="1883"/>
      <c r="S17" s="215"/>
      <c r="T17" s="1931" t="s">
        <v>211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133459</v>
      </c>
      <c r="C18" s="1919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20"/>
      <c r="R18" s="1920"/>
      <c r="S18" s="213"/>
      <c r="T18" s="1912" t="s">
        <v>57</v>
      </c>
      <c r="U18" s="1912"/>
      <c r="V18" s="1920">
        <v>500</v>
      </c>
      <c r="W18" s="1920"/>
      <c r="X18" s="1920"/>
      <c r="Y18" s="1927" t="s">
        <v>231</v>
      </c>
    </row>
    <row r="19" spans="1:25" ht="25.5" customHeight="1" x14ac:dyDescent="0.25">
      <c r="A19" s="100" t="s">
        <v>41</v>
      </c>
      <c r="B19" s="1918">
        <f>B15+B16+B17-B18</f>
        <v>292068</v>
      </c>
      <c r="C19" s="1919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918">
        <f t="shared" ref="Q19" si="14">Q15+Q16+Q17-Q18</f>
        <v>19</v>
      </c>
      <c r="R19" s="1919"/>
      <c r="S19" s="213">
        <f>S15+S16-S17-S18</f>
        <v>0</v>
      </c>
      <c r="T19" s="1914" t="s">
        <v>48</v>
      </c>
      <c r="U19" s="49" t="s">
        <v>58</v>
      </c>
      <c r="V19" s="1920">
        <v>130000</v>
      </c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281115.45</v>
      </c>
      <c r="C20" s="1943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42">
        <f>241*Q19</f>
        <v>4579</v>
      </c>
      <c r="R20" s="1943"/>
      <c r="S20" s="211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805321.85</v>
      </c>
      <c r="C21" s="1941"/>
      <c r="O21" s="222"/>
      <c r="P21" s="222"/>
      <c r="Q21" s="222"/>
      <c r="R21" s="222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711316</v>
      </c>
      <c r="D22" s="1923">
        <v>130000</v>
      </c>
      <c r="E22" s="1923">
        <v>130000</v>
      </c>
      <c r="F22" s="1923">
        <f>C22-D22+E22</f>
        <v>711316</v>
      </c>
      <c r="G22" s="222"/>
      <c r="Q22" s="222"/>
      <c r="R22" s="222"/>
      <c r="T22" s="1909" t="s">
        <v>83</v>
      </c>
      <c r="U22" s="50" t="s">
        <v>60</v>
      </c>
      <c r="V22" s="1920">
        <v>177280</v>
      </c>
      <c r="W22" s="1920"/>
      <c r="X22" s="1920"/>
      <c r="Y22" s="1927"/>
    </row>
    <row r="23" spans="1:25" ht="39.75" customHeight="1" x14ac:dyDescent="0.25">
      <c r="A23" s="222"/>
      <c r="B23" s="1934"/>
      <c r="C23" s="1924"/>
      <c r="D23" s="1924"/>
      <c r="E23" s="1924"/>
      <c r="F23" s="1924"/>
      <c r="G23" s="222"/>
      <c r="Q23" s="222"/>
      <c r="R23" s="222"/>
      <c r="T23" s="1910"/>
      <c r="U23" s="50" t="s">
        <v>61</v>
      </c>
      <c r="V23" s="1920">
        <v>130000</v>
      </c>
      <c r="W23" s="1920"/>
      <c r="X23" s="1920"/>
      <c r="Y23" s="1927"/>
    </row>
    <row r="24" spans="1:25" ht="48" customHeight="1" x14ac:dyDescent="0.25">
      <c r="A24" s="222"/>
      <c r="B24" s="193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93" t="s">
        <v>47</v>
      </c>
      <c r="U24" s="51" t="s">
        <v>62</v>
      </c>
      <c r="V24" s="1921">
        <f>V14+V16+V17-V18-V19-V20-V22+V23-V21</f>
        <v>21150.877500000002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131222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22"/>
      <c r="J33" s="222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00" t="s">
        <v>237</v>
      </c>
      <c r="U3" s="1900"/>
      <c r="V3" s="1900"/>
      <c r="W3" s="1900"/>
      <c r="X3" s="1900"/>
      <c r="Y3" s="1900"/>
    </row>
    <row r="4" spans="1:25" s="21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12" customFormat="1" ht="25.5" customHeight="1" x14ac:dyDescent="0.25">
      <c r="A5" s="1901"/>
      <c r="B5" s="190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30" t="s">
        <v>228</v>
      </c>
      <c r="R14" s="1930"/>
      <c r="S14" s="221"/>
      <c r="T14" s="1893" t="s">
        <v>46</v>
      </c>
      <c r="U14" s="213" t="s">
        <v>176</v>
      </c>
      <c r="V14" s="1918">
        <v>21151</v>
      </c>
      <c r="W14" s="1926"/>
      <c r="X14" s="1919"/>
    </row>
    <row r="15" spans="1:25" ht="22.5" customHeight="1" x14ac:dyDescent="0.25">
      <c r="A15" s="100" t="s">
        <v>38</v>
      </c>
      <c r="B15" s="1918">
        <v>292068</v>
      </c>
      <c r="C15" s="1919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1920">
        <v>19</v>
      </c>
      <c r="R15" s="1920"/>
      <c r="S15" s="213">
        <v>0</v>
      </c>
      <c r="T15" s="1893"/>
      <c r="U15" s="213" t="s">
        <v>64</v>
      </c>
      <c r="V15" s="1920">
        <v>131222</v>
      </c>
      <c r="W15" s="1920"/>
      <c r="X15" s="1920"/>
    </row>
    <row r="16" spans="1:25" ht="24.75" customHeight="1" x14ac:dyDescent="0.25">
      <c r="A16" s="100" t="s">
        <v>39</v>
      </c>
      <c r="B16" s="1918">
        <v>155844</v>
      </c>
      <c r="C16" s="1919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1883"/>
      <c r="R16" s="1883"/>
      <c r="S16" s="218"/>
      <c r="T16" s="1912" t="s">
        <v>55</v>
      </c>
      <c r="U16" s="1912"/>
      <c r="V16" s="1925">
        <f>Y12</f>
        <v>227162.67249999999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83"/>
      <c r="R17" s="1883"/>
      <c r="S17" s="215"/>
      <c r="T17" s="1931" t="s">
        <v>211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158521</v>
      </c>
      <c r="C18" s="1919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920">
        <v>19</v>
      </c>
      <c r="R18" s="1920"/>
      <c r="S18" s="213"/>
      <c r="T18" s="1912" t="s">
        <v>57</v>
      </c>
      <c r="U18" s="1912"/>
      <c r="V18" s="1920">
        <f>450+49613</f>
        <v>50063</v>
      </c>
      <c r="W18" s="1920"/>
      <c r="X18" s="1920"/>
      <c r="Y18" s="1927" t="s">
        <v>238</v>
      </c>
    </row>
    <row r="19" spans="1:25" ht="25.5" customHeight="1" x14ac:dyDescent="0.25">
      <c r="A19" s="100" t="s">
        <v>41</v>
      </c>
      <c r="B19" s="1918">
        <f>B15+B16+B17-B18</f>
        <v>289391</v>
      </c>
      <c r="C19" s="1919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918">
        <f t="shared" ref="Q19" si="14">Q15+Q16+Q17-Q18</f>
        <v>0</v>
      </c>
      <c r="R19" s="1919"/>
      <c r="S19" s="213">
        <f>S15+S16-S17-S18</f>
        <v>0</v>
      </c>
      <c r="T19" s="1914" t="s">
        <v>48</v>
      </c>
      <c r="U19" s="49" t="s">
        <v>58</v>
      </c>
      <c r="V19" s="1920">
        <v>158200</v>
      </c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278538.83750000002</v>
      </c>
      <c r="C20" s="1943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42">
        <f>241*Q19</f>
        <v>0</v>
      </c>
      <c r="R20" s="1943"/>
      <c r="S20" s="211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730015.63749999995</v>
      </c>
      <c r="C21" s="1941"/>
      <c r="O21" s="222"/>
      <c r="P21" s="222"/>
      <c r="Q21" s="222"/>
      <c r="R21" s="222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711316</v>
      </c>
      <c r="D22" s="1923">
        <v>158200</v>
      </c>
      <c r="E22" s="1923">
        <v>150000</v>
      </c>
      <c r="F22" s="1923">
        <f>C22-D22+E22</f>
        <v>703116</v>
      </c>
      <c r="G22" s="222"/>
      <c r="Q22" s="222"/>
      <c r="R22" s="222"/>
      <c r="T22" s="1909" t="s">
        <v>83</v>
      </c>
      <c r="U22" s="50" t="s">
        <v>60</v>
      </c>
      <c r="V22" s="1920">
        <v>175920</v>
      </c>
      <c r="W22" s="1920"/>
      <c r="X22" s="1920"/>
      <c r="Y22" s="1927"/>
    </row>
    <row r="23" spans="1:25" ht="39.75" customHeight="1" x14ac:dyDescent="0.25">
      <c r="A23" s="222"/>
      <c r="B23" s="1934"/>
      <c r="C23" s="1924"/>
      <c r="D23" s="1924"/>
      <c r="E23" s="1924"/>
      <c r="F23" s="1924"/>
      <c r="G23" s="222"/>
      <c r="Q23" s="222"/>
      <c r="R23" s="222"/>
      <c r="T23" s="1910"/>
      <c r="U23" s="50" t="s">
        <v>61</v>
      </c>
      <c r="V23" s="1920">
        <v>158200</v>
      </c>
      <c r="W23" s="1920"/>
      <c r="X23" s="1920"/>
      <c r="Y23" s="1927"/>
    </row>
    <row r="24" spans="1:25" ht="48" customHeight="1" x14ac:dyDescent="0.25">
      <c r="A24" s="222"/>
      <c r="B24" s="193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93" t="s">
        <v>47</v>
      </c>
      <c r="U24" s="51" t="s">
        <v>62</v>
      </c>
      <c r="V24" s="1921">
        <f>V14+V16+V17-V18-V19-V20-V22+V23-V21</f>
        <v>22330.672499999986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148942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22"/>
      <c r="J33" s="222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00" t="s">
        <v>239</v>
      </c>
      <c r="U3" s="1900"/>
      <c r="V3" s="1900"/>
      <c r="W3" s="1900"/>
      <c r="X3" s="1900"/>
      <c r="Y3" s="1900"/>
    </row>
    <row r="4" spans="1:25" s="21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12" customFormat="1" ht="25.5" customHeight="1" x14ac:dyDescent="0.25">
      <c r="A5" s="1901"/>
      <c r="B5" s="190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30" t="s">
        <v>228</v>
      </c>
      <c r="R14" s="1930"/>
      <c r="S14" s="221"/>
      <c r="T14" s="1893" t="s">
        <v>46</v>
      </c>
      <c r="U14" s="213" t="s">
        <v>176</v>
      </c>
      <c r="V14" s="1918">
        <v>22331</v>
      </c>
      <c r="W14" s="1926"/>
      <c r="X14" s="1919"/>
    </row>
    <row r="15" spans="1:25" ht="22.5" customHeight="1" x14ac:dyDescent="0.25">
      <c r="A15" s="100" t="s">
        <v>38</v>
      </c>
      <c r="B15" s="1918">
        <v>289391</v>
      </c>
      <c r="C15" s="1919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1920">
        <v>0</v>
      </c>
      <c r="R15" s="1920"/>
      <c r="S15" s="213">
        <v>0</v>
      </c>
      <c r="T15" s="1893"/>
      <c r="U15" s="213" t="s">
        <v>64</v>
      </c>
      <c r="V15" s="1920">
        <v>148942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883"/>
      <c r="R16" s="1883"/>
      <c r="S16" s="218"/>
      <c r="T16" s="1912" t="s">
        <v>55</v>
      </c>
      <c r="U16" s="1912"/>
      <c r="V16" s="1925">
        <f>Y12</f>
        <v>189099.2825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83"/>
      <c r="R17" s="1883"/>
      <c r="S17" s="215"/>
      <c r="T17" s="1931" t="s">
        <v>211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145917</v>
      </c>
      <c r="C18" s="1919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20"/>
      <c r="R18" s="1920"/>
      <c r="S18" s="213"/>
      <c r="T18" s="1912" t="s">
        <v>57</v>
      </c>
      <c r="U18" s="1912"/>
      <c r="V18" s="1920">
        <f>500+200+190+270</f>
        <v>1160</v>
      </c>
      <c r="W18" s="1920"/>
      <c r="X18" s="1920"/>
      <c r="Y18" s="1927" t="s">
        <v>240</v>
      </c>
    </row>
    <row r="19" spans="1:25" ht="25.5" customHeight="1" x14ac:dyDescent="0.25">
      <c r="A19" s="100" t="s">
        <v>41</v>
      </c>
      <c r="B19" s="1918">
        <f>B15+B16+B17-B18</f>
        <v>143474</v>
      </c>
      <c r="C19" s="1919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918">
        <f t="shared" ref="Q19" si="14">Q15+Q16+Q17-Q18</f>
        <v>0</v>
      </c>
      <c r="R19" s="1919"/>
      <c r="S19" s="213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138093.72500000001</v>
      </c>
      <c r="C20" s="1943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42">
        <f>241*Q19</f>
        <v>0</v>
      </c>
      <c r="R20" s="1943"/>
      <c r="S20" s="211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542787.82499999995</v>
      </c>
      <c r="C21" s="1941"/>
      <c r="O21" s="222"/>
      <c r="P21" s="222"/>
      <c r="Q21" s="222"/>
      <c r="R21" s="222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703116</v>
      </c>
      <c r="D22" s="1923"/>
      <c r="E22" s="1923"/>
      <c r="F22" s="1923">
        <f>C22-D22+E22</f>
        <v>703116</v>
      </c>
      <c r="G22" s="222"/>
      <c r="Q22" s="222"/>
      <c r="R22" s="222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222"/>
      <c r="B23" s="1934"/>
      <c r="C23" s="1924"/>
      <c r="D23" s="1924"/>
      <c r="E23" s="1924"/>
      <c r="F23" s="1924"/>
      <c r="G23" s="222"/>
      <c r="Q23" s="222"/>
      <c r="R23" s="222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222"/>
      <c r="B24" s="193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93" t="s">
        <v>47</v>
      </c>
      <c r="U24" s="51" t="s">
        <v>62</v>
      </c>
      <c r="V24" s="1921">
        <f>V14+V16+V17-V18-V19-V20-V22+V23-V21</f>
        <v>210270.2825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148942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22"/>
      <c r="J33" s="222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00" t="s">
        <v>241</v>
      </c>
      <c r="U3" s="1900"/>
      <c r="V3" s="1900"/>
      <c r="W3" s="1900"/>
      <c r="X3" s="1900"/>
      <c r="Y3" s="1900"/>
    </row>
    <row r="4" spans="1:25" s="21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12" customFormat="1" ht="25.5" customHeight="1" x14ac:dyDescent="0.25">
      <c r="A5" s="1901"/>
      <c r="B5" s="190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30"/>
      <c r="R14" s="1930"/>
      <c r="S14" s="221"/>
      <c r="T14" s="1893" t="s">
        <v>46</v>
      </c>
      <c r="U14" s="213" t="s">
        <v>176</v>
      </c>
      <c r="V14" s="1918">
        <v>210270</v>
      </c>
      <c r="W14" s="1926"/>
      <c r="X14" s="1919"/>
    </row>
    <row r="15" spans="1:25" ht="22.5" customHeight="1" x14ac:dyDescent="0.25">
      <c r="A15" s="100" t="s">
        <v>38</v>
      </c>
      <c r="B15" s="1918">
        <v>143474</v>
      </c>
      <c r="C15" s="1919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1920">
        <v>0</v>
      </c>
      <c r="R15" s="1920"/>
      <c r="S15" s="213">
        <v>0</v>
      </c>
      <c r="T15" s="1893"/>
      <c r="U15" s="213" t="s">
        <v>64</v>
      </c>
      <c r="V15" s="1920">
        <v>148942</v>
      </c>
      <c r="W15" s="1920"/>
      <c r="X15" s="1920"/>
    </row>
    <row r="16" spans="1:25" ht="24.75" customHeight="1" x14ac:dyDescent="0.25">
      <c r="A16" s="100" t="s">
        <v>39</v>
      </c>
      <c r="B16" s="1918">
        <v>192207</v>
      </c>
      <c r="C16" s="1919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1883"/>
      <c r="R16" s="1883"/>
      <c r="S16" s="218"/>
      <c r="T16" s="1912" t="s">
        <v>55</v>
      </c>
      <c r="U16" s="1912"/>
      <c r="V16" s="1925">
        <f>Y12</f>
        <v>131323.66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83"/>
      <c r="R17" s="1883"/>
      <c r="S17" s="215"/>
      <c r="T17" s="1931" t="s">
        <v>211</v>
      </c>
      <c r="U17" s="1932"/>
      <c r="V17" s="1920">
        <v>150000</v>
      </c>
      <c r="W17" s="1920"/>
      <c r="X17" s="1920"/>
    </row>
    <row r="18" spans="1:25" ht="27" customHeight="1" x14ac:dyDescent="0.25">
      <c r="A18" s="100" t="s">
        <v>40</v>
      </c>
      <c r="B18" s="1922">
        <f>C12</f>
        <v>105976</v>
      </c>
      <c r="C18" s="1919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20"/>
      <c r="R18" s="1920"/>
      <c r="S18" s="213"/>
      <c r="T18" s="1912" t="s">
        <v>57</v>
      </c>
      <c r="U18" s="1912"/>
      <c r="V18" s="1920">
        <v>450</v>
      </c>
      <c r="W18" s="1920"/>
      <c r="X18" s="1920"/>
      <c r="Y18" s="1927" t="s">
        <v>242</v>
      </c>
    </row>
    <row r="19" spans="1:25" ht="25.5" customHeight="1" x14ac:dyDescent="0.25">
      <c r="A19" s="100" t="s">
        <v>41</v>
      </c>
      <c r="B19" s="1918">
        <f>B15+B16+B17-B18</f>
        <v>229705</v>
      </c>
      <c r="C19" s="1919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918">
        <f t="shared" ref="Q19" si="14">Q15+Q16+Q17-Q18</f>
        <v>0</v>
      </c>
      <c r="R19" s="1919"/>
      <c r="S19" s="213">
        <f>S15+S16-S17-S18</f>
        <v>0</v>
      </c>
      <c r="T19" s="1914" t="s">
        <v>48</v>
      </c>
      <c r="U19" s="49" t="s">
        <v>58</v>
      </c>
      <c r="V19" s="1920">
        <v>620510</v>
      </c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221091.0625</v>
      </c>
      <c r="C20" s="1943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42">
        <f>241*Q19</f>
        <v>0</v>
      </c>
      <c r="R20" s="1943"/>
      <c r="S20" s="211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597781.5625</v>
      </c>
      <c r="C21" s="1941"/>
      <c r="O21" s="222"/>
      <c r="P21" s="222"/>
      <c r="Q21" s="222"/>
      <c r="R21" s="222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703116</v>
      </c>
      <c r="D22" s="1923">
        <v>620510</v>
      </c>
      <c r="E22" s="1923">
        <v>185000</v>
      </c>
      <c r="F22" s="1923">
        <f>C22-D22+E22</f>
        <v>267606</v>
      </c>
      <c r="G22" s="222"/>
      <c r="Q22" s="222"/>
      <c r="R22" s="222"/>
      <c r="T22" s="1909" t="s">
        <v>83</v>
      </c>
      <c r="U22" s="50" t="s">
        <v>60</v>
      </c>
      <c r="V22" s="1920">
        <v>332130</v>
      </c>
      <c r="W22" s="1920"/>
      <c r="X22" s="1920"/>
      <c r="Y22" s="1927"/>
    </row>
    <row r="23" spans="1:25" ht="39.75" customHeight="1" x14ac:dyDescent="0.25">
      <c r="A23" s="222"/>
      <c r="B23" s="1934"/>
      <c r="C23" s="1924"/>
      <c r="D23" s="1924"/>
      <c r="E23" s="1924"/>
      <c r="F23" s="1924"/>
      <c r="G23" s="222"/>
      <c r="Q23" s="222"/>
      <c r="R23" s="222"/>
      <c r="T23" s="1910"/>
      <c r="U23" s="50" t="s">
        <v>61</v>
      </c>
      <c r="V23" s="1920">
        <v>470510</v>
      </c>
      <c r="W23" s="1920"/>
      <c r="X23" s="1920"/>
      <c r="Y23" s="1927"/>
    </row>
    <row r="24" spans="1:25" ht="48" customHeight="1" x14ac:dyDescent="0.25">
      <c r="A24" s="222"/>
      <c r="B24" s="193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93" t="s">
        <v>47</v>
      </c>
      <c r="U24" s="51" t="s">
        <v>62</v>
      </c>
      <c r="V24" s="1921">
        <f>V14+V16+V17-V18-V19-V20-V22+V23-V21</f>
        <v>9013.6600000000326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10562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22"/>
      <c r="J33" s="222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00" t="s">
        <v>243</v>
      </c>
      <c r="U3" s="1900"/>
      <c r="V3" s="1900"/>
      <c r="W3" s="1900"/>
      <c r="X3" s="1900"/>
      <c r="Y3" s="1900"/>
    </row>
    <row r="4" spans="1:25" s="21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12" customFormat="1" ht="25.5" customHeight="1" x14ac:dyDescent="0.25">
      <c r="A5" s="1901"/>
      <c r="B5" s="190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30"/>
      <c r="R14" s="1930"/>
      <c r="S14" s="221"/>
      <c r="T14" s="1893" t="s">
        <v>46</v>
      </c>
      <c r="U14" s="213" t="s">
        <v>176</v>
      </c>
      <c r="V14" s="1918">
        <v>9014</v>
      </c>
      <c r="W14" s="1926"/>
      <c r="X14" s="1919"/>
    </row>
    <row r="15" spans="1:25" ht="22.5" customHeight="1" x14ac:dyDescent="0.25">
      <c r="A15" s="100" t="s">
        <v>38</v>
      </c>
      <c r="B15" s="1918">
        <v>229705</v>
      </c>
      <c r="C15" s="1919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920">
        <v>0</v>
      </c>
      <c r="R15" s="1920"/>
      <c r="S15" s="213">
        <v>0</v>
      </c>
      <c r="T15" s="1893"/>
      <c r="U15" s="213" t="s">
        <v>64</v>
      </c>
      <c r="V15" s="1920">
        <v>10562</v>
      </c>
      <c r="W15" s="1920"/>
      <c r="X15" s="1920"/>
    </row>
    <row r="16" spans="1:25" ht="24.75" customHeight="1" x14ac:dyDescent="0.25">
      <c r="A16" s="100" t="s">
        <v>39</v>
      </c>
      <c r="B16" s="1918">
        <v>228571</v>
      </c>
      <c r="C16" s="1919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883"/>
      <c r="R16" s="1883"/>
      <c r="S16" s="218"/>
      <c r="T16" s="1912" t="s">
        <v>55</v>
      </c>
      <c r="U16" s="1912"/>
      <c r="V16" s="1925">
        <f>Y12</f>
        <v>223130.05250000002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83"/>
      <c r="R17" s="1883"/>
      <c r="S17" s="215"/>
      <c r="T17" s="1931" t="s">
        <v>211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223089</v>
      </c>
      <c r="C18" s="1919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20"/>
      <c r="R18" s="1920"/>
      <c r="S18" s="213"/>
      <c r="T18" s="1912" t="s">
        <v>57</v>
      </c>
      <c r="U18" s="1912"/>
      <c r="V18" s="1920">
        <f>800+210</f>
        <v>1010</v>
      </c>
      <c r="W18" s="1920"/>
      <c r="X18" s="1920"/>
      <c r="Y18" s="1927" t="s">
        <v>244</v>
      </c>
    </row>
    <row r="19" spans="1:25" ht="25.5" customHeight="1" x14ac:dyDescent="0.25">
      <c r="A19" s="100" t="s">
        <v>41</v>
      </c>
      <c r="B19" s="1918">
        <f>B15+B16+B17-B18</f>
        <v>235187</v>
      </c>
      <c r="C19" s="1919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918">
        <f t="shared" ref="Q19" si="14">Q15+Q16+Q17-Q18</f>
        <v>0</v>
      </c>
      <c r="R19" s="1919"/>
      <c r="S19" s="213">
        <f>S15+S16-S17-S18</f>
        <v>0</v>
      </c>
      <c r="T19" s="1914" t="s">
        <v>48</v>
      </c>
      <c r="U19" s="49" t="s">
        <v>58</v>
      </c>
      <c r="V19" s="1920">
        <v>185000</v>
      </c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226367.48750000002</v>
      </c>
      <c r="C20" s="1943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42">
        <f>241*Q19</f>
        <v>0</v>
      </c>
      <c r="R20" s="1943"/>
      <c r="S20" s="211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596881.98750000005</v>
      </c>
      <c r="C21" s="1941"/>
      <c r="O21" s="222"/>
      <c r="P21" s="222"/>
      <c r="Q21" s="222"/>
      <c r="R21" s="222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267606</v>
      </c>
      <c r="D22" s="1923">
        <v>185000</v>
      </c>
      <c r="E22" s="1923">
        <v>220000</v>
      </c>
      <c r="F22" s="1923">
        <f>C22-D22+E22</f>
        <v>302606</v>
      </c>
      <c r="G22" s="222"/>
      <c r="Q22" s="222"/>
      <c r="R22" s="222"/>
      <c r="T22" s="1909" t="s">
        <v>83</v>
      </c>
      <c r="U22" s="50" t="s">
        <v>60</v>
      </c>
      <c r="V22" s="1920">
        <v>220160</v>
      </c>
      <c r="W22" s="1920"/>
      <c r="X22" s="1920"/>
      <c r="Y22" s="1927"/>
    </row>
    <row r="23" spans="1:25" ht="39.75" customHeight="1" x14ac:dyDescent="0.25">
      <c r="A23" s="222"/>
      <c r="B23" s="1934"/>
      <c r="C23" s="1924"/>
      <c r="D23" s="1924"/>
      <c r="E23" s="1924"/>
      <c r="F23" s="1924"/>
      <c r="G23" s="222"/>
      <c r="Q23" s="222"/>
      <c r="R23" s="222"/>
      <c r="T23" s="1910"/>
      <c r="U23" s="50" t="s">
        <v>61</v>
      </c>
      <c r="V23" s="1920">
        <v>185000</v>
      </c>
      <c r="W23" s="1920"/>
      <c r="X23" s="1920"/>
      <c r="Y23" s="1927"/>
    </row>
    <row r="24" spans="1:25" ht="48" customHeight="1" x14ac:dyDescent="0.25">
      <c r="A24" s="222"/>
      <c r="B24" s="193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93" t="s">
        <v>47</v>
      </c>
      <c r="U24" s="51" t="s">
        <v>62</v>
      </c>
      <c r="V24" s="1921">
        <f>V14+V16+V17-V18-V19-V20-V22+V23-V21</f>
        <v>10974.05250000002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45722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22"/>
      <c r="J33" s="222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00" t="s">
        <v>245</v>
      </c>
      <c r="U3" s="1900"/>
      <c r="V3" s="1900"/>
      <c r="W3" s="1900"/>
      <c r="X3" s="1900"/>
      <c r="Y3" s="1900"/>
    </row>
    <row r="4" spans="1:25" s="21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12" customFormat="1" ht="25.5" customHeight="1" x14ac:dyDescent="0.25">
      <c r="A5" s="1901"/>
      <c r="B5" s="190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30"/>
      <c r="R14" s="1930"/>
      <c r="S14" s="221"/>
      <c r="T14" s="1893" t="s">
        <v>46</v>
      </c>
      <c r="U14" s="213" t="s">
        <v>176</v>
      </c>
      <c r="V14" s="1918">
        <v>10974</v>
      </c>
      <c r="W14" s="1926"/>
      <c r="X14" s="1919"/>
    </row>
    <row r="15" spans="1:25" ht="22.5" customHeight="1" x14ac:dyDescent="0.25">
      <c r="A15" s="100" t="s">
        <v>38</v>
      </c>
      <c r="B15" s="1918">
        <v>235187</v>
      </c>
      <c r="C15" s="1919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920">
        <v>0</v>
      </c>
      <c r="R15" s="1920"/>
      <c r="S15" s="213">
        <v>0</v>
      </c>
      <c r="T15" s="1893"/>
      <c r="U15" s="213" t="s">
        <v>64</v>
      </c>
      <c r="V15" s="1920">
        <v>45722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1883"/>
      <c r="R16" s="1883"/>
      <c r="S16" s="218"/>
      <c r="T16" s="1912" t="s">
        <v>55</v>
      </c>
      <c r="U16" s="1912"/>
      <c r="V16" s="1925">
        <f>Y12</f>
        <v>25189.695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83"/>
      <c r="R17" s="1883"/>
      <c r="S17" s="215"/>
      <c r="T17" s="1931" t="s">
        <v>211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25902</v>
      </c>
      <c r="C18" s="1919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20"/>
      <c r="R18" s="1920"/>
      <c r="S18" s="213"/>
      <c r="T18" s="1912" t="s">
        <v>57</v>
      </c>
      <c r="U18" s="1912"/>
      <c r="V18" s="1920">
        <v>150</v>
      </c>
      <c r="W18" s="1920"/>
      <c r="X18" s="1920"/>
      <c r="Y18" s="1927" t="s">
        <v>246</v>
      </c>
    </row>
    <row r="19" spans="1:25" ht="25.5" customHeight="1" x14ac:dyDescent="0.25">
      <c r="A19" s="100" t="s">
        <v>41</v>
      </c>
      <c r="B19" s="1918">
        <f>B15+B16+B17-B18</f>
        <v>209285</v>
      </c>
      <c r="C19" s="1919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918">
        <f t="shared" ref="Q19" si="14">Q15+Q16+Q17-Q18</f>
        <v>0</v>
      </c>
      <c r="R19" s="1919"/>
      <c r="S19" s="213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201436.8125</v>
      </c>
      <c r="C20" s="1943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42">
        <f>241*Q19</f>
        <v>0</v>
      </c>
      <c r="R20" s="1943"/>
      <c r="S20" s="211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571951.3125</v>
      </c>
      <c r="C21" s="1941"/>
      <c r="O21" s="222"/>
      <c r="P21" s="222"/>
      <c r="Q21" s="222"/>
      <c r="R21" s="222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302606</v>
      </c>
      <c r="D22" s="1923"/>
      <c r="E22" s="1923"/>
      <c r="F22" s="1923">
        <f>C22-D22+E22</f>
        <v>302606</v>
      </c>
      <c r="G22" s="222"/>
      <c r="Q22" s="222"/>
      <c r="R22" s="222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222"/>
      <c r="B23" s="1934"/>
      <c r="C23" s="1924"/>
      <c r="D23" s="1924"/>
      <c r="E23" s="1924"/>
      <c r="F23" s="1924"/>
      <c r="G23" s="222"/>
      <c r="Q23" s="222"/>
      <c r="R23" s="222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222"/>
      <c r="B24" s="193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93" t="s">
        <v>47</v>
      </c>
      <c r="U24" s="51" t="s">
        <v>62</v>
      </c>
      <c r="V24" s="1921">
        <f>V14+V16+V17-V18-V19-V20-V22+V23-V21</f>
        <v>36013.695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45722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22"/>
      <c r="J33" s="222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00" t="s">
        <v>247</v>
      </c>
      <c r="U3" s="1900"/>
      <c r="V3" s="1900"/>
      <c r="W3" s="1900"/>
      <c r="X3" s="1900"/>
      <c r="Y3" s="1900"/>
    </row>
    <row r="4" spans="1:25" s="21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12" customFormat="1" ht="25.5" customHeight="1" x14ac:dyDescent="0.25">
      <c r="A5" s="1901"/>
      <c r="B5" s="190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30"/>
      <c r="R14" s="1930"/>
      <c r="S14" s="221"/>
      <c r="T14" s="1893" t="s">
        <v>46</v>
      </c>
      <c r="U14" s="213" t="s">
        <v>176</v>
      </c>
      <c r="V14" s="1918">
        <v>36014</v>
      </c>
      <c r="W14" s="1926"/>
      <c r="X14" s="1919"/>
    </row>
    <row r="15" spans="1:25" ht="22.5" customHeight="1" x14ac:dyDescent="0.25">
      <c r="A15" s="100" t="s">
        <v>38</v>
      </c>
      <c r="B15" s="1918">
        <v>209285</v>
      </c>
      <c r="C15" s="1919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920">
        <v>0</v>
      </c>
      <c r="R15" s="1920"/>
      <c r="S15" s="213">
        <v>0</v>
      </c>
      <c r="T15" s="1893"/>
      <c r="U15" s="213" t="s">
        <v>64</v>
      </c>
      <c r="V15" s="1920">
        <v>45722</v>
      </c>
      <c r="W15" s="1920"/>
      <c r="X15" s="1920"/>
    </row>
    <row r="16" spans="1:25" ht="24.75" customHeight="1" x14ac:dyDescent="0.25">
      <c r="A16" s="100" t="s">
        <v>39</v>
      </c>
      <c r="B16" s="1918">
        <v>103890</v>
      </c>
      <c r="C16" s="1919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883"/>
      <c r="R16" s="1883"/>
      <c r="S16" s="218"/>
      <c r="T16" s="1912" t="s">
        <v>55</v>
      </c>
      <c r="U16" s="1912"/>
      <c r="V16" s="1925">
        <f>Y12</f>
        <v>136980.36499999999</v>
      </c>
      <c r="W16" s="1925"/>
      <c r="X16" s="1920"/>
    </row>
    <row r="17" spans="1:25" ht="28.5" customHeight="1" x14ac:dyDescent="0.25">
      <c r="A17" s="101" t="s">
        <v>44</v>
      </c>
      <c r="B17" s="1918">
        <v>60215</v>
      </c>
      <c r="C17" s="191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83"/>
      <c r="R17" s="1883"/>
      <c r="S17" s="215"/>
      <c r="T17" s="1931" t="s">
        <v>211</v>
      </c>
      <c r="U17" s="1932"/>
      <c r="V17" s="1920">
        <v>100000</v>
      </c>
      <c r="W17" s="1920"/>
      <c r="X17" s="1920"/>
    </row>
    <row r="18" spans="1:25" ht="27" customHeight="1" x14ac:dyDescent="0.25">
      <c r="A18" s="100" t="s">
        <v>40</v>
      </c>
      <c r="B18" s="1922">
        <f>C12</f>
        <v>139114</v>
      </c>
      <c r="C18" s="1919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20"/>
      <c r="R18" s="1920"/>
      <c r="S18" s="213"/>
      <c r="T18" s="1912" t="s">
        <v>57</v>
      </c>
      <c r="U18" s="1912"/>
      <c r="V18" s="1920">
        <f>450+700+50+400+3300</f>
        <v>4900</v>
      </c>
      <c r="W18" s="1920"/>
      <c r="X18" s="1920"/>
      <c r="Y18" s="1927" t="s">
        <v>248</v>
      </c>
    </row>
    <row r="19" spans="1:25" ht="25.5" customHeight="1" x14ac:dyDescent="0.25">
      <c r="A19" s="100" t="s">
        <v>41</v>
      </c>
      <c r="B19" s="1918">
        <f>B15+B16+B17-B18</f>
        <v>234276</v>
      </c>
      <c r="C19" s="1919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918">
        <f t="shared" ref="Q19" si="14">Q15+Q16+Q17-Q18</f>
        <v>0</v>
      </c>
      <c r="R19" s="1919"/>
      <c r="S19" s="213">
        <f>S15+S16-S17-S18</f>
        <v>0</v>
      </c>
      <c r="T19" s="1914" t="s">
        <v>48</v>
      </c>
      <c r="U19" s="49" t="s">
        <v>58</v>
      </c>
      <c r="V19" s="1920">
        <v>302600</v>
      </c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225490.65</v>
      </c>
      <c r="C20" s="1943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42">
        <f>241*Q19</f>
        <v>0</v>
      </c>
      <c r="R20" s="1943"/>
      <c r="S20" s="211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868963.15</v>
      </c>
      <c r="C21" s="1941"/>
      <c r="O21" s="222"/>
      <c r="P21" s="222"/>
      <c r="Q21" s="222"/>
      <c r="R21" s="222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302606</v>
      </c>
      <c r="D22" s="1923">
        <v>302600</v>
      </c>
      <c r="E22" s="1923">
        <v>374644</v>
      </c>
      <c r="F22" s="1923">
        <f>C22-D22+E22</f>
        <v>374650</v>
      </c>
      <c r="G22" s="222"/>
      <c r="Q22" s="222"/>
      <c r="R22" s="222"/>
      <c r="T22" s="1909" t="s">
        <v>83</v>
      </c>
      <c r="U22" s="50" t="s">
        <v>60</v>
      </c>
      <c r="V22" s="1920">
        <v>143470</v>
      </c>
      <c r="W22" s="1920"/>
      <c r="X22" s="1920"/>
      <c r="Y22" s="1927"/>
    </row>
    <row r="23" spans="1:25" ht="39.75" customHeight="1" x14ac:dyDescent="0.25">
      <c r="A23" s="222"/>
      <c r="B23" s="1934"/>
      <c r="C23" s="1924"/>
      <c r="D23" s="1924"/>
      <c r="E23" s="1924"/>
      <c r="F23" s="1924"/>
      <c r="G23" s="222"/>
      <c r="Q23" s="222"/>
      <c r="R23" s="222"/>
      <c r="T23" s="1910"/>
      <c r="U23" s="50" t="s">
        <v>61</v>
      </c>
      <c r="V23" s="1920">
        <v>178000</v>
      </c>
      <c r="W23" s="1920"/>
      <c r="X23" s="1920"/>
      <c r="Y23" s="1927"/>
    </row>
    <row r="24" spans="1:25" ht="48" customHeight="1" x14ac:dyDescent="0.25">
      <c r="A24" s="222"/>
      <c r="B24" s="193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93" t="s">
        <v>47</v>
      </c>
      <c r="U24" s="51" t="s">
        <v>62</v>
      </c>
      <c r="V24" s="1921">
        <f>V14+V16+V17-V18-V19-V20-V22+V23-V21</f>
        <v>24.364999999990687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11192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22"/>
      <c r="J33" s="222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00" t="s">
        <v>249</v>
      </c>
      <c r="U3" s="1900"/>
      <c r="V3" s="1900"/>
      <c r="W3" s="1900"/>
      <c r="X3" s="1900"/>
      <c r="Y3" s="1900"/>
    </row>
    <row r="4" spans="1:25" s="21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12" customFormat="1" ht="25.5" customHeight="1" x14ac:dyDescent="0.25">
      <c r="A5" s="1901"/>
      <c r="B5" s="190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30"/>
      <c r="R14" s="1930"/>
      <c r="S14" s="221"/>
      <c r="T14" s="1893" t="s">
        <v>46</v>
      </c>
      <c r="U14" s="213" t="s">
        <v>176</v>
      </c>
      <c r="V14" s="1918">
        <v>24</v>
      </c>
      <c r="W14" s="1926"/>
      <c r="X14" s="1919"/>
    </row>
    <row r="15" spans="1:25" ht="22.5" customHeight="1" x14ac:dyDescent="0.25">
      <c r="A15" s="100" t="s">
        <v>38</v>
      </c>
      <c r="B15" s="1918">
        <v>234276</v>
      </c>
      <c r="C15" s="1919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920">
        <v>0</v>
      </c>
      <c r="R15" s="1920"/>
      <c r="S15" s="213">
        <v>0</v>
      </c>
      <c r="T15" s="1893"/>
      <c r="U15" s="213" t="s">
        <v>64</v>
      </c>
      <c r="V15" s="1920">
        <v>11192</v>
      </c>
      <c r="W15" s="1920"/>
      <c r="X15" s="1920"/>
    </row>
    <row r="16" spans="1:25" ht="24.75" customHeight="1" x14ac:dyDescent="0.25">
      <c r="A16" s="100" t="s">
        <v>39</v>
      </c>
      <c r="B16" s="1918">
        <v>301298</v>
      </c>
      <c r="C16" s="1919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883"/>
      <c r="R16" s="1883"/>
      <c r="S16" s="218"/>
      <c r="T16" s="1912" t="s">
        <v>55</v>
      </c>
      <c r="U16" s="1912"/>
      <c r="V16" s="1925">
        <f>Y12</f>
        <v>247325.82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83"/>
      <c r="R17" s="1883"/>
      <c r="S17" s="215"/>
      <c r="T17" s="1931" t="s">
        <v>250</v>
      </c>
      <c r="U17" s="1932"/>
      <c r="V17" s="1920">
        <v>9000</v>
      </c>
      <c r="W17" s="1920"/>
      <c r="X17" s="1920"/>
    </row>
    <row r="18" spans="1:25" ht="27" customHeight="1" x14ac:dyDescent="0.25">
      <c r="A18" s="100" t="s">
        <v>40</v>
      </c>
      <c r="B18" s="1922">
        <f>C12</f>
        <v>180152</v>
      </c>
      <c r="C18" s="1919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920"/>
      <c r="R18" s="1920"/>
      <c r="S18" s="213"/>
      <c r="T18" s="1912" t="s">
        <v>57</v>
      </c>
      <c r="U18" s="1912"/>
      <c r="V18" s="1920">
        <f>500+57957</f>
        <v>58457</v>
      </c>
      <c r="W18" s="1920"/>
      <c r="X18" s="1920"/>
      <c r="Y18" s="1927" t="s">
        <v>251</v>
      </c>
    </row>
    <row r="19" spans="1:25" ht="25.5" customHeight="1" x14ac:dyDescent="0.25">
      <c r="A19" s="100" t="s">
        <v>41</v>
      </c>
      <c r="B19" s="1918">
        <f>B15+B16+B17-B18</f>
        <v>355422</v>
      </c>
      <c r="C19" s="1919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918">
        <f t="shared" ref="Q19" si="14">Q15+Q16+Q17-Q18</f>
        <v>0</v>
      </c>
      <c r="R19" s="1919"/>
      <c r="S19" s="213">
        <f>S15+S16-S17-S18</f>
        <v>0</v>
      </c>
      <c r="T19" s="1914" t="s">
        <v>48</v>
      </c>
      <c r="U19" s="49" t="s">
        <v>58</v>
      </c>
      <c r="V19" s="1920">
        <v>100000</v>
      </c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342093.67499999999</v>
      </c>
      <c r="C20" s="1943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42">
        <f>241*Q19</f>
        <v>0</v>
      </c>
      <c r="R20" s="1943"/>
      <c r="S20" s="211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913571.17500000005</v>
      </c>
      <c r="C21" s="1941"/>
      <c r="O21" s="222"/>
      <c r="P21" s="222"/>
      <c r="Q21" s="222"/>
      <c r="R21" s="222"/>
      <c r="T21" s="1931" t="s">
        <v>167</v>
      </c>
      <c r="U21" s="1932"/>
      <c r="V21" s="1918">
        <v>100000</v>
      </c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374650</v>
      </c>
      <c r="D22" s="1923">
        <v>100000</v>
      </c>
      <c r="E22" s="1923">
        <v>290000</v>
      </c>
      <c r="F22" s="1923">
        <f>C22-D22+E22</f>
        <v>564650</v>
      </c>
      <c r="G22" s="222"/>
      <c r="Q22" s="222"/>
      <c r="R22" s="222"/>
      <c r="T22" s="1909" t="s">
        <v>83</v>
      </c>
      <c r="U22" s="50" t="s">
        <v>60</v>
      </c>
      <c r="V22" s="1920">
        <v>172830</v>
      </c>
      <c r="W22" s="1920"/>
      <c r="X22" s="1920"/>
      <c r="Y22" s="1927"/>
    </row>
    <row r="23" spans="1:25" ht="39.75" customHeight="1" x14ac:dyDescent="0.25">
      <c r="A23" s="222"/>
      <c r="B23" s="1934"/>
      <c r="C23" s="1924"/>
      <c r="D23" s="1924"/>
      <c r="E23" s="1924"/>
      <c r="F23" s="1924"/>
      <c r="G23" s="222"/>
      <c r="Q23" s="222"/>
      <c r="R23" s="222"/>
      <c r="T23" s="1910"/>
      <c r="U23" s="50" t="s">
        <v>61</v>
      </c>
      <c r="V23" s="1920">
        <v>175000</v>
      </c>
      <c r="W23" s="1920"/>
      <c r="X23" s="1920"/>
      <c r="Y23" s="1927"/>
    </row>
    <row r="24" spans="1:25" ht="48" customHeight="1" x14ac:dyDescent="0.25">
      <c r="A24" s="222"/>
      <c r="B24" s="193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93" t="s">
        <v>47</v>
      </c>
      <c r="U24" s="51" t="s">
        <v>62</v>
      </c>
      <c r="V24" s="1921">
        <f>V14+V16+V17-V18-V19-V20-V22+V23-V21</f>
        <v>62.820000000006985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9022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22"/>
      <c r="J33" s="222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00" t="s">
        <v>252</v>
      </c>
      <c r="U3" s="1900"/>
      <c r="V3" s="1900"/>
      <c r="W3" s="1900"/>
      <c r="X3" s="1900"/>
      <c r="Y3" s="1900"/>
    </row>
    <row r="4" spans="1:25" s="21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12" customFormat="1" ht="25.5" customHeight="1" x14ac:dyDescent="0.25">
      <c r="A5" s="1901"/>
      <c r="B5" s="190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30"/>
      <c r="R14" s="1930"/>
      <c r="S14" s="221"/>
      <c r="T14" s="1893" t="s">
        <v>46</v>
      </c>
      <c r="U14" s="213" t="s">
        <v>176</v>
      </c>
      <c r="V14" s="1918">
        <v>63</v>
      </c>
      <c r="W14" s="1926"/>
      <c r="X14" s="1919"/>
    </row>
    <row r="15" spans="1:25" ht="22.5" customHeight="1" x14ac:dyDescent="0.25">
      <c r="A15" s="100" t="s">
        <v>38</v>
      </c>
      <c r="B15" s="1918">
        <v>355422</v>
      </c>
      <c r="C15" s="1919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1920">
        <v>0</v>
      </c>
      <c r="R15" s="1920"/>
      <c r="S15" s="213">
        <v>0</v>
      </c>
      <c r="T15" s="1893"/>
      <c r="U15" s="213" t="s">
        <v>64</v>
      </c>
      <c r="V15" s="1920">
        <v>9022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1883"/>
      <c r="R16" s="1883"/>
      <c r="S16" s="218"/>
      <c r="T16" s="1912" t="s">
        <v>55</v>
      </c>
      <c r="U16" s="1912"/>
      <c r="V16" s="1925">
        <f>Y12</f>
        <v>401904.64250000002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83"/>
      <c r="R17" s="1883"/>
      <c r="S17" s="215"/>
      <c r="T17" s="1931" t="s">
        <v>250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150813</v>
      </c>
      <c r="C18" s="1919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20"/>
      <c r="R18" s="1920"/>
      <c r="S18" s="213"/>
      <c r="T18" s="1912" t="s">
        <v>57</v>
      </c>
      <c r="U18" s="1912"/>
      <c r="V18" s="1920">
        <f>500+850+1625+500+7000+1120+1624</f>
        <v>13219</v>
      </c>
      <c r="W18" s="1920"/>
      <c r="X18" s="1920"/>
      <c r="Y18" s="1927" t="s">
        <v>246</v>
      </c>
    </row>
    <row r="19" spans="1:25" ht="25.5" customHeight="1" x14ac:dyDescent="0.25">
      <c r="A19" s="100" t="s">
        <v>41</v>
      </c>
      <c r="B19" s="1918">
        <f>B15+B16+B17-B18</f>
        <v>204609</v>
      </c>
      <c r="C19" s="1919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918">
        <f t="shared" ref="Q19" si="14">Q15+Q16+Q17-Q18</f>
        <v>0</v>
      </c>
      <c r="R19" s="1919"/>
      <c r="S19" s="213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196936.16250000001</v>
      </c>
      <c r="C20" s="1943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42">
        <f>241*Q19</f>
        <v>0</v>
      </c>
      <c r="R20" s="1943"/>
      <c r="S20" s="211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515775.76250000001</v>
      </c>
      <c r="C21" s="1941"/>
      <c r="O21" s="222"/>
      <c r="P21" s="222"/>
      <c r="Q21" s="222"/>
      <c r="R21" s="222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564650</v>
      </c>
      <c r="D22" s="1923"/>
      <c r="E22" s="1923"/>
      <c r="F22" s="1923">
        <f>C22-D22+E22</f>
        <v>564650</v>
      </c>
      <c r="G22" s="222"/>
      <c r="Q22" s="222"/>
      <c r="R22" s="222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222"/>
      <c r="B23" s="1934"/>
      <c r="C23" s="1924"/>
      <c r="D23" s="1924"/>
      <c r="E23" s="1924"/>
      <c r="F23" s="1924"/>
      <c r="G23" s="222"/>
      <c r="Q23" s="222"/>
      <c r="R23" s="222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222"/>
      <c r="B24" s="193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93" t="s">
        <v>47</v>
      </c>
      <c r="U24" s="51" t="s">
        <v>62</v>
      </c>
      <c r="V24" s="1921">
        <f>V14+V16+V17-V18-V19-V20-V22+V23-V21</f>
        <v>388748.64250000002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9022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22"/>
      <c r="J33" s="222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00" t="s">
        <v>253</v>
      </c>
      <c r="U3" s="1900"/>
      <c r="V3" s="1900"/>
      <c r="W3" s="1900"/>
      <c r="X3" s="1900"/>
      <c r="Y3" s="1900"/>
    </row>
    <row r="4" spans="1:25" s="21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12" customFormat="1" ht="25.5" customHeight="1" x14ac:dyDescent="0.25">
      <c r="A5" s="1901"/>
      <c r="B5" s="190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30"/>
      <c r="R14" s="1930"/>
      <c r="S14" s="221"/>
      <c r="T14" s="1893" t="s">
        <v>46</v>
      </c>
      <c r="U14" s="213" t="s">
        <v>176</v>
      </c>
      <c r="V14" s="1918">
        <v>388749</v>
      </c>
      <c r="W14" s="1926"/>
      <c r="X14" s="1919"/>
    </row>
    <row r="15" spans="1:25" ht="22.5" customHeight="1" x14ac:dyDescent="0.25">
      <c r="A15" s="100" t="s">
        <v>38</v>
      </c>
      <c r="B15" s="1918">
        <v>204609</v>
      </c>
      <c r="C15" s="1919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1920">
        <v>0</v>
      </c>
      <c r="R15" s="1920"/>
      <c r="S15" s="213">
        <v>0</v>
      </c>
      <c r="T15" s="1893"/>
      <c r="U15" s="213" t="s">
        <v>64</v>
      </c>
      <c r="V15" s="1920">
        <v>9022</v>
      </c>
      <c r="W15" s="1920"/>
      <c r="X15" s="1920"/>
    </row>
    <row r="16" spans="1:25" ht="24.75" customHeight="1" x14ac:dyDescent="0.25">
      <c r="A16" s="100" t="s">
        <v>39</v>
      </c>
      <c r="B16" s="1918">
        <v>20779</v>
      </c>
      <c r="C16" s="1919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883"/>
      <c r="R16" s="1883"/>
      <c r="S16" s="218"/>
      <c r="T16" s="1912" t="s">
        <v>55</v>
      </c>
      <c r="U16" s="1912"/>
      <c r="V16" s="1925">
        <f>Y12</f>
        <v>203833.29499999998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83"/>
      <c r="R17" s="1883"/>
      <c r="S17" s="215"/>
      <c r="T17" s="1931" t="s">
        <v>250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196462</v>
      </c>
      <c r="C18" s="1919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20"/>
      <c r="R18" s="1920"/>
      <c r="S18" s="213"/>
      <c r="T18" s="1912" t="s">
        <v>57</v>
      </c>
      <c r="U18" s="1912"/>
      <c r="V18" s="1920">
        <f>450+366</f>
        <v>816</v>
      </c>
      <c r="W18" s="1920"/>
      <c r="X18" s="1920"/>
      <c r="Y18" s="1927" t="s">
        <v>254</v>
      </c>
    </row>
    <row r="19" spans="1:25" ht="25.5" customHeight="1" x14ac:dyDescent="0.25">
      <c r="A19" s="100" t="s">
        <v>41</v>
      </c>
      <c r="B19" s="1918">
        <f>B15+B16+B17-B18</f>
        <v>28926</v>
      </c>
      <c r="C19" s="1919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918">
        <f t="shared" ref="Q19" si="14">Q15+Q16+Q17-Q18</f>
        <v>0</v>
      </c>
      <c r="R19" s="1919"/>
      <c r="S19" s="213">
        <f>S15+S16-S17-S18</f>
        <v>0</v>
      </c>
      <c r="T19" s="1914" t="s">
        <v>48</v>
      </c>
      <c r="U19" s="49" t="s">
        <v>58</v>
      </c>
      <c r="V19" s="1920">
        <v>564650</v>
      </c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27841.275000000001</v>
      </c>
      <c r="C20" s="1943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42">
        <f>241*Q19</f>
        <v>0</v>
      </c>
      <c r="R20" s="1943"/>
      <c r="S20" s="211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334032.27500000002</v>
      </c>
      <c r="C21" s="1941"/>
      <c r="O21" s="222"/>
      <c r="P21" s="222"/>
      <c r="Q21" s="222"/>
      <c r="R21" s="222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564650</v>
      </c>
      <c r="D22" s="1923">
        <v>564650</v>
      </c>
      <c r="E22" s="1923">
        <v>20000</v>
      </c>
      <c r="F22" s="1923">
        <f>C22-D22+E22</f>
        <v>20000</v>
      </c>
      <c r="G22" s="222"/>
      <c r="Q22" s="222"/>
      <c r="R22" s="222"/>
      <c r="T22" s="1909" t="s">
        <v>83</v>
      </c>
      <c r="U22" s="50" t="s">
        <v>60</v>
      </c>
      <c r="V22" s="1920">
        <v>588650</v>
      </c>
      <c r="W22" s="1920"/>
      <c r="X22" s="1920"/>
      <c r="Y22" s="1927"/>
    </row>
    <row r="23" spans="1:25" ht="39.75" customHeight="1" x14ac:dyDescent="0.25">
      <c r="A23" s="222"/>
      <c r="B23" s="1934"/>
      <c r="C23" s="1924"/>
      <c r="D23" s="1924"/>
      <c r="E23" s="1924"/>
      <c r="F23" s="1924"/>
      <c r="G23" s="222"/>
      <c r="Q23" s="222"/>
      <c r="R23" s="222"/>
      <c r="T23" s="1910"/>
      <c r="U23" s="50" t="s">
        <v>61</v>
      </c>
      <c r="V23" s="1920">
        <v>564650</v>
      </c>
      <c r="W23" s="1920"/>
      <c r="X23" s="1920"/>
      <c r="Y23" s="1927"/>
    </row>
    <row r="24" spans="1:25" ht="48" customHeight="1" x14ac:dyDescent="0.25">
      <c r="A24" s="222"/>
      <c r="B24" s="193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93" t="s">
        <v>47</v>
      </c>
      <c r="U24" s="51" t="s">
        <v>62</v>
      </c>
      <c r="V24" s="1921">
        <f>V14+V16+V17-V18-V19-V20-V22+V23-V21</f>
        <v>3116.2949999999255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33022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22"/>
      <c r="J33" s="222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00" t="s">
        <v>255</v>
      </c>
      <c r="U3" s="1900"/>
      <c r="V3" s="1900"/>
      <c r="W3" s="1900"/>
      <c r="X3" s="1900"/>
      <c r="Y3" s="1900"/>
    </row>
    <row r="4" spans="1:25" s="21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12" customFormat="1" ht="25.5" customHeight="1" x14ac:dyDescent="0.25">
      <c r="A5" s="1901"/>
      <c r="B5" s="190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30" t="s">
        <v>256</v>
      </c>
      <c r="R14" s="1930"/>
      <c r="S14" s="221"/>
      <c r="T14" s="1893" t="s">
        <v>46</v>
      </c>
      <c r="U14" s="213" t="s">
        <v>176</v>
      </c>
      <c r="V14" s="1918">
        <v>3116</v>
      </c>
      <c r="W14" s="1926"/>
      <c r="X14" s="1919"/>
    </row>
    <row r="15" spans="1:25" ht="22.5" customHeight="1" x14ac:dyDescent="0.25">
      <c r="A15" s="100" t="s">
        <v>38</v>
      </c>
      <c r="B15" s="1918">
        <v>28926</v>
      </c>
      <c r="C15" s="1919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1920">
        <v>673</v>
      </c>
      <c r="R15" s="1920"/>
      <c r="S15" s="213">
        <v>0</v>
      </c>
      <c r="T15" s="1893"/>
      <c r="U15" s="213" t="s">
        <v>64</v>
      </c>
      <c r="V15" s="1920">
        <v>33022</v>
      </c>
      <c r="W15" s="1920"/>
      <c r="X15" s="1920"/>
    </row>
    <row r="16" spans="1:25" ht="24.75" customHeight="1" x14ac:dyDescent="0.25">
      <c r="A16" s="100" t="s">
        <v>39</v>
      </c>
      <c r="B16" s="1918">
        <v>389818</v>
      </c>
      <c r="C16" s="1919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1883"/>
      <c r="R16" s="1883"/>
      <c r="S16" s="218"/>
      <c r="T16" s="1912" t="s">
        <v>55</v>
      </c>
      <c r="U16" s="1912"/>
      <c r="V16" s="1925">
        <f>Y12</f>
        <v>103788.13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83"/>
      <c r="R17" s="1883"/>
      <c r="S17" s="215"/>
      <c r="T17" s="1931" t="s">
        <v>250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73268</v>
      </c>
      <c r="C18" s="1919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20">
        <v>135</v>
      </c>
      <c r="R18" s="1920"/>
      <c r="S18" s="213"/>
      <c r="T18" s="1912" t="s">
        <v>57</v>
      </c>
      <c r="U18" s="1912"/>
      <c r="V18" s="1920">
        <f>500+3742+16000</f>
        <v>20242</v>
      </c>
      <c r="W18" s="1920"/>
      <c r="X18" s="1920"/>
      <c r="Y18" s="1927" t="s">
        <v>257</v>
      </c>
    </row>
    <row r="19" spans="1:25" ht="25.5" customHeight="1" x14ac:dyDescent="0.25">
      <c r="A19" s="100" t="s">
        <v>41</v>
      </c>
      <c r="B19" s="1918">
        <f>B15+B16+B17-B18</f>
        <v>345476</v>
      </c>
      <c r="C19" s="1919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918">
        <f t="shared" ref="Q19" si="14">Q15+Q16+Q17-Q18</f>
        <v>538</v>
      </c>
      <c r="R19" s="1919"/>
      <c r="S19" s="213">
        <f>S15+S16-S17-S18</f>
        <v>0</v>
      </c>
      <c r="T19" s="1914" t="s">
        <v>48</v>
      </c>
      <c r="U19" s="49" t="s">
        <v>58</v>
      </c>
      <c r="V19" s="1920">
        <v>20000</v>
      </c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332520.65000000002</v>
      </c>
      <c r="C20" s="1943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42">
        <f>241*Q19</f>
        <v>129658</v>
      </c>
      <c r="R20" s="1943"/>
      <c r="S20" s="211">
        <f>241*S19</f>
        <v>0</v>
      </c>
      <c r="T20" s="1915"/>
      <c r="U20" s="49" t="s">
        <v>59</v>
      </c>
      <c r="V20" s="1920">
        <v>8435</v>
      </c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1258911.6499999999</v>
      </c>
      <c r="C21" s="1941"/>
      <c r="O21" s="222"/>
      <c r="P21" s="222"/>
      <c r="Q21" s="222"/>
      <c r="R21" s="222"/>
      <c r="T21" s="1931" t="s">
        <v>167</v>
      </c>
      <c r="U21" s="1932"/>
      <c r="V21" s="1918">
        <v>70000</v>
      </c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20000</v>
      </c>
      <c r="D22" s="1923">
        <v>20000</v>
      </c>
      <c r="E22" s="1923">
        <v>1018637</v>
      </c>
      <c r="F22" s="1923">
        <f>C22-D22+E22</f>
        <v>1018637</v>
      </c>
      <c r="G22" s="222"/>
      <c r="Q22" s="222"/>
      <c r="R22" s="222"/>
      <c r="T22" s="1909" t="s">
        <v>83</v>
      </c>
      <c r="U22" s="50" t="s">
        <v>60</v>
      </c>
      <c r="V22" s="1920">
        <v>71460</v>
      </c>
      <c r="W22" s="1920"/>
      <c r="X22" s="1920"/>
      <c r="Y22" s="1927"/>
    </row>
    <row r="23" spans="1:25" ht="39.75" customHeight="1" x14ac:dyDescent="0.25">
      <c r="A23" s="222"/>
      <c r="B23" s="1934"/>
      <c r="C23" s="1924"/>
      <c r="D23" s="1924"/>
      <c r="E23" s="1924"/>
      <c r="F23" s="1924"/>
      <c r="G23" s="222"/>
      <c r="Q23" s="222"/>
      <c r="R23" s="222"/>
      <c r="T23" s="1910"/>
      <c r="U23" s="50" t="s">
        <v>61</v>
      </c>
      <c r="V23" s="1920">
        <v>90000</v>
      </c>
      <c r="W23" s="1920"/>
      <c r="X23" s="1920"/>
      <c r="Y23" s="1927"/>
    </row>
    <row r="24" spans="1:25" ht="48" customHeight="1" x14ac:dyDescent="0.25">
      <c r="A24" s="222"/>
      <c r="B24" s="193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93" t="s">
        <v>47</v>
      </c>
      <c r="U24" s="51" t="s">
        <v>62</v>
      </c>
      <c r="V24" s="1921">
        <f>V14+V16+V17-V18-V19-V20-V22+V23-V21</f>
        <v>6767.1300000000047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14482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22"/>
      <c r="J33" s="222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00" t="s">
        <v>258</v>
      </c>
      <c r="U3" s="1900"/>
      <c r="V3" s="1900"/>
      <c r="W3" s="1900"/>
      <c r="X3" s="1900"/>
      <c r="Y3" s="1900"/>
    </row>
    <row r="4" spans="1:25" s="21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12" customFormat="1" ht="25.5" customHeight="1" x14ac:dyDescent="0.25">
      <c r="A5" s="1901"/>
      <c r="B5" s="190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30" t="s">
        <v>256</v>
      </c>
      <c r="R14" s="1930"/>
      <c r="S14" s="221"/>
      <c r="T14" s="1893" t="s">
        <v>46</v>
      </c>
      <c r="U14" s="213" t="s">
        <v>176</v>
      </c>
      <c r="V14" s="1918">
        <v>6767</v>
      </c>
      <c r="W14" s="1926"/>
      <c r="X14" s="1919"/>
    </row>
    <row r="15" spans="1:25" ht="22.5" customHeight="1" x14ac:dyDescent="0.25">
      <c r="A15" s="100" t="s">
        <v>38</v>
      </c>
      <c r="B15" s="1918">
        <v>345476</v>
      </c>
      <c r="C15" s="1919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1920">
        <v>538</v>
      </c>
      <c r="R15" s="1920"/>
      <c r="S15" s="213">
        <v>0</v>
      </c>
      <c r="T15" s="1893"/>
      <c r="U15" s="213" t="s">
        <v>64</v>
      </c>
      <c r="V15" s="1920">
        <v>14482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1883"/>
      <c r="R16" s="1883"/>
      <c r="S16" s="218"/>
      <c r="T16" s="1912" t="s">
        <v>55</v>
      </c>
      <c r="U16" s="1912"/>
      <c r="V16" s="1925">
        <f>Y12</f>
        <v>214915.75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83"/>
      <c r="R17" s="1883"/>
      <c r="S17" s="215"/>
      <c r="T17" s="1931" t="s">
        <v>250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69500</v>
      </c>
      <c r="C18" s="1919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1920"/>
      <c r="R18" s="1920"/>
      <c r="S18" s="213"/>
      <c r="T18" s="1912" t="s">
        <v>57</v>
      </c>
      <c r="U18" s="1912"/>
      <c r="V18" s="1920">
        <f>450+250</f>
        <v>700</v>
      </c>
      <c r="W18" s="1920"/>
      <c r="X18" s="1920"/>
      <c r="Y18" s="1927" t="s">
        <v>259</v>
      </c>
    </row>
    <row r="19" spans="1:25" ht="25.5" customHeight="1" x14ac:dyDescent="0.25">
      <c r="A19" s="100" t="s">
        <v>41</v>
      </c>
      <c r="B19" s="1918">
        <f>B15+B16+B17-B18</f>
        <v>275976</v>
      </c>
      <c r="C19" s="1919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918">
        <f t="shared" ref="Q19" si="14">Q15+Q16+Q17-Q18</f>
        <v>538</v>
      </c>
      <c r="R19" s="1919"/>
      <c r="S19" s="213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265626.90000000002</v>
      </c>
      <c r="C20" s="1943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942">
        <f>241*Q19</f>
        <v>129658</v>
      </c>
      <c r="R20" s="1943"/>
      <c r="S20" s="211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1046201.2</v>
      </c>
      <c r="C21" s="1941"/>
      <c r="O21" s="222"/>
      <c r="P21" s="222"/>
      <c r="Q21" s="222"/>
      <c r="R21" s="222"/>
      <c r="T21" s="1931" t="s">
        <v>167</v>
      </c>
      <c r="U21" s="1932"/>
      <c r="V21" s="1918">
        <v>80000</v>
      </c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1018637</v>
      </c>
      <c r="D22" s="1923"/>
      <c r="E22" s="1923"/>
      <c r="F22" s="1923">
        <f>C22-D22+E22</f>
        <v>1018637</v>
      </c>
      <c r="G22" s="222"/>
      <c r="Q22" s="222"/>
      <c r="R22" s="222"/>
      <c r="T22" s="1909" t="s">
        <v>83</v>
      </c>
      <c r="U22" s="50" t="s">
        <v>60</v>
      </c>
      <c r="V22" s="1920">
        <v>205470</v>
      </c>
      <c r="W22" s="1920"/>
      <c r="X22" s="1920"/>
      <c r="Y22" s="1927"/>
    </row>
    <row r="23" spans="1:25" ht="39.75" customHeight="1" x14ac:dyDescent="0.25">
      <c r="A23" s="222"/>
      <c r="B23" s="1934"/>
      <c r="C23" s="1924"/>
      <c r="D23" s="1924"/>
      <c r="E23" s="1924"/>
      <c r="F23" s="1924"/>
      <c r="G23" s="222"/>
      <c r="Q23" s="222"/>
      <c r="R23" s="222"/>
      <c r="T23" s="1910"/>
      <c r="U23" s="50" t="s">
        <v>61</v>
      </c>
      <c r="V23" s="1920">
        <v>80000</v>
      </c>
      <c r="W23" s="1920"/>
      <c r="X23" s="1920"/>
      <c r="Y23" s="1927"/>
    </row>
    <row r="24" spans="1:25" ht="48" customHeight="1" x14ac:dyDescent="0.25">
      <c r="A24" s="222"/>
      <c r="B24" s="193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93" t="s">
        <v>47</v>
      </c>
      <c r="U24" s="51" t="s">
        <v>62</v>
      </c>
      <c r="V24" s="1921">
        <f>V14+V16+V17-V18-V19-V20-V22+V23-V21</f>
        <v>15512.75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139952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22"/>
      <c r="J33" s="222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00" t="s">
        <v>260</v>
      </c>
      <c r="U3" s="1900"/>
      <c r="V3" s="1900"/>
      <c r="W3" s="1900"/>
      <c r="X3" s="1900"/>
      <c r="Y3" s="1900"/>
    </row>
    <row r="4" spans="1:25" s="21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12" customFormat="1" ht="25.5" customHeight="1" x14ac:dyDescent="0.25">
      <c r="A5" s="1901"/>
      <c r="B5" s="190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30" t="s">
        <v>256</v>
      </c>
      <c r="R14" s="1930"/>
      <c r="S14" s="221"/>
      <c r="T14" s="1893" t="s">
        <v>46</v>
      </c>
      <c r="U14" s="213" t="s">
        <v>176</v>
      </c>
      <c r="V14" s="1918">
        <v>15513</v>
      </c>
      <c r="W14" s="1926"/>
      <c r="X14" s="1919"/>
    </row>
    <row r="15" spans="1:25" ht="22.5" customHeight="1" x14ac:dyDescent="0.25">
      <c r="A15" s="100" t="s">
        <v>38</v>
      </c>
      <c r="B15" s="1918">
        <v>275976</v>
      </c>
      <c r="C15" s="1919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1920">
        <v>538</v>
      </c>
      <c r="R15" s="1920"/>
      <c r="S15" s="213">
        <v>0</v>
      </c>
      <c r="T15" s="1893"/>
      <c r="U15" s="213" t="s">
        <v>64</v>
      </c>
      <c r="V15" s="1920">
        <v>139952</v>
      </c>
      <c r="W15" s="1920"/>
      <c r="X15" s="1920"/>
    </row>
    <row r="16" spans="1:25" ht="24.75" customHeight="1" x14ac:dyDescent="0.25">
      <c r="A16" s="100" t="s">
        <v>39</v>
      </c>
      <c r="B16" s="1918">
        <v>72727</v>
      </c>
      <c r="C16" s="1919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1883"/>
      <c r="R16" s="1883"/>
      <c r="S16" s="218"/>
      <c r="T16" s="1912" t="s">
        <v>55</v>
      </c>
      <c r="U16" s="1912"/>
      <c r="V16" s="1925">
        <f>Y12</f>
        <v>233442.84</v>
      </c>
      <c r="W16" s="1925"/>
      <c r="X16" s="1920"/>
    </row>
    <row r="17" spans="1:25" ht="28.5" customHeight="1" x14ac:dyDescent="0.25">
      <c r="A17" s="101" t="s">
        <v>44</v>
      </c>
      <c r="B17" s="1918">
        <v>26459</v>
      </c>
      <c r="C17" s="191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83"/>
      <c r="R17" s="1883"/>
      <c r="S17" s="215"/>
      <c r="T17" s="1931" t="s">
        <v>250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118224</v>
      </c>
      <c r="C18" s="1919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20">
        <v>86</v>
      </c>
      <c r="R18" s="1920"/>
      <c r="S18" s="213"/>
      <c r="T18" s="1912" t="s">
        <v>57</v>
      </c>
      <c r="U18" s="1912"/>
      <c r="V18" s="1920">
        <f>500+60+25467</f>
        <v>26027</v>
      </c>
      <c r="W18" s="1920"/>
      <c r="X18" s="1920"/>
      <c r="Y18" s="1927" t="s">
        <v>261</v>
      </c>
    </row>
    <row r="19" spans="1:25" ht="25.5" customHeight="1" x14ac:dyDescent="0.25">
      <c r="A19" s="100" t="s">
        <v>41</v>
      </c>
      <c r="B19" s="1918">
        <f>B15+B16+B17-B18</f>
        <v>256938</v>
      </c>
      <c r="C19" s="1919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918">
        <f t="shared" ref="Q19" si="14">Q15+Q16+Q17-Q18</f>
        <v>452</v>
      </c>
      <c r="R19" s="1919"/>
      <c r="S19" s="213">
        <f>S15+S16-S17-S18</f>
        <v>0</v>
      </c>
      <c r="T19" s="1914" t="s">
        <v>48</v>
      </c>
      <c r="U19" s="49" t="s">
        <v>58</v>
      </c>
      <c r="V19" s="1920">
        <v>323000</v>
      </c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247302.82500000001</v>
      </c>
      <c r="C20" s="1943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942">
        <f>241*Q19</f>
        <v>108932</v>
      </c>
      <c r="R20" s="1943"/>
      <c r="S20" s="211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910343.22499999998</v>
      </c>
      <c r="C21" s="1941"/>
      <c r="O21" s="222"/>
      <c r="P21" s="222"/>
      <c r="Q21" s="222"/>
      <c r="R21" s="222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1018637</v>
      </c>
      <c r="D22" s="1923">
        <v>323000</v>
      </c>
      <c r="E22" s="1923">
        <v>70000</v>
      </c>
      <c r="F22" s="1923">
        <f>C22-D22+E22</f>
        <v>765637</v>
      </c>
      <c r="G22" s="222"/>
      <c r="Q22" s="222"/>
      <c r="R22" s="222"/>
      <c r="T22" s="1909" t="s">
        <v>83</v>
      </c>
      <c r="U22" s="50" t="s">
        <v>60</v>
      </c>
      <c r="V22" s="1920">
        <v>192230</v>
      </c>
      <c r="W22" s="1920"/>
      <c r="X22" s="1920"/>
      <c r="Y22" s="1927"/>
    </row>
    <row r="23" spans="1:25" ht="39.75" customHeight="1" x14ac:dyDescent="0.25">
      <c r="A23" s="222"/>
      <c r="B23" s="1934"/>
      <c r="C23" s="1924"/>
      <c r="D23" s="1924"/>
      <c r="E23" s="1924"/>
      <c r="F23" s="1924"/>
      <c r="G23" s="222"/>
      <c r="Q23" s="222"/>
      <c r="R23" s="222"/>
      <c r="T23" s="1910"/>
      <c r="U23" s="50" t="s">
        <v>61</v>
      </c>
      <c r="V23" s="1920">
        <v>323000</v>
      </c>
      <c r="W23" s="1920"/>
      <c r="X23" s="1920"/>
      <c r="Y23" s="1927"/>
    </row>
    <row r="24" spans="1:25" ht="48" customHeight="1" x14ac:dyDescent="0.25">
      <c r="A24" s="222"/>
      <c r="B24" s="193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93" t="s">
        <v>47</v>
      </c>
      <c r="U24" s="51" t="s">
        <v>62</v>
      </c>
      <c r="V24" s="1921">
        <f>V14+V16+V17-V18-V19-V20-V22+V23-V21</f>
        <v>30698.839999999967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9182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22"/>
      <c r="J33" s="222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00" t="s">
        <v>262</v>
      </c>
      <c r="U3" s="1900"/>
      <c r="V3" s="1900"/>
      <c r="W3" s="1900"/>
      <c r="X3" s="1900"/>
      <c r="Y3" s="1900"/>
    </row>
    <row r="4" spans="1:25" s="21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12" customFormat="1" ht="25.5" customHeight="1" x14ac:dyDescent="0.25">
      <c r="A5" s="1901"/>
      <c r="B5" s="190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30" t="s">
        <v>256</v>
      </c>
      <c r="R14" s="1930"/>
      <c r="S14" s="221"/>
      <c r="T14" s="1893" t="s">
        <v>46</v>
      </c>
      <c r="U14" s="213" t="s">
        <v>176</v>
      </c>
      <c r="V14" s="1918">
        <v>30699</v>
      </c>
      <c r="W14" s="1926"/>
      <c r="X14" s="1919"/>
    </row>
    <row r="15" spans="1:25" ht="22.5" customHeight="1" x14ac:dyDescent="0.25">
      <c r="A15" s="100" t="s">
        <v>38</v>
      </c>
      <c r="B15" s="1918">
        <v>256938</v>
      </c>
      <c r="C15" s="1919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1920">
        <v>452</v>
      </c>
      <c r="R15" s="1920"/>
      <c r="S15" s="213">
        <v>0</v>
      </c>
      <c r="T15" s="1893"/>
      <c r="U15" s="213" t="s">
        <v>64</v>
      </c>
      <c r="V15" s="1920">
        <v>9182</v>
      </c>
      <c r="W15" s="1920"/>
      <c r="X15" s="1920"/>
    </row>
    <row r="16" spans="1:25" ht="24.75" customHeight="1" x14ac:dyDescent="0.25">
      <c r="A16" s="100" t="s">
        <v>39</v>
      </c>
      <c r="B16" s="1918">
        <v>415584</v>
      </c>
      <c r="C16" s="1919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1883"/>
      <c r="R16" s="1883"/>
      <c r="S16" s="218"/>
      <c r="T16" s="1912" t="s">
        <v>55</v>
      </c>
      <c r="U16" s="1912"/>
      <c r="V16" s="1925">
        <f>Y12</f>
        <v>261181.48250000001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83"/>
      <c r="R17" s="1883"/>
      <c r="S17" s="215"/>
      <c r="T17" s="1931" t="s">
        <v>250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158237</v>
      </c>
      <c r="C18" s="1919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20"/>
      <c r="R18" s="1920"/>
      <c r="S18" s="213"/>
      <c r="T18" s="1912" t="s">
        <v>57</v>
      </c>
      <c r="U18" s="1912"/>
      <c r="V18" s="1920">
        <f>450+80+1260</f>
        <v>1790</v>
      </c>
      <c r="W18" s="1920"/>
      <c r="X18" s="1920"/>
      <c r="Y18" s="1927" t="s">
        <v>263</v>
      </c>
    </row>
    <row r="19" spans="1:25" ht="25.5" customHeight="1" x14ac:dyDescent="0.25">
      <c r="A19" s="100" t="s">
        <v>41</v>
      </c>
      <c r="B19" s="1918">
        <f>B15+B16+B17-B18</f>
        <v>514285</v>
      </c>
      <c r="C19" s="1919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918">
        <f t="shared" ref="Q19" si="14">Q15+Q16+Q17-Q18</f>
        <v>452</v>
      </c>
      <c r="R19" s="1919"/>
      <c r="S19" s="213">
        <f>S15+S16-S17-S18</f>
        <v>0</v>
      </c>
      <c r="T19" s="1914" t="s">
        <v>48</v>
      </c>
      <c r="U19" s="49" t="s">
        <v>58</v>
      </c>
      <c r="V19" s="1920">
        <v>62000</v>
      </c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494999.3125</v>
      </c>
      <c r="C20" s="1943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942">
        <f>241*Q19</f>
        <v>108932</v>
      </c>
      <c r="R20" s="1943"/>
      <c r="S20" s="211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1262180.8125</v>
      </c>
      <c r="C21" s="1941"/>
      <c r="O21" s="222"/>
      <c r="P21" s="222"/>
      <c r="Q21" s="222"/>
      <c r="R21" s="222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765637</v>
      </c>
      <c r="D22" s="1923">
        <v>62000</v>
      </c>
      <c r="E22" s="1923">
        <v>610072</v>
      </c>
      <c r="F22" s="1923">
        <f>C22-D22+E22</f>
        <v>1313709</v>
      </c>
      <c r="G22" s="222"/>
      <c r="Q22" s="222"/>
      <c r="R22" s="222"/>
      <c r="T22" s="1909" t="s">
        <v>83</v>
      </c>
      <c r="U22" s="50" t="s">
        <v>60</v>
      </c>
      <c r="V22" s="1920">
        <v>62050</v>
      </c>
      <c r="W22" s="1920"/>
      <c r="X22" s="1920"/>
      <c r="Y22" s="1927"/>
    </row>
    <row r="23" spans="1:25" ht="39.75" customHeight="1" x14ac:dyDescent="0.25">
      <c r="A23" s="222"/>
      <c r="B23" s="1934"/>
      <c r="C23" s="1924"/>
      <c r="D23" s="1924"/>
      <c r="E23" s="1924"/>
      <c r="F23" s="1924"/>
      <c r="G23" s="222"/>
      <c r="Q23" s="222"/>
      <c r="R23" s="222"/>
      <c r="T23" s="1910"/>
      <c r="U23" s="50" t="s">
        <v>61</v>
      </c>
      <c r="V23" s="1920">
        <v>62000</v>
      </c>
      <c r="W23" s="1920"/>
      <c r="X23" s="1920"/>
      <c r="Y23" s="1927"/>
    </row>
    <row r="24" spans="1:25" ht="48" customHeight="1" x14ac:dyDescent="0.25">
      <c r="A24" s="222"/>
      <c r="B24" s="193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93" t="s">
        <v>47</v>
      </c>
      <c r="U24" s="51" t="s">
        <v>62</v>
      </c>
      <c r="V24" s="1921">
        <f>V14+V16+V17-V18-V19-V20-V22+V23-V21</f>
        <v>228040.48250000004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9232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22"/>
      <c r="J33" s="222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00" t="s">
        <v>264</v>
      </c>
      <c r="U3" s="1900"/>
      <c r="V3" s="1900"/>
      <c r="W3" s="1900"/>
      <c r="X3" s="1900"/>
      <c r="Y3" s="1900"/>
    </row>
    <row r="4" spans="1:25" s="21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12" customFormat="1" ht="25.5" customHeight="1" x14ac:dyDescent="0.25">
      <c r="A5" s="1901"/>
      <c r="B5" s="190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30" t="s">
        <v>256</v>
      </c>
      <c r="R14" s="1930"/>
      <c r="S14" s="221"/>
      <c r="T14" s="1893" t="s">
        <v>46</v>
      </c>
      <c r="U14" s="213" t="s">
        <v>176</v>
      </c>
      <c r="V14" s="1918">
        <v>228040</v>
      </c>
      <c r="W14" s="1926"/>
      <c r="X14" s="1919"/>
    </row>
    <row r="15" spans="1:25" ht="22.5" customHeight="1" x14ac:dyDescent="0.25">
      <c r="A15" s="100" t="s">
        <v>38</v>
      </c>
      <c r="B15" s="1918">
        <v>514285</v>
      </c>
      <c r="C15" s="1919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1920">
        <v>452</v>
      </c>
      <c r="R15" s="1920"/>
      <c r="S15" s="213">
        <v>0</v>
      </c>
      <c r="T15" s="1893"/>
      <c r="U15" s="213" t="s">
        <v>64</v>
      </c>
      <c r="V15" s="1920">
        <v>9232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1883"/>
      <c r="R16" s="1883"/>
      <c r="S16" s="218"/>
      <c r="T16" s="1912" t="s">
        <v>55</v>
      </c>
      <c r="U16" s="1912"/>
      <c r="V16" s="1925">
        <f>Y12</f>
        <v>190059.13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83"/>
      <c r="R17" s="1883"/>
      <c r="S17" s="215"/>
      <c r="T17" s="1931" t="s">
        <v>250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112468</v>
      </c>
      <c r="C18" s="1919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20"/>
      <c r="R18" s="1920"/>
      <c r="S18" s="213"/>
      <c r="T18" s="1912" t="s">
        <v>57</v>
      </c>
      <c r="U18" s="1912"/>
      <c r="V18" s="1920">
        <f>520+4000+50000+1071</f>
        <v>55591</v>
      </c>
      <c r="W18" s="1920"/>
      <c r="X18" s="1920"/>
      <c r="Y18" s="1927" t="s">
        <v>265</v>
      </c>
    </row>
    <row r="19" spans="1:25" ht="25.5" customHeight="1" x14ac:dyDescent="0.25">
      <c r="A19" s="100" t="s">
        <v>41</v>
      </c>
      <c r="B19" s="1918">
        <f>B15+B16+B17-B18</f>
        <v>401817</v>
      </c>
      <c r="C19" s="1919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918">
        <f t="shared" ref="Q19" si="14">Q15+Q16+Q17-Q18</f>
        <v>452</v>
      </c>
      <c r="R19" s="1919"/>
      <c r="S19" s="213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386748.86249999999</v>
      </c>
      <c r="C20" s="1943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942">
        <f>241*Q19</f>
        <v>108932</v>
      </c>
      <c r="R20" s="1943"/>
      <c r="S20" s="211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1074073.7625</v>
      </c>
      <c r="C21" s="1941"/>
      <c r="O21" s="222"/>
      <c r="P21" s="222"/>
      <c r="Q21" s="222"/>
      <c r="R21" s="222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1313709</v>
      </c>
      <c r="D22" s="1923"/>
      <c r="E22" s="1923"/>
      <c r="F22" s="1923">
        <f>C22-D22+E22</f>
        <v>1313709</v>
      </c>
      <c r="G22" s="222"/>
      <c r="Q22" s="222"/>
      <c r="R22" s="222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222"/>
      <c r="B23" s="1934"/>
      <c r="C23" s="1924"/>
      <c r="D23" s="1924"/>
      <c r="E23" s="1924"/>
      <c r="F23" s="1924"/>
      <c r="G23" s="222"/>
      <c r="Q23" s="222"/>
      <c r="R23" s="222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222"/>
      <c r="B24" s="193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93" t="s">
        <v>47</v>
      </c>
      <c r="U24" s="51" t="s">
        <v>62</v>
      </c>
      <c r="V24" s="1921">
        <f>V14+V16+V17-V18-V19-V20-V22+V23-V21</f>
        <v>362508.13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9232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22"/>
      <c r="J33" s="222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00" t="s">
        <v>266</v>
      </c>
      <c r="U3" s="1900"/>
      <c r="V3" s="1900"/>
      <c r="W3" s="1900"/>
      <c r="X3" s="1900"/>
      <c r="Y3" s="1900"/>
    </row>
    <row r="4" spans="1:25" s="21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12" customFormat="1" ht="25.5" customHeight="1" x14ac:dyDescent="0.25">
      <c r="A5" s="1901"/>
      <c r="B5" s="190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30" t="s">
        <v>256</v>
      </c>
      <c r="R14" s="1930"/>
      <c r="S14" s="221"/>
      <c r="T14" s="1893" t="s">
        <v>46</v>
      </c>
      <c r="U14" s="213" t="s">
        <v>176</v>
      </c>
      <c r="V14" s="1918">
        <v>362508</v>
      </c>
      <c r="W14" s="1926"/>
      <c r="X14" s="1919"/>
    </row>
    <row r="15" spans="1:25" ht="22.5" customHeight="1" x14ac:dyDescent="0.25">
      <c r="A15" s="100" t="s">
        <v>38</v>
      </c>
      <c r="B15" s="1918">
        <v>401817</v>
      </c>
      <c r="C15" s="1919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920">
        <v>452</v>
      </c>
      <c r="R15" s="1920"/>
      <c r="S15" s="213">
        <v>0</v>
      </c>
      <c r="T15" s="1893"/>
      <c r="U15" s="213" t="s">
        <v>64</v>
      </c>
      <c r="V15" s="1920">
        <v>9232</v>
      </c>
      <c r="W15" s="1920"/>
      <c r="X15" s="1920"/>
    </row>
    <row r="16" spans="1:25" ht="24.75" customHeight="1" x14ac:dyDescent="0.25">
      <c r="A16" s="100" t="s">
        <v>39</v>
      </c>
      <c r="B16" s="1918">
        <v>831168</v>
      </c>
      <c r="C16" s="1919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883"/>
      <c r="R16" s="1883"/>
      <c r="S16" s="218"/>
      <c r="T16" s="1912" t="s">
        <v>55</v>
      </c>
      <c r="U16" s="1912"/>
      <c r="V16" s="1925">
        <f>Y12</f>
        <v>224515.19750000001</v>
      </c>
      <c r="W16" s="1925"/>
      <c r="X16" s="1920"/>
    </row>
    <row r="17" spans="1:25" ht="28.5" customHeight="1" x14ac:dyDescent="0.25">
      <c r="A17" s="101" t="s">
        <v>44</v>
      </c>
      <c r="B17" s="1918">
        <v>28608</v>
      </c>
      <c r="C17" s="191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83"/>
      <c r="R17" s="1883"/>
      <c r="S17" s="215"/>
      <c r="T17" s="1931" t="s">
        <v>267</v>
      </c>
      <c r="U17" s="1932"/>
      <c r="V17" s="1920">
        <v>8000</v>
      </c>
      <c r="W17" s="1920"/>
      <c r="X17" s="1920"/>
    </row>
    <row r="18" spans="1:25" ht="27" customHeight="1" x14ac:dyDescent="0.25">
      <c r="A18" s="100" t="s">
        <v>40</v>
      </c>
      <c r="B18" s="1922">
        <f>C12</f>
        <v>127011</v>
      </c>
      <c r="C18" s="1919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20">
        <v>14</v>
      </c>
      <c r="R18" s="1920"/>
      <c r="S18" s="213"/>
      <c r="T18" s="1912" t="s">
        <v>57</v>
      </c>
      <c r="U18" s="1912"/>
      <c r="V18" s="1920">
        <f>470+2270+794+27535</f>
        <v>31069</v>
      </c>
      <c r="W18" s="1920"/>
      <c r="X18" s="1920"/>
      <c r="Y18" s="1927" t="s">
        <v>268</v>
      </c>
    </row>
    <row r="19" spans="1:25" ht="25.5" customHeight="1" x14ac:dyDescent="0.25">
      <c r="A19" s="100" t="s">
        <v>41</v>
      </c>
      <c r="B19" s="1918">
        <f>B15+B16+B17-B18</f>
        <v>1134582</v>
      </c>
      <c r="C19" s="1919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918">
        <f t="shared" ref="Q19" si="14">Q15+Q16+Q17-Q18</f>
        <v>438</v>
      </c>
      <c r="R19" s="1919"/>
      <c r="S19" s="213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1092035.175</v>
      </c>
      <c r="C20" s="1943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942">
        <f>241*Q19</f>
        <v>105558</v>
      </c>
      <c r="R20" s="1943"/>
      <c r="S20" s="211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1679052.7750000001</v>
      </c>
      <c r="C21" s="1941"/>
      <c r="O21" s="222"/>
      <c r="P21" s="222"/>
      <c r="Q21" s="222"/>
      <c r="R21" s="222"/>
      <c r="T21" s="1931" t="s">
        <v>167</v>
      </c>
      <c r="U21" s="1932"/>
      <c r="V21" s="1918">
        <v>8000</v>
      </c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1313709</v>
      </c>
      <c r="D22" s="1923"/>
      <c r="E22" s="1923">
        <v>800000</v>
      </c>
      <c r="F22" s="1923">
        <f>C22-D22+E22</f>
        <v>2113709</v>
      </c>
      <c r="G22" s="222"/>
      <c r="Q22" s="222"/>
      <c r="R22" s="222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222"/>
      <c r="B23" s="1934"/>
      <c r="C23" s="1924"/>
      <c r="D23" s="1924"/>
      <c r="E23" s="1924"/>
      <c r="F23" s="1924"/>
      <c r="G23" s="222"/>
      <c r="Q23" s="222"/>
      <c r="R23" s="222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222"/>
      <c r="B24" s="193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93" t="s">
        <v>47</v>
      </c>
      <c r="U24" s="51" t="s">
        <v>62</v>
      </c>
      <c r="V24" s="1921">
        <f>V14+V16+V17-V18-V19-V20-V22+V23-V21</f>
        <v>555954.19750000001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9232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22"/>
      <c r="J33" s="222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00" t="s">
        <v>271</v>
      </c>
      <c r="U3" s="1900"/>
      <c r="V3" s="1900"/>
      <c r="W3" s="1900"/>
      <c r="X3" s="1900"/>
      <c r="Y3" s="1900"/>
    </row>
    <row r="4" spans="1:25" s="21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12" customFormat="1" ht="25.5" customHeight="1" x14ac:dyDescent="0.25">
      <c r="A5" s="1901"/>
      <c r="B5" s="190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30" t="s">
        <v>256</v>
      </c>
      <c r="R14" s="1930"/>
      <c r="S14" s="221"/>
      <c r="T14" s="1893" t="s">
        <v>46</v>
      </c>
      <c r="U14" s="213" t="s">
        <v>176</v>
      </c>
      <c r="V14" s="1918">
        <v>555954</v>
      </c>
      <c r="W14" s="1926"/>
      <c r="X14" s="1919"/>
    </row>
    <row r="15" spans="1:25" ht="22.5" customHeight="1" x14ac:dyDescent="0.25">
      <c r="A15" s="100" t="s">
        <v>38</v>
      </c>
      <c r="B15" s="1918">
        <v>1134582</v>
      </c>
      <c r="C15" s="1919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920">
        <v>438</v>
      </c>
      <c r="R15" s="1920"/>
      <c r="S15" s="213">
        <v>0</v>
      </c>
      <c r="T15" s="1893"/>
      <c r="U15" s="213" t="s">
        <v>64</v>
      </c>
      <c r="V15" s="1920">
        <v>9232</v>
      </c>
      <c r="W15" s="1920"/>
      <c r="X15" s="1920"/>
    </row>
    <row r="16" spans="1:25" ht="24.75" customHeight="1" x14ac:dyDescent="0.25">
      <c r="A16" s="100" t="s">
        <v>39</v>
      </c>
      <c r="B16" s="1918">
        <v>363636</v>
      </c>
      <c r="C16" s="1919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883"/>
      <c r="R16" s="1883"/>
      <c r="S16" s="218"/>
      <c r="T16" s="1912" t="s">
        <v>55</v>
      </c>
      <c r="U16" s="1912"/>
      <c r="V16" s="1925">
        <f>Y12</f>
        <v>798243.58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83"/>
      <c r="R17" s="1883"/>
      <c r="S17" s="215"/>
      <c r="T17" s="1931" t="s">
        <v>267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731688</v>
      </c>
      <c r="C18" s="1919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20">
        <v>33</v>
      </c>
      <c r="R18" s="1920"/>
      <c r="S18" s="213"/>
      <c r="T18" s="1912" t="s">
        <v>57</v>
      </c>
      <c r="U18" s="1912"/>
      <c r="V18" s="1920">
        <f>770+823+5229</f>
        <v>6822</v>
      </c>
      <c r="W18" s="1920"/>
      <c r="X18" s="1920"/>
      <c r="Y18" s="1927" t="s">
        <v>269</v>
      </c>
    </row>
    <row r="19" spans="1:25" ht="25.5" customHeight="1" x14ac:dyDescent="0.25">
      <c r="A19" s="100" t="s">
        <v>41</v>
      </c>
      <c r="B19" s="1918">
        <f>B15+B16+B17-B18</f>
        <v>766530</v>
      </c>
      <c r="C19" s="1919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918">
        <f t="shared" ref="Q19" si="14">Q15+Q16+Q17-Q18</f>
        <v>405</v>
      </c>
      <c r="R19" s="1919"/>
      <c r="S19" s="213">
        <f>S15+S16-S17-S18</f>
        <v>0</v>
      </c>
      <c r="T19" s="1914" t="s">
        <v>48</v>
      </c>
      <c r="U19" s="49" t="s">
        <v>58</v>
      </c>
      <c r="V19" s="1920">
        <v>1145000</v>
      </c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737785.125</v>
      </c>
      <c r="C20" s="1943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942">
        <f>241*Q19</f>
        <v>97605</v>
      </c>
      <c r="R20" s="1943"/>
      <c r="S20" s="211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1238729.925</v>
      </c>
      <c r="C21" s="1941"/>
      <c r="O21" s="222"/>
      <c r="P21" s="222"/>
      <c r="Q21" s="222"/>
      <c r="R21" s="222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2113709</v>
      </c>
      <c r="D22" s="1923">
        <v>1145000</v>
      </c>
      <c r="E22" s="1923">
        <v>350000</v>
      </c>
      <c r="F22" s="1923">
        <f>C22-D22+E22</f>
        <v>1318709</v>
      </c>
      <c r="G22" s="222"/>
      <c r="Q22" s="222"/>
      <c r="R22" s="222"/>
      <c r="T22" s="1909" t="s">
        <v>83</v>
      </c>
      <c r="U22" s="50" t="s">
        <v>60</v>
      </c>
      <c r="V22" s="1920">
        <v>1014430</v>
      </c>
      <c r="W22" s="1920"/>
      <c r="X22" s="1920"/>
      <c r="Y22" s="1927"/>
    </row>
    <row r="23" spans="1:25" ht="39.75" customHeight="1" x14ac:dyDescent="0.25">
      <c r="A23" s="222"/>
      <c r="B23" s="1934"/>
      <c r="C23" s="1924"/>
      <c r="D23" s="1924"/>
      <c r="E23" s="1924"/>
      <c r="F23" s="1924"/>
      <c r="G23" s="222"/>
      <c r="Q23" s="222"/>
      <c r="R23" s="222"/>
      <c r="T23" s="1910"/>
      <c r="U23" s="50" t="s">
        <v>61</v>
      </c>
      <c r="V23" s="1920">
        <v>1013000</v>
      </c>
      <c r="W23" s="1920"/>
      <c r="X23" s="1920"/>
      <c r="Y23" s="1927"/>
    </row>
    <row r="24" spans="1:25" ht="48" customHeight="1" x14ac:dyDescent="0.25">
      <c r="A24" s="222"/>
      <c r="B24" s="193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93" t="s">
        <v>47</v>
      </c>
      <c r="U24" s="51" t="s">
        <v>62</v>
      </c>
      <c r="V24" s="1921">
        <f>V14+V16+V17-V18-V19-V20-V22+V23-V21</f>
        <v>200945.58000000007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10662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22"/>
      <c r="J33" s="222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1900" t="s">
        <v>270</v>
      </c>
      <c r="U3" s="1900"/>
      <c r="V3" s="1900"/>
      <c r="W3" s="1900"/>
      <c r="X3" s="1900"/>
      <c r="Y3" s="1900"/>
    </row>
    <row r="4" spans="1:25" s="22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23" customFormat="1" ht="25.5" customHeight="1" x14ac:dyDescent="0.25">
      <c r="A5" s="1901"/>
      <c r="B5" s="1901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1930" t="s">
        <v>256</v>
      </c>
      <c r="R14" s="1930"/>
      <c r="S14" s="232"/>
      <c r="T14" s="1893" t="s">
        <v>46</v>
      </c>
      <c r="U14" s="224" t="s">
        <v>176</v>
      </c>
      <c r="V14" s="1918">
        <v>200946</v>
      </c>
      <c r="W14" s="1926"/>
      <c r="X14" s="1919"/>
    </row>
    <row r="15" spans="1:25" ht="22.5" customHeight="1" x14ac:dyDescent="0.25">
      <c r="A15" s="100" t="s">
        <v>38</v>
      </c>
      <c r="B15" s="1918">
        <v>766530</v>
      </c>
      <c r="C15" s="1919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1920">
        <v>405</v>
      </c>
      <c r="R15" s="1920"/>
      <c r="S15" s="224">
        <v>0</v>
      </c>
      <c r="T15" s="1893"/>
      <c r="U15" s="224" t="s">
        <v>64</v>
      </c>
      <c r="V15" s="1920">
        <v>10662</v>
      </c>
      <c r="W15" s="1920"/>
      <c r="X15" s="1920"/>
    </row>
    <row r="16" spans="1:25" ht="24.75" customHeight="1" x14ac:dyDescent="0.25">
      <c r="A16" s="100" t="s">
        <v>39</v>
      </c>
      <c r="B16" s="1918">
        <v>155844</v>
      </c>
      <c r="C16" s="1919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1883"/>
      <c r="R16" s="1883"/>
      <c r="S16" s="229"/>
      <c r="T16" s="1912" t="s">
        <v>55</v>
      </c>
      <c r="U16" s="1912"/>
      <c r="V16" s="1925">
        <f>Y12</f>
        <v>809312.93</v>
      </c>
      <c r="W16" s="1925"/>
      <c r="X16" s="1920"/>
    </row>
    <row r="17" spans="1:25" ht="28.5" customHeight="1" x14ac:dyDescent="0.25">
      <c r="A17" s="101" t="s">
        <v>44</v>
      </c>
      <c r="B17" s="1918">
        <v>162231</v>
      </c>
      <c r="C17" s="1919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1883"/>
      <c r="R17" s="1883"/>
      <c r="S17" s="226"/>
      <c r="T17" s="1931" t="s">
        <v>267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790148</v>
      </c>
      <c r="C18" s="1919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1920"/>
      <c r="R18" s="1920"/>
      <c r="S18" s="224"/>
      <c r="T18" s="1912" t="s">
        <v>57</v>
      </c>
      <c r="U18" s="1912"/>
      <c r="V18" s="1920">
        <f>920+6103</f>
        <v>7023</v>
      </c>
      <c r="W18" s="1920"/>
      <c r="X18" s="1920"/>
      <c r="Y18" s="1927" t="s">
        <v>272</v>
      </c>
    </row>
    <row r="19" spans="1:25" ht="25.5" customHeight="1" x14ac:dyDescent="0.25">
      <c r="A19" s="100" t="s">
        <v>41</v>
      </c>
      <c r="B19" s="1918">
        <f>B15+B16+B17-B18</f>
        <v>294457</v>
      </c>
      <c r="C19" s="1919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1918">
        <f t="shared" ref="Q19" si="14">Q15+Q16+Q17-Q18</f>
        <v>405</v>
      </c>
      <c r="R19" s="1919"/>
      <c r="S19" s="224">
        <f>S15+S16-S17-S18</f>
        <v>0</v>
      </c>
      <c r="T19" s="1914" t="s">
        <v>48</v>
      </c>
      <c r="U19" s="49" t="s">
        <v>58</v>
      </c>
      <c r="V19" s="1920">
        <v>563000</v>
      </c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283414.86249999999</v>
      </c>
      <c r="C20" s="1943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942">
        <f>241*Q19</f>
        <v>97605</v>
      </c>
      <c r="R20" s="1943"/>
      <c r="S20" s="211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743660.86250000005</v>
      </c>
      <c r="C21" s="1941"/>
      <c r="O21" s="233"/>
      <c r="P21" s="233"/>
      <c r="Q21" s="233"/>
      <c r="R21" s="233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1318709</v>
      </c>
      <c r="D22" s="1923">
        <v>563000</v>
      </c>
      <c r="E22" s="1923">
        <v>150000</v>
      </c>
      <c r="F22" s="1923">
        <f>C22-D22+E22</f>
        <v>905709</v>
      </c>
      <c r="G22" s="233"/>
      <c r="Q22" s="233"/>
      <c r="R22" s="233"/>
      <c r="T22" s="1909" t="s">
        <v>83</v>
      </c>
      <c r="U22" s="50" t="s">
        <v>60</v>
      </c>
      <c r="V22" s="1920">
        <v>371050</v>
      </c>
      <c r="W22" s="1920"/>
      <c r="X22" s="1920"/>
      <c r="Y22" s="1927"/>
    </row>
    <row r="23" spans="1:25" ht="39.75" customHeight="1" x14ac:dyDescent="0.25">
      <c r="A23" s="233"/>
      <c r="B23" s="1934"/>
      <c r="C23" s="1924"/>
      <c r="D23" s="1924"/>
      <c r="E23" s="1924"/>
      <c r="F23" s="1924"/>
      <c r="G23" s="233"/>
      <c r="Q23" s="233"/>
      <c r="R23" s="233"/>
      <c r="T23" s="1910"/>
      <c r="U23" s="50" t="s">
        <v>61</v>
      </c>
      <c r="V23" s="1920">
        <v>371000</v>
      </c>
      <c r="W23" s="1920"/>
      <c r="X23" s="1920"/>
      <c r="Y23" s="1927"/>
    </row>
    <row r="24" spans="1:25" ht="48" customHeight="1" x14ac:dyDescent="0.25">
      <c r="A24" s="233"/>
      <c r="B24" s="1935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1893" t="s">
        <v>47</v>
      </c>
      <c r="U24" s="51" t="s">
        <v>62</v>
      </c>
      <c r="V24" s="1921">
        <f>V14+V16+V17-V18-V19-V20-V22+V23-V21</f>
        <v>440185.93000000005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10712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33"/>
      <c r="J33" s="233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1900" t="s">
        <v>273</v>
      </c>
      <c r="U3" s="1900"/>
      <c r="V3" s="1900"/>
      <c r="W3" s="1900"/>
      <c r="X3" s="1900"/>
      <c r="Y3" s="1900"/>
    </row>
    <row r="4" spans="1:25" s="23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39" customFormat="1" ht="25.5" customHeight="1" x14ac:dyDescent="0.25">
      <c r="A5" s="1901"/>
      <c r="B5" s="1901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1930" t="s">
        <v>256</v>
      </c>
      <c r="R14" s="1930"/>
      <c r="S14" s="243"/>
      <c r="T14" s="1893" t="s">
        <v>46</v>
      </c>
      <c r="U14" s="237" t="s">
        <v>176</v>
      </c>
      <c r="V14" s="1918">
        <v>440186</v>
      </c>
      <c r="W14" s="1926"/>
      <c r="X14" s="1919"/>
    </row>
    <row r="15" spans="1:25" ht="22.5" customHeight="1" x14ac:dyDescent="0.25">
      <c r="A15" s="100" t="s">
        <v>38</v>
      </c>
      <c r="B15" s="1918">
        <v>294457</v>
      </c>
      <c r="C15" s="1919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1920">
        <v>405</v>
      </c>
      <c r="R15" s="1920"/>
      <c r="S15" s="237">
        <v>0</v>
      </c>
      <c r="T15" s="1893"/>
      <c r="U15" s="237" t="s">
        <v>64</v>
      </c>
      <c r="V15" s="1920">
        <v>10712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1883"/>
      <c r="R16" s="1883"/>
      <c r="S16" s="240"/>
      <c r="T16" s="1912" t="s">
        <v>55</v>
      </c>
      <c r="U16" s="1912"/>
      <c r="V16" s="1925">
        <f>Y12</f>
        <v>136107.60749999998</v>
      </c>
      <c r="W16" s="1925"/>
      <c r="X16" s="1920"/>
    </row>
    <row r="17" spans="1:25" ht="28.5" customHeight="1" x14ac:dyDescent="0.25">
      <c r="A17" s="101" t="s">
        <v>44</v>
      </c>
      <c r="B17" s="1918">
        <v>40412</v>
      </c>
      <c r="C17" s="1919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1883"/>
      <c r="R17" s="1883"/>
      <c r="S17" s="236"/>
      <c r="T17" s="1931" t="s">
        <v>87</v>
      </c>
      <c r="U17" s="1932"/>
      <c r="V17" s="1920">
        <v>180000</v>
      </c>
      <c r="W17" s="1920"/>
      <c r="X17" s="1920"/>
    </row>
    <row r="18" spans="1:25" ht="27" customHeight="1" x14ac:dyDescent="0.25">
      <c r="A18" s="100" t="s">
        <v>40</v>
      </c>
      <c r="B18" s="1922">
        <f>C12</f>
        <v>82887</v>
      </c>
      <c r="C18" s="1919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1920"/>
      <c r="R18" s="1920"/>
      <c r="S18" s="237"/>
      <c r="T18" s="1912" t="s">
        <v>57</v>
      </c>
      <c r="U18" s="1912"/>
      <c r="V18" s="1920">
        <v>920</v>
      </c>
      <c r="W18" s="1920"/>
      <c r="X18" s="1920"/>
      <c r="Y18" s="1927" t="s">
        <v>217</v>
      </c>
    </row>
    <row r="19" spans="1:25" ht="25.5" customHeight="1" x14ac:dyDescent="0.25">
      <c r="A19" s="100" t="s">
        <v>41</v>
      </c>
      <c r="B19" s="1918">
        <f>B15+B16+B17-B18</f>
        <v>251982</v>
      </c>
      <c r="C19" s="1919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1918">
        <f t="shared" ref="Q19" si="14">Q15+Q16+Q17-Q18</f>
        <v>405</v>
      </c>
      <c r="R19" s="1919"/>
      <c r="S19" s="237">
        <f>S15+S16-S17-S18</f>
        <v>0</v>
      </c>
      <c r="T19" s="1914" t="s">
        <v>48</v>
      </c>
      <c r="U19" s="49" t="s">
        <v>58</v>
      </c>
      <c r="V19" s="1920">
        <v>737000</v>
      </c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242532.67500000002</v>
      </c>
      <c r="C20" s="1943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942">
        <f>241*Q19</f>
        <v>97605</v>
      </c>
      <c r="R20" s="1943"/>
      <c r="S20" s="211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811698.67500000005</v>
      </c>
      <c r="C21" s="1941"/>
      <c r="O21" s="244"/>
      <c r="P21" s="244"/>
      <c r="Q21" s="244"/>
      <c r="R21" s="244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905709</v>
      </c>
      <c r="D22" s="1923">
        <v>737000</v>
      </c>
      <c r="E22" s="1923">
        <v>163850</v>
      </c>
      <c r="F22" s="1923">
        <f>C22-D22+E22</f>
        <v>332559</v>
      </c>
      <c r="G22" s="244"/>
      <c r="Q22" s="244"/>
      <c r="R22" s="244"/>
      <c r="T22" s="1909" t="s">
        <v>83</v>
      </c>
      <c r="U22" s="50" t="s">
        <v>60</v>
      </c>
      <c r="V22" s="1920">
        <v>752450</v>
      </c>
      <c r="W22" s="1920"/>
      <c r="X22" s="1920"/>
      <c r="Y22" s="1927"/>
    </row>
    <row r="23" spans="1:25" ht="39.75" customHeight="1" x14ac:dyDescent="0.25">
      <c r="A23" s="244"/>
      <c r="B23" s="1934"/>
      <c r="C23" s="1924"/>
      <c r="D23" s="1924"/>
      <c r="E23" s="1924"/>
      <c r="F23" s="1924"/>
      <c r="G23" s="244"/>
      <c r="Q23" s="244"/>
      <c r="R23" s="244"/>
      <c r="T23" s="1910"/>
      <c r="U23" s="50" t="s">
        <v>61</v>
      </c>
      <c r="V23" s="1920">
        <v>737000</v>
      </c>
      <c r="W23" s="1920"/>
      <c r="X23" s="1920"/>
      <c r="Y23" s="1927"/>
    </row>
    <row r="24" spans="1:25" ht="48" customHeight="1" x14ac:dyDescent="0.25">
      <c r="A24" s="244"/>
      <c r="B24" s="1935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1893" t="s">
        <v>47</v>
      </c>
      <c r="U24" s="51" t="s">
        <v>62</v>
      </c>
      <c r="V24" s="1921">
        <f>V14+V16+V17-V18-V19-V20-V22+V23-V21</f>
        <v>2923.6074999999255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26162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44"/>
      <c r="J33" s="244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900" t="s">
        <v>274</v>
      </c>
      <c r="U3" s="1900"/>
      <c r="V3" s="1900"/>
      <c r="W3" s="1900"/>
      <c r="X3" s="1900"/>
      <c r="Y3" s="1900"/>
    </row>
    <row r="4" spans="1:25" s="250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50" customFormat="1" ht="25.5" customHeight="1" x14ac:dyDescent="0.25">
      <c r="A5" s="1901"/>
      <c r="B5" s="1901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930" t="s">
        <v>256</v>
      </c>
      <c r="R14" s="1930"/>
      <c r="S14" s="254"/>
      <c r="T14" s="1893" t="s">
        <v>46</v>
      </c>
      <c r="U14" s="248" t="s">
        <v>176</v>
      </c>
      <c r="V14" s="1918">
        <v>2924</v>
      </c>
      <c r="W14" s="1926"/>
      <c r="X14" s="1919"/>
    </row>
    <row r="15" spans="1:25" ht="22.5" customHeight="1" x14ac:dyDescent="0.25">
      <c r="A15" s="100" t="s">
        <v>38</v>
      </c>
      <c r="B15" s="1918">
        <v>251982</v>
      </c>
      <c r="C15" s="1919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920">
        <v>405</v>
      </c>
      <c r="R15" s="1920"/>
      <c r="S15" s="248">
        <v>0</v>
      </c>
      <c r="T15" s="1893"/>
      <c r="U15" s="248" t="s">
        <v>64</v>
      </c>
      <c r="V15" s="1920">
        <v>26162</v>
      </c>
      <c r="W15" s="1920"/>
      <c r="X15" s="1920"/>
    </row>
    <row r="16" spans="1:25" ht="24.75" customHeight="1" x14ac:dyDescent="0.25">
      <c r="A16" s="100" t="s">
        <v>39</v>
      </c>
      <c r="B16" s="1918">
        <v>77992</v>
      </c>
      <c r="C16" s="1919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1883"/>
      <c r="R16" s="1883"/>
      <c r="S16" s="251"/>
      <c r="T16" s="1912" t="s">
        <v>55</v>
      </c>
      <c r="U16" s="1912"/>
      <c r="V16" s="1925">
        <f>Y12</f>
        <v>80827.305000000008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883"/>
      <c r="R17" s="1883"/>
      <c r="S17" s="247"/>
      <c r="T17" s="1931" t="s">
        <v>87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71698</v>
      </c>
      <c r="C18" s="1919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920"/>
      <c r="R18" s="1920"/>
      <c r="S18" s="248"/>
      <c r="T18" s="1912" t="s">
        <v>57</v>
      </c>
      <c r="U18" s="1912"/>
      <c r="V18" s="1920">
        <f>470+90+370+700</f>
        <v>1630</v>
      </c>
      <c r="W18" s="1920"/>
      <c r="X18" s="1920"/>
      <c r="Y18" s="1927" t="s">
        <v>275</v>
      </c>
    </row>
    <row r="19" spans="1:25" ht="25.5" customHeight="1" x14ac:dyDescent="0.25">
      <c r="A19" s="100" t="s">
        <v>41</v>
      </c>
      <c r="B19" s="1918">
        <f>B15+B16+B17-B18</f>
        <v>258276</v>
      </c>
      <c r="C19" s="1919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918">
        <f t="shared" ref="Q19" si="14">Q15+Q16+Q17-Q18</f>
        <v>405</v>
      </c>
      <c r="R19" s="1919"/>
      <c r="S19" s="248">
        <f>S15+S16-S17-S18</f>
        <v>0</v>
      </c>
      <c r="T19" s="1914" t="s">
        <v>48</v>
      </c>
      <c r="U19" s="49" t="s">
        <v>58</v>
      </c>
      <c r="V19" s="1920">
        <v>100000</v>
      </c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248590.65</v>
      </c>
      <c r="C20" s="1943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942">
        <f>241*Q19</f>
        <v>97605</v>
      </c>
      <c r="R20" s="1943"/>
      <c r="S20" s="211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806703.14999999991</v>
      </c>
      <c r="C21" s="1941"/>
      <c r="O21" s="255"/>
      <c r="P21" s="255"/>
      <c r="Q21" s="255"/>
      <c r="R21" s="255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332559</v>
      </c>
      <c r="D22" s="1923">
        <v>100000</v>
      </c>
      <c r="E22" s="1923">
        <v>75000</v>
      </c>
      <c r="F22" s="1923">
        <f>C22-D22+E22</f>
        <v>307559</v>
      </c>
      <c r="G22" s="255"/>
      <c r="Q22" s="255"/>
      <c r="R22" s="255"/>
      <c r="T22" s="1909" t="s">
        <v>83</v>
      </c>
      <c r="U22" s="50" t="s">
        <v>60</v>
      </c>
      <c r="V22" s="1920">
        <v>80490</v>
      </c>
      <c r="W22" s="1920"/>
      <c r="X22" s="1920"/>
      <c r="Y22" s="1927"/>
    </row>
    <row r="23" spans="1:25" ht="39.75" customHeight="1" x14ac:dyDescent="0.25">
      <c r="A23" s="255"/>
      <c r="B23" s="1934"/>
      <c r="C23" s="1924"/>
      <c r="D23" s="1924"/>
      <c r="E23" s="1924"/>
      <c r="F23" s="1924"/>
      <c r="G23" s="255"/>
      <c r="Q23" s="255"/>
      <c r="R23" s="255"/>
      <c r="T23" s="1910"/>
      <c r="U23" s="50" t="s">
        <v>61</v>
      </c>
      <c r="V23" s="1920">
        <v>100000</v>
      </c>
      <c r="W23" s="1920"/>
      <c r="X23" s="1920"/>
      <c r="Y23" s="1927"/>
    </row>
    <row r="24" spans="1:25" ht="48" customHeight="1" x14ac:dyDescent="0.25">
      <c r="A24" s="255"/>
      <c r="B24" s="1935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893" t="s">
        <v>47</v>
      </c>
      <c r="U24" s="51" t="s">
        <v>62</v>
      </c>
      <c r="V24" s="1921">
        <f>V14+V16+V17-V18-V19-V20-V22+V23-V21</f>
        <v>1631.3050000000076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6652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55"/>
      <c r="J33" s="255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900" t="s">
        <v>276</v>
      </c>
      <c r="U3" s="1900"/>
      <c r="V3" s="1900"/>
      <c r="W3" s="1900"/>
      <c r="X3" s="1900"/>
      <c r="Y3" s="1900"/>
    </row>
    <row r="4" spans="1:25" s="250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50" customFormat="1" ht="25.5" customHeight="1" x14ac:dyDescent="0.25">
      <c r="A5" s="1901"/>
      <c r="B5" s="1901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930" t="s">
        <v>256</v>
      </c>
      <c r="R14" s="1930"/>
      <c r="S14" s="254"/>
      <c r="T14" s="1893" t="s">
        <v>46</v>
      </c>
      <c r="U14" s="248" t="s">
        <v>176</v>
      </c>
      <c r="V14" s="1918">
        <v>1631</v>
      </c>
      <c r="W14" s="1926"/>
      <c r="X14" s="1919"/>
    </row>
    <row r="15" spans="1:25" ht="22.5" customHeight="1" x14ac:dyDescent="0.25">
      <c r="A15" s="100" t="s">
        <v>38</v>
      </c>
      <c r="B15" s="1918">
        <v>258276</v>
      </c>
      <c r="C15" s="1919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920">
        <v>405</v>
      </c>
      <c r="R15" s="1920"/>
      <c r="S15" s="248">
        <v>0</v>
      </c>
      <c r="T15" s="1893"/>
      <c r="U15" s="248" t="s">
        <v>64</v>
      </c>
      <c r="V15" s="1920">
        <v>6652</v>
      </c>
      <c r="W15" s="1920"/>
      <c r="X15" s="1920"/>
    </row>
    <row r="16" spans="1:25" ht="24.75" customHeight="1" x14ac:dyDescent="0.25">
      <c r="A16" s="100" t="s">
        <v>39</v>
      </c>
      <c r="B16" s="1918">
        <v>77852</v>
      </c>
      <c r="C16" s="1919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1883"/>
      <c r="R16" s="1883"/>
      <c r="S16" s="251"/>
      <c r="T16" s="1912" t="s">
        <v>55</v>
      </c>
      <c r="U16" s="1912"/>
      <c r="V16" s="1925">
        <f>Y12</f>
        <v>141218.38999999998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883"/>
      <c r="R17" s="1883"/>
      <c r="S17" s="247"/>
      <c r="T17" s="1931" t="s">
        <v>87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81404</v>
      </c>
      <c r="C18" s="1919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920"/>
      <c r="R18" s="1920"/>
      <c r="S18" s="248"/>
      <c r="T18" s="1912" t="s">
        <v>57</v>
      </c>
      <c r="U18" s="1912"/>
      <c r="V18" s="1920">
        <v>520</v>
      </c>
      <c r="W18" s="1920"/>
      <c r="X18" s="1920"/>
      <c r="Y18" s="1927" t="s">
        <v>217</v>
      </c>
    </row>
    <row r="19" spans="1:25" ht="25.5" customHeight="1" x14ac:dyDescent="0.25">
      <c r="A19" s="100" t="s">
        <v>41</v>
      </c>
      <c r="B19" s="1918">
        <f>B15+B16+B17-B18</f>
        <v>254724</v>
      </c>
      <c r="C19" s="1919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918">
        <f t="shared" ref="Q19" si="14">Q15+Q16+Q17-Q18</f>
        <v>405</v>
      </c>
      <c r="R19" s="1919"/>
      <c r="S19" s="248">
        <f>S15+S16-S17-S18</f>
        <v>0</v>
      </c>
      <c r="T19" s="1914" t="s">
        <v>48</v>
      </c>
      <c r="U19" s="49" t="s">
        <v>58</v>
      </c>
      <c r="V19" s="1920">
        <v>138850</v>
      </c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245171.85</v>
      </c>
      <c r="C20" s="1943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942">
        <f>241*Q19</f>
        <v>97605</v>
      </c>
      <c r="R20" s="1943"/>
      <c r="S20" s="211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850123.85</v>
      </c>
      <c r="C21" s="1941"/>
      <c r="O21" s="255"/>
      <c r="P21" s="255"/>
      <c r="Q21" s="255"/>
      <c r="R21" s="255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307559</v>
      </c>
      <c r="D22" s="1923">
        <v>138850</v>
      </c>
      <c r="E22" s="1923">
        <v>183275</v>
      </c>
      <c r="F22" s="1923">
        <f>C22-D22+E22</f>
        <v>351984</v>
      </c>
      <c r="G22" s="255"/>
      <c r="Q22" s="255"/>
      <c r="R22" s="255"/>
      <c r="T22" s="1909" t="s">
        <v>83</v>
      </c>
      <c r="U22" s="50" t="s">
        <v>60</v>
      </c>
      <c r="V22" s="1920">
        <v>139640</v>
      </c>
      <c r="W22" s="1920"/>
      <c r="X22" s="1920"/>
      <c r="Y22" s="1927"/>
    </row>
    <row r="23" spans="1:25" ht="39.75" customHeight="1" x14ac:dyDescent="0.25">
      <c r="A23" s="255"/>
      <c r="B23" s="1934"/>
      <c r="C23" s="1924"/>
      <c r="D23" s="1924"/>
      <c r="E23" s="1924"/>
      <c r="F23" s="1924"/>
      <c r="G23" s="255"/>
      <c r="Q23" s="255"/>
      <c r="R23" s="255"/>
      <c r="T23" s="1910"/>
      <c r="U23" s="50" t="s">
        <v>61</v>
      </c>
      <c r="V23" s="1920">
        <v>138850</v>
      </c>
      <c r="W23" s="1920"/>
      <c r="X23" s="1920"/>
      <c r="Y23" s="1927"/>
    </row>
    <row r="24" spans="1:25" ht="48" customHeight="1" x14ac:dyDescent="0.25">
      <c r="A24" s="255"/>
      <c r="B24" s="1935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893" t="s">
        <v>47</v>
      </c>
      <c r="U24" s="51" t="s">
        <v>62</v>
      </c>
      <c r="V24" s="1921">
        <f>V14+V16+V17-V18-V19-V20-V22+V23-V21</f>
        <v>2689.3899999999849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7442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55"/>
      <c r="J33" s="255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1900" t="s">
        <v>277</v>
      </c>
      <c r="U3" s="1900"/>
      <c r="V3" s="1900"/>
      <c r="W3" s="1900"/>
      <c r="X3" s="1900"/>
      <c r="Y3" s="1900"/>
    </row>
    <row r="4" spans="1:25" s="25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56" customFormat="1" ht="25.5" customHeight="1" x14ac:dyDescent="0.25">
      <c r="A5" s="1901"/>
      <c r="B5" s="1901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1930" t="s">
        <v>256</v>
      </c>
      <c r="R14" s="1930"/>
      <c r="S14" s="265"/>
      <c r="T14" s="1893" t="s">
        <v>46</v>
      </c>
      <c r="U14" s="257" t="s">
        <v>176</v>
      </c>
      <c r="V14" s="1918">
        <v>2689</v>
      </c>
      <c r="W14" s="1926"/>
      <c r="X14" s="1919"/>
    </row>
    <row r="15" spans="1:25" ht="22.5" customHeight="1" x14ac:dyDescent="0.25">
      <c r="A15" s="100" t="s">
        <v>38</v>
      </c>
      <c r="B15" s="1918">
        <v>254724</v>
      </c>
      <c r="C15" s="1919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1920">
        <v>405</v>
      </c>
      <c r="R15" s="1920"/>
      <c r="S15" s="257">
        <v>0</v>
      </c>
      <c r="T15" s="1893"/>
      <c r="U15" s="257" t="s">
        <v>64</v>
      </c>
      <c r="V15" s="1920">
        <v>7442</v>
      </c>
      <c r="W15" s="1920"/>
      <c r="X15" s="1920"/>
    </row>
    <row r="16" spans="1:25" ht="24.75" customHeight="1" x14ac:dyDescent="0.25">
      <c r="A16" s="100" t="s">
        <v>39</v>
      </c>
      <c r="B16" s="1918">
        <v>135065</v>
      </c>
      <c r="C16" s="1919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1883"/>
      <c r="R16" s="1883"/>
      <c r="S16" s="262"/>
      <c r="T16" s="1912" t="s">
        <v>55</v>
      </c>
      <c r="U16" s="1912"/>
      <c r="V16" s="1925">
        <f>Y12</f>
        <v>129226.22500000001</v>
      </c>
      <c r="W16" s="1925"/>
      <c r="X16" s="1920"/>
    </row>
    <row r="17" spans="1:25" ht="28.5" customHeight="1" x14ac:dyDescent="0.25">
      <c r="A17" s="101" t="s">
        <v>44</v>
      </c>
      <c r="B17" s="1918">
        <v>81787</v>
      </c>
      <c r="C17" s="1919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1883"/>
      <c r="R17" s="1883"/>
      <c r="S17" s="259"/>
      <c r="T17" s="1931" t="s">
        <v>87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90210</v>
      </c>
      <c r="C18" s="1919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1920"/>
      <c r="R18" s="1920"/>
      <c r="S18" s="257"/>
      <c r="T18" s="1912" t="s">
        <v>57</v>
      </c>
      <c r="U18" s="1912"/>
      <c r="V18" s="1920">
        <f>470+1590+100</f>
        <v>2160</v>
      </c>
      <c r="W18" s="1920"/>
      <c r="X18" s="1920"/>
      <c r="Y18" s="1927" t="s">
        <v>278</v>
      </c>
    </row>
    <row r="19" spans="1:25" ht="25.5" customHeight="1" x14ac:dyDescent="0.25">
      <c r="A19" s="100" t="s">
        <v>41</v>
      </c>
      <c r="B19" s="1918">
        <f>B15+B16+B17-B18</f>
        <v>381366</v>
      </c>
      <c r="C19" s="1919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1918">
        <f t="shared" ref="Q19" si="14">Q15+Q16+Q17-Q18</f>
        <v>405</v>
      </c>
      <c r="R19" s="1919"/>
      <c r="S19" s="257">
        <f>S15+S16-S17-S18</f>
        <v>0</v>
      </c>
      <c r="T19" s="1914" t="s">
        <v>48</v>
      </c>
      <c r="U19" s="49" t="s">
        <v>58</v>
      </c>
      <c r="V19" s="1920">
        <v>115000</v>
      </c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367064.77500000002</v>
      </c>
      <c r="C20" s="1943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942">
        <f>241*Q19</f>
        <v>97605</v>
      </c>
      <c r="R20" s="1943"/>
      <c r="S20" s="211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1003658.775</v>
      </c>
      <c r="C21" s="1941"/>
      <c r="O21" s="266"/>
      <c r="P21" s="266"/>
      <c r="Q21" s="266"/>
      <c r="R21" s="266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351984</v>
      </c>
      <c r="D22" s="1923">
        <v>115000</v>
      </c>
      <c r="E22" s="1923">
        <v>202300</v>
      </c>
      <c r="F22" s="1923">
        <f>C22-D22+E22</f>
        <v>439284</v>
      </c>
      <c r="G22" s="266"/>
      <c r="Q22" s="266"/>
      <c r="R22" s="266"/>
      <c r="T22" s="1909" t="s">
        <v>83</v>
      </c>
      <c r="U22" s="50" t="s">
        <v>60</v>
      </c>
      <c r="V22" s="1920">
        <v>115050</v>
      </c>
      <c r="W22" s="1920"/>
      <c r="X22" s="1920"/>
      <c r="Y22" s="1927"/>
    </row>
    <row r="23" spans="1:25" ht="39.75" customHeight="1" x14ac:dyDescent="0.25">
      <c r="A23" s="266"/>
      <c r="B23" s="1934"/>
      <c r="C23" s="1924"/>
      <c r="D23" s="1924"/>
      <c r="E23" s="1924"/>
      <c r="F23" s="1924"/>
      <c r="G23" s="266"/>
      <c r="Q23" s="266"/>
      <c r="R23" s="266"/>
      <c r="T23" s="1910"/>
      <c r="U23" s="50" t="s">
        <v>61</v>
      </c>
      <c r="V23" s="1920">
        <v>115000</v>
      </c>
      <c r="W23" s="1920"/>
      <c r="X23" s="1920"/>
      <c r="Y23" s="1927"/>
    </row>
    <row r="24" spans="1:25" ht="48" customHeight="1" x14ac:dyDescent="0.25">
      <c r="A24" s="266"/>
      <c r="B24" s="1935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1893" t="s">
        <v>47</v>
      </c>
      <c r="U24" s="51" t="s">
        <v>62</v>
      </c>
      <c r="V24" s="1921">
        <f>V14+V16+V17-V18-V19-V20-V22+V23-V21</f>
        <v>14705.225000000006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7492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66"/>
      <c r="J33" s="266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900" t="s">
        <v>279</v>
      </c>
      <c r="U3" s="1900"/>
      <c r="V3" s="1900"/>
      <c r="W3" s="1900"/>
      <c r="X3" s="1900"/>
      <c r="Y3" s="1900"/>
    </row>
    <row r="4" spans="1:25" s="27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72" customFormat="1" ht="25.5" customHeight="1" x14ac:dyDescent="0.25">
      <c r="A5" s="1901"/>
      <c r="B5" s="1901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930" t="s">
        <v>256</v>
      </c>
      <c r="R14" s="1930"/>
      <c r="S14" s="276"/>
      <c r="T14" s="1893" t="s">
        <v>46</v>
      </c>
      <c r="U14" s="270" t="s">
        <v>176</v>
      </c>
      <c r="V14" s="1918">
        <v>14705</v>
      </c>
      <c r="W14" s="1926"/>
      <c r="X14" s="1919"/>
    </row>
    <row r="15" spans="1:25" ht="22.5" customHeight="1" x14ac:dyDescent="0.25">
      <c r="A15" s="100" t="s">
        <v>38</v>
      </c>
      <c r="B15" s="1918">
        <v>381366</v>
      </c>
      <c r="C15" s="1919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1920">
        <v>405</v>
      </c>
      <c r="R15" s="1920"/>
      <c r="S15" s="270">
        <v>0</v>
      </c>
      <c r="T15" s="1893"/>
      <c r="U15" s="270" t="s">
        <v>64</v>
      </c>
      <c r="V15" s="1920">
        <v>7492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1883"/>
      <c r="R16" s="1883"/>
      <c r="S16" s="273"/>
      <c r="T16" s="1912" t="s">
        <v>55</v>
      </c>
      <c r="U16" s="1912"/>
      <c r="V16" s="1925">
        <f>Y12</f>
        <v>138151.10999999999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883"/>
      <c r="R17" s="1883"/>
      <c r="S17" s="269"/>
      <c r="T17" s="1931" t="s">
        <v>87</v>
      </c>
      <c r="U17" s="1932"/>
      <c r="V17" s="1920"/>
      <c r="W17" s="1920"/>
      <c r="X17" s="1920"/>
    </row>
    <row r="18" spans="1:25" ht="27" customHeight="1" x14ac:dyDescent="0.25">
      <c r="A18" s="100" t="s">
        <v>40</v>
      </c>
      <c r="B18" s="1922">
        <f>C12</f>
        <v>105596</v>
      </c>
      <c r="C18" s="1919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920"/>
      <c r="R18" s="1920"/>
      <c r="S18" s="270"/>
      <c r="T18" s="1912" t="s">
        <v>57</v>
      </c>
      <c r="U18" s="1912"/>
      <c r="V18" s="1920">
        <f>520+240+700</f>
        <v>1460</v>
      </c>
      <c r="W18" s="1920"/>
      <c r="X18" s="1920"/>
      <c r="Y18" s="1927" t="s">
        <v>280</v>
      </c>
    </row>
    <row r="19" spans="1:25" ht="25.5" customHeight="1" x14ac:dyDescent="0.25">
      <c r="A19" s="100" t="s">
        <v>41</v>
      </c>
      <c r="B19" s="1918">
        <f>B15+B16+B17-B18</f>
        <v>275770</v>
      </c>
      <c r="C19" s="1919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918">
        <f t="shared" ref="Q19" si="14">Q15+Q16+Q17-Q18</f>
        <v>405</v>
      </c>
      <c r="R19" s="1919"/>
      <c r="S19" s="270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10" t="s">
        <v>187</v>
      </c>
      <c r="B20" s="1942">
        <f>B19*0.9625</f>
        <v>265428.625</v>
      </c>
      <c r="C20" s="1943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942">
        <f>241*Q19</f>
        <v>97605</v>
      </c>
      <c r="R20" s="1943"/>
      <c r="S20" s="211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143" t="s">
        <v>186</v>
      </c>
      <c r="B21" s="1941">
        <f>SUM(B20:S20)</f>
        <v>866907.52500000002</v>
      </c>
      <c r="C21" s="1941"/>
      <c r="O21" s="277"/>
      <c r="P21" s="277"/>
      <c r="Q21" s="277"/>
      <c r="R21" s="277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33" t="s">
        <v>49</v>
      </c>
      <c r="C22" s="1923">
        <v>439284</v>
      </c>
      <c r="D22" s="1923"/>
      <c r="E22" s="1923"/>
      <c r="F22" s="1923">
        <f>C22-D22+E22</f>
        <v>439284</v>
      </c>
      <c r="G22" s="277"/>
      <c r="Q22" s="277"/>
      <c r="R22" s="277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277"/>
      <c r="B23" s="1934"/>
      <c r="C23" s="1924"/>
      <c r="D23" s="1924"/>
      <c r="E23" s="1924"/>
      <c r="F23" s="1924"/>
      <c r="G23" s="277"/>
      <c r="Q23" s="277"/>
      <c r="R23" s="277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277"/>
      <c r="B24" s="1935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1893" t="s">
        <v>47</v>
      </c>
      <c r="U24" s="51" t="s">
        <v>62</v>
      </c>
      <c r="V24" s="1921">
        <f>V14+V16+V17-V18-V19-V20-V22+V23-V21</f>
        <v>151396.10999999999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7492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77"/>
      <c r="J33" s="277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900" t="s">
        <v>281</v>
      </c>
      <c r="U3" s="1900"/>
      <c r="V3" s="1900"/>
      <c r="W3" s="1900"/>
      <c r="X3" s="1900"/>
      <c r="Y3" s="1900"/>
    </row>
    <row r="4" spans="1:25" s="27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72" customFormat="1" ht="25.5" customHeight="1" x14ac:dyDescent="0.25">
      <c r="A5" s="1901"/>
      <c r="B5" s="1901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930" t="s">
        <v>256</v>
      </c>
      <c r="R14" s="1930"/>
      <c r="S14" s="276"/>
      <c r="T14" s="1893" t="s">
        <v>46</v>
      </c>
      <c r="U14" s="270" t="s">
        <v>176</v>
      </c>
      <c r="V14" s="1918">
        <v>151396</v>
      </c>
      <c r="W14" s="1926"/>
      <c r="X14" s="1919"/>
    </row>
    <row r="15" spans="1:25" ht="22.5" customHeight="1" x14ac:dyDescent="0.25">
      <c r="A15" s="100" t="s">
        <v>38</v>
      </c>
      <c r="B15" s="1918">
        <v>275770</v>
      </c>
      <c r="C15" s="1919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1920">
        <v>405</v>
      </c>
      <c r="R15" s="1920"/>
      <c r="S15" s="270">
        <v>0</v>
      </c>
      <c r="T15" s="1893"/>
      <c r="U15" s="270" t="s">
        <v>64</v>
      </c>
      <c r="V15" s="1920">
        <v>7492</v>
      </c>
      <c r="W15" s="1920"/>
      <c r="X15" s="1920"/>
    </row>
    <row r="16" spans="1:25" ht="24.75" customHeight="1" x14ac:dyDescent="0.25">
      <c r="A16" s="100" t="s">
        <v>39</v>
      </c>
      <c r="B16" s="1918">
        <v>80000</v>
      </c>
      <c r="C16" s="1919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1883"/>
      <c r="R16" s="1883"/>
      <c r="S16" s="273"/>
      <c r="T16" s="1912" t="s">
        <v>55</v>
      </c>
      <c r="U16" s="1912"/>
      <c r="V16" s="1925">
        <f>Y12</f>
        <v>319050.3775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883"/>
      <c r="R17" s="1883"/>
      <c r="S17" s="269"/>
      <c r="T17" s="1952" t="s">
        <v>282</v>
      </c>
      <c r="U17" s="1953"/>
      <c r="V17" s="1954">
        <v>15075</v>
      </c>
      <c r="W17" s="1954"/>
      <c r="X17" s="1954"/>
    </row>
    <row r="18" spans="1:25" ht="27" customHeight="1" x14ac:dyDescent="0.25">
      <c r="A18" s="100" t="s">
        <v>40</v>
      </c>
      <c r="B18" s="1922">
        <f>C12</f>
        <v>104059</v>
      </c>
      <c r="C18" s="1919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1920">
        <v>358</v>
      </c>
      <c r="R18" s="1920"/>
      <c r="S18" s="270"/>
      <c r="T18" s="1912" t="s">
        <v>57</v>
      </c>
      <c r="U18" s="1912"/>
      <c r="V18" s="1920">
        <v>205508</v>
      </c>
      <c r="W18" s="1920"/>
      <c r="X18" s="1920"/>
      <c r="Y18" s="1927" t="s">
        <v>283</v>
      </c>
    </row>
    <row r="19" spans="1:25" ht="25.5" customHeight="1" x14ac:dyDescent="0.25">
      <c r="A19" s="100" t="s">
        <v>41</v>
      </c>
      <c r="B19" s="1918">
        <f>B15+B16+B17-B18</f>
        <v>251711</v>
      </c>
      <c r="C19" s="1919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918">
        <f t="shared" ref="Q19" si="14">Q15+Q16+Q17-Q18</f>
        <v>47</v>
      </c>
      <c r="R19" s="1919"/>
      <c r="S19" s="270">
        <f>S15+S16-S17-S18</f>
        <v>0</v>
      </c>
      <c r="T19" s="1914" t="s">
        <v>48</v>
      </c>
      <c r="U19" s="49" t="s">
        <v>58</v>
      </c>
      <c r="V19" s="1920">
        <v>270575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242271.83749999999</v>
      </c>
      <c r="C20" s="1945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44">
        <f>241*Q19</f>
        <v>11327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626054.83750000002</v>
      </c>
      <c r="C21" s="1951"/>
      <c r="O21" s="277"/>
      <c r="P21" s="277"/>
      <c r="Q21" s="277"/>
      <c r="R21" s="277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46" t="s">
        <v>49</v>
      </c>
      <c r="C22" s="1949">
        <v>439284</v>
      </c>
      <c r="D22" s="1949">
        <v>270575</v>
      </c>
      <c r="E22" s="1949">
        <v>77000</v>
      </c>
      <c r="F22" s="1949">
        <f>C22-D22+E22</f>
        <v>245709</v>
      </c>
      <c r="G22" s="277"/>
      <c r="Q22" s="277"/>
      <c r="R22" s="277"/>
      <c r="T22" s="1909" t="s">
        <v>83</v>
      </c>
      <c r="U22" s="50" t="s">
        <v>60</v>
      </c>
      <c r="V22" s="1920">
        <v>271180</v>
      </c>
      <c r="W22" s="1920"/>
      <c r="X22" s="1920"/>
      <c r="Y22" s="1927"/>
    </row>
    <row r="23" spans="1:25" ht="39.75" customHeight="1" x14ac:dyDescent="0.25">
      <c r="A23" s="277"/>
      <c r="B23" s="1947"/>
      <c r="C23" s="1950"/>
      <c r="D23" s="1950"/>
      <c r="E23" s="1950"/>
      <c r="F23" s="1950"/>
      <c r="G23" s="277"/>
      <c r="Q23" s="277"/>
      <c r="R23" s="277"/>
      <c r="T23" s="1910"/>
      <c r="U23" s="50" t="s">
        <v>61</v>
      </c>
      <c r="V23" s="1920">
        <v>270575</v>
      </c>
      <c r="W23" s="1920"/>
      <c r="X23" s="1920"/>
      <c r="Y23" s="1927"/>
    </row>
    <row r="24" spans="1:25" ht="48" customHeight="1" x14ac:dyDescent="0.25">
      <c r="A24" s="277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893" t="s">
        <v>47</v>
      </c>
      <c r="U24" s="51" t="s">
        <v>62</v>
      </c>
      <c r="V24" s="1921">
        <f>V14+V16+V17-V18-V19-V20-V22+V23-V21</f>
        <v>8833.3775000000023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8097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77"/>
      <c r="J33" s="277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900" t="s">
        <v>284</v>
      </c>
      <c r="U3" s="1900"/>
      <c r="V3" s="1900"/>
      <c r="W3" s="1900"/>
      <c r="X3" s="1900"/>
      <c r="Y3" s="1900"/>
    </row>
    <row r="4" spans="1:25" s="27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72" customFormat="1" ht="25.5" customHeight="1" x14ac:dyDescent="0.25">
      <c r="A5" s="1901"/>
      <c r="B5" s="1901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930" t="s">
        <v>256</v>
      </c>
      <c r="R14" s="1930"/>
      <c r="S14" s="276"/>
      <c r="T14" s="1893" t="s">
        <v>46</v>
      </c>
      <c r="U14" s="270" t="s">
        <v>176</v>
      </c>
      <c r="V14" s="1918">
        <v>8833</v>
      </c>
      <c r="W14" s="1926"/>
      <c r="X14" s="1919"/>
    </row>
    <row r="15" spans="1:25" ht="22.5" customHeight="1" x14ac:dyDescent="0.25">
      <c r="A15" s="100" t="s">
        <v>38</v>
      </c>
      <c r="B15" s="1918">
        <v>251711</v>
      </c>
      <c r="C15" s="1919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1920">
        <v>47</v>
      </c>
      <c r="R15" s="1920"/>
      <c r="S15" s="270">
        <v>0</v>
      </c>
      <c r="T15" s="1893"/>
      <c r="U15" s="270" t="s">
        <v>64</v>
      </c>
      <c r="V15" s="1920">
        <v>8097</v>
      </c>
      <c r="W15" s="1920"/>
      <c r="X15" s="1920"/>
    </row>
    <row r="16" spans="1:25" ht="24.75" customHeight="1" x14ac:dyDescent="0.25">
      <c r="A16" s="100" t="s">
        <v>39</v>
      </c>
      <c r="B16" s="1918">
        <v>242068</v>
      </c>
      <c r="C16" s="1919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1883"/>
      <c r="R16" s="1883"/>
      <c r="S16" s="273"/>
      <c r="T16" s="1912" t="s">
        <v>55</v>
      </c>
      <c r="U16" s="1912"/>
      <c r="V16" s="1925">
        <f>Y12</f>
        <v>156214.8125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883"/>
      <c r="R17" s="1883"/>
      <c r="S17" s="269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107825</v>
      </c>
      <c r="C18" s="1919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920"/>
      <c r="R18" s="1920"/>
      <c r="S18" s="270"/>
      <c r="T18" s="1912" t="s">
        <v>57</v>
      </c>
      <c r="U18" s="1912"/>
      <c r="V18" s="1920">
        <f>520+60+250</f>
        <v>830</v>
      </c>
      <c r="W18" s="1920"/>
      <c r="X18" s="1920"/>
      <c r="Y18" s="1927" t="s">
        <v>285</v>
      </c>
    </row>
    <row r="19" spans="1:25" ht="25.5" customHeight="1" x14ac:dyDescent="0.25">
      <c r="A19" s="100" t="s">
        <v>41</v>
      </c>
      <c r="B19" s="1918">
        <f>B15+B16+B17-B18</f>
        <v>385954</v>
      </c>
      <c r="C19" s="1919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918">
        <f t="shared" ref="Q19" si="14">Q15+Q16+Q17-Q18</f>
        <v>47</v>
      </c>
      <c r="R19" s="1919"/>
      <c r="S19" s="270">
        <f>S15+S16-S17-S18</f>
        <v>0</v>
      </c>
      <c r="T19" s="1914" t="s">
        <v>48</v>
      </c>
      <c r="U19" s="49" t="s">
        <v>58</v>
      </c>
      <c r="V19" s="1920">
        <v>80000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371480.72500000003</v>
      </c>
      <c r="C20" s="1945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44">
        <f>241*Q19</f>
        <v>11327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1375471.7250000001</v>
      </c>
      <c r="C21" s="1951"/>
      <c r="O21" s="277"/>
      <c r="P21" s="277"/>
      <c r="Q21" s="277"/>
      <c r="R21" s="277"/>
      <c r="T21" s="1931" t="s">
        <v>167</v>
      </c>
      <c r="U21" s="1932"/>
      <c r="V21" s="1918">
        <v>80000</v>
      </c>
      <c r="W21" s="1926"/>
      <c r="X21" s="1919"/>
      <c r="Y21" s="1927"/>
    </row>
    <row r="22" spans="1:25" ht="35.25" customHeight="1" x14ac:dyDescent="0.25">
      <c r="A22" s="15"/>
      <c r="B22" s="1946" t="s">
        <v>49</v>
      </c>
      <c r="C22" s="1949">
        <v>245709</v>
      </c>
      <c r="D22" s="1949">
        <v>80000</v>
      </c>
      <c r="E22" s="1949">
        <v>902603</v>
      </c>
      <c r="F22" s="1949">
        <f>C22-D22+E22</f>
        <v>1068312</v>
      </c>
      <c r="G22" s="277"/>
      <c r="Q22" s="277"/>
      <c r="R22" s="277"/>
      <c r="T22" s="1909" t="s">
        <v>83</v>
      </c>
      <c r="U22" s="50" t="s">
        <v>60</v>
      </c>
      <c r="V22" s="1920">
        <v>82520</v>
      </c>
      <c r="W22" s="1920"/>
      <c r="X22" s="1920"/>
      <c r="Y22" s="1927"/>
    </row>
    <row r="23" spans="1:25" ht="39.75" customHeight="1" x14ac:dyDescent="0.25">
      <c r="A23" s="277"/>
      <c r="B23" s="1947"/>
      <c r="C23" s="1950"/>
      <c r="D23" s="1950"/>
      <c r="E23" s="1950"/>
      <c r="F23" s="1950"/>
      <c r="G23" s="277"/>
      <c r="Q23" s="277"/>
      <c r="R23" s="277"/>
      <c r="T23" s="1910"/>
      <c r="U23" s="50" t="s">
        <v>61</v>
      </c>
      <c r="V23" s="1920">
        <v>80000</v>
      </c>
      <c r="W23" s="1920"/>
      <c r="X23" s="1920"/>
      <c r="Y23" s="1927"/>
    </row>
    <row r="24" spans="1:25" ht="48" customHeight="1" x14ac:dyDescent="0.25">
      <c r="A24" s="277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893" t="s">
        <v>47</v>
      </c>
      <c r="U24" s="51" t="s">
        <v>62</v>
      </c>
      <c r="V24" s="1921">
        <f>V14+V16+V17-V18-V19-V20-V22+V23-V21</f>
        <v>1697.8125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10617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77"/>
      <c r="J33" s="277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900" t="s">
        <v>286</v>
      </c>
      <c r="U3" s="1900"/>
      <c r="V3" s="1900"/>
      <c r="W3" s="1900"/>
      <c r="X3" s="1900"/>
      <c r="Y3" s="1900"/>
    </row>
    <row r="4" spans="1:25" s="27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72" customFormat="1" ht="25.5" customHeight="1" x14ac:dyDescent="0.25">
      <c r="A5" s="1901"/>
      <c r="B5" s="1901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930" t="s">
        <v>256</v>
      </c>
      <c r="R14" s="1930"/>
      <c r="S14" s="276"/>
      <c r="T14" s="1893" t="s">
        <v>46</v>
      </c>
      <c r="U14" s="270" t="s">
        <v>176</v>
      </c>
      <c r="V14" s="1918">
        <v>1698</v>
      </c>
      <c r="W14" s="1926"/>
      <c r="X14" s="1919"/>
    </row>
    <row r="15" spans="1:25" ht="22.5" customHeight="1" x14ac:dyDescent="0.25">
      <c r="A15" s="100" t="s">
        <v>38</v>
      </c>
      <c r="B15" s="1918">
        <v>385954</v>
      </c>
      <c r="C15" s="1919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1920">
        <v>47</v>
      </c>
      <c r="R15" s="1920"/>
      <c r="S15" s="270">
        <v>0</v>
      </c>
      <c r="T15" s="1893"/>
      <c r="U15" s="270" t="s">
        <v>64</v>
      </c>
      <c r="V15" s="1920">
        <v>10617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1883"/>
      <c r="R16" s="1883"/>
      <c r="S16" s="273"/>
      <c r="T16" s="1912" t="s">
        <v>55</v>
      </c>
      <c r="U16" s="1912"/>
      <c r="V16" s="1925">
        <f>Y12</f>
        <v>101716.3475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883"/>
      <c r="R17" s="1883"/>
      <c r="S17" s="269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70351</v>
      </c>
      <c r="C18" s="1919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920"/>
      <c r="R18" s="1920"/>
      <c r="S18" s="270"/>
      <c r="T18" s="1912" t="s">
        <v>57</v>
      </c>
      <c r="U18" s="1912"/>
      <c r="V18" s="1920">
        <f>470+500</f>
        <v>970</v>
      </c>
      <c r="W18" s="1920"/>
      <c r="X18" s="1920"/>
      <c r="Y18" s="1927" t="s">
        <v>287</v>
      </c>
    </row>
    <row r="19" spans="1:25" ht="25.5" customHeight="1" x14ac:dyDescent="0.25">
      <c r="A19" s="100" t="s">
        <v>41</v>
      </c>
      <c r="B19" s="1918">
        <f>B15+B16+B17-B18</f>
        <v>315603</v>
      </c>
      <c r="C19" s="1919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918">
        <f t="shared" ref="Q19" si="14">Q15+Q16+Q17-Q18</f>
        <v>47</v>
      </c>
      <c r="R19" s="1919"/>
      <c r="S19" s="270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303767.88750000001</v>
      </c>
      <c r="C20" s="1945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44">
        <f>241*Q19</f>
        <v>11327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1274800.8875</v>
      </c>
      <c r="C21" s="1951"/>
      <c r="O21" s="277"/>
      <c r="P21" s="277"/>
      <c r="Q21" s="277"/>
      <c r="R21" s="277"/>
      <c r="T21" s="1931" t="s">
        <v>167</v>
      </c>
      <c r="U21" s="1932"/>
      <c r="V21" s="1918">
        <v>100000</v>
      </c>
      <c r="W21" s="1926"/>
      <c r="X21" s="1919"/>
      <c r="Y21" s="1927"/>
    </row>
    <row r="22" spans="1:25" ht="35.25" customHeight="1" x14ac:dyDescent="0.25">
      <c r="A22" s="15"/>
      <c r="B22" s="1946" t="s">
        <v>49</v>
      </c>
      <c r="C22" s="1949">
        <v>1068312</v>
      </c>
      <c r="D22" s="1949"/>
      <c r="E22" s="1949"/>
      <c r="F22" s="1949">
        <f>C22-D22+E22</f>
        <v>1068312</v>
      </c>
      <c r="G22" s="277"/>
      <c r="Q22" s="277"/>
      <c r="R22" s="277"/>
      <c r="T22" s="1909" t="s">
        <v>83</v>
      </c>
      <c r="U22" s="50" t="s">
        <v>60</v>
      </c>
      <c r="V22" s="1920">
        <v>100820</v>
      </c>
      <c r="W22" s="1920"/>
      <c r="X22" s="1920"/>
      <c r="Y22" s="1927"/>
    </row>
    <row r="23" spans="1:25" ht="39.75" customHeight="1" x14ac:dyDescent="0.25">
      <c r="A23" s="277"/>
      <c r="B23" s="1947"/>
      <c r="C23" s="1950"/>
      <c r="D23" s="1950"/>
      <c r="E23" s="1950"/>
      <c r="F23" s="1950"/>
      <c r="G23" s="277"/>
      <c r="Q23" s="277"/>
      <c r="R23" s="277"/>
      <c r="T23" s="1910"/>
      <c r="U23" s="50" t="s">
        <v>61</v>
      </c>
      <c r="V23" s="1920">
        <v>100000</v>
      </c>
      <c r="W23" s="1920"/>
      <c r="X23" s="1920"/>
      <c r="Y23" s="1927"/>
    </row>
    <row r="24" spans="1:25" ht="48" customHeight="1" x14ac:dyDescent="0.25">
      <c r="A24" s="277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893" t="s">
        <v>47</v>
      </c>
      <c r="U24" s="51" t="s">
        <v>62</v>
      </c>
      <c r="V24" s="1921">
        <f>V14+V16+V17-V18-V19-V20-V22+V23-V21</f>
        <v>1624.3475000000035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11437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77"/>
      <c r="J33" s="277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900" t="s">
        <v>288</v>
      </c>
      <c r="U3" s="1900"/>
      <c r="V3" s="1900"/>
      <c r="W3" s="1900"/>
      <c r="X3" s="1900"/>
      <c r="Y3" s="1900"/>
    </row>
    <row r="4" spans="1:25" s="27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78" customFormat="1" ht="25.5" customHeight="1" x14ac:dyDescent="0.25">
      <c r="A5" s="1901"/>
      <c r="B5" s="1901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930" t="s">
        <v>256</v>
      </c>
      <c r="R14" s="1930"/>
      <c r="S14" s="287"/>
      <c r="T14" s="1893" t="s">
        <v>46</v>
      </c>
      <c r="U14" s="279" t="s">
        <v>176</v>
      </c>
      <c r="V14" s="1918">
        <v>1624</v>
      </c>
      <c r="W14" s="1926"/>
      <c r="X14" s="1919"/>
    </row>
    <row r="15" spans="1:25" ht="22.5" customHeight="1" x14ac:dyDescent="0.25">
      <c r="A15" s="100" t="s">
        <v>38</v>
      </c>
      <c r="B15" s="1918">
        <v>315603</v>
      </c>
      <c r="C15" s="1919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1920">
        <v>47</v>
      </c>
      <c r="R15" s="1920"/>
      <c r="S15" s="279">
        <v>0</v>
      </c>
      <c r="T15" s="1893"/>
      <c r="U15" s="279" t="s">
        <v>64</v>
      </c>
      <c r="V15" s="1920">
        <v>11437</v>
      </c>
      <c r="W15" s="1920"/>
      <c r="X15" s="1920"/>
    </row>
    <row r="16" spans="1:25" ht="24.75" customHeight="1" x14ac:dyDescent="0.25">
      <c r="A16" s="100" t="s">
        <v>39</v>
      </c>
      <c r="B16" s="1918">
        <v>51948</v>
      </c>
      <c r="C16" s="1919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1883"/>
      <c r="R16" s="1883"/>
      <c r="S16" s="284"/>
      <c r="T16" s="1912" t="s">
        <v>55</v>
      </c>
      <c r="U16" s="1912"/>
      <c r="V16" s="1925">
        <f>Y12</f>
        <v>600431.71499999997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883"/>
      <c r="R17" s="1883"/>
      <c r="S17" s="281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112774</v>
      </c>
      <c r="C18" s="1919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920"/>
      <c r="R18" s="1920"/>
      <c r="S18" s="279"/>
      <c r="T18" s="1912" t="s">
        <v>57</v>
      </c>
      <c r="U18" s="1912"/>
      <c r="V18" s="1920">
        <f>520+200+4010</f>
        <v>4730</v>
      </c>
      <c r="W18" s="1920"/>
      <c r="X18" s="1920"/>
      <c r="Y18" s="1927" t="s">
        <v>289</v>
      </c>
    </row>
    <row r="19" spans="1:25" ht="25.5" customHeight="1" x14ac:dyDescent="0.25">
      <c r="A19" s="100" t="s">
        <v>41</v>
      </c>
      <c r="B19" s="1918">
        <f>B15+B16+B17-B18</f>
        <v>254777</v>
      </c>
      <c r="C19" s="1919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918">
        <f t="shared" ref="Q19" si="14">Q15+Q16+Q17-Q18</f>
        <v>47</v>
      </c>
      <c r="R19" s="1919"/>
      <c r="S19" s="279">
        <f>S15+S16-S17-S18</f>
        <v>0</v>
      </c>
      <c r="T19" s="1914" t="s">
        <v>48</v>
      </c>
      <c r="U19" s="49" t="s">
        <v>58</v>
      </c>
      <c r="V19" s="1920">
        <v>302312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245222.86250000002</v>
      </c>
      <c r="C20" s="1945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44">
        <f>241*Q19</f>
        <v>11327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729186.66250000009</v>
      </c>
      <c r="C21" s="1951"/>
      <c r="O21" s="288"/>
      <c r="P21" s="288"/>
      <c r="Q21" s="288"/>
      <c r="R21" s="288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46" t="s">
        <v>49</v>
      </c>
      <c r="C22" s="1949">
        <v>1068312</v>
      </c>
      <c r="D22" s="1949">
        <v>302312</v>
      </c>
      <c r="E22" s="1949">
        <v>50000</v>
      </c>
      <c r="F22" s="1949">
        <f>C22-D22+E22</f>
        <v>816000</v>
      </c>
      <c r="G22" s="288"/>
      <c r="Q22" s="288"/>
      <c r="R22" s="288"/>
      <c r="T22" s="1909" t="s">
        <v>83</v>
      </c>
      <c r="U22" s="50" t="s">
        <v>60</v>
      </c>
      <c r="V22" s="1920">
        <v>597150</v>
      </c>
      <c r="W22" s="1920"/>
      <c r="X22" s="1920"/>
      <c r="Y22" s="1927"/>
    </row>
    <row r="23" spans="1:25" ht="39.75" customHeight="1" x14ac:dyDescent="0.25">
      <c r="A23" s="288"/>
      <c r="B23" s="1947"/>
      <c r="C23" s="1950"/>
      <c r="D23" s="1950"/>
      <c r="E23" s="1950"/>
      <c r="F23" s="1950"/>
      <c r="G23" s="288"/>
      <c r="Q23" s="288"/>
      <c r="R23" s="288"/>
      <c r="T23" s="1910"/>
      <c r="U23" s="50" t="s">
        <v>61</v>
      </c>
      <c r="V23" s="1920">
        <v>302312</v>
      </c>
      <c r="W23" s="1920"/>
      <c r="X23" s="1920"/>
      <c r="Y23" s="1927"/>
    </row>
    <row r="24" spans="1:25" ht="48" customHeight="1" x14ac:dyDescent="0.25">
      <c r="A24" s="288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893" t="s">
        <v>47</v>
      </c>
      <c r="U24" s="51" t="s">
        <v>62</v>
      </c>
      <c r="V24" s="1921">
        <f>V14+V16+V17-V18-V19-V20-V22+V23-V21</f>
        <v>175.7149999999674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306275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88"/>
      <c r="J33" s="288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900" t="s">
        <v>290</v>
      </c>
      <c r="U3" s="1900"/>
      <c r="V3" s="1900"/>
      <c r="W3" s="1900"/>
      <c r="X3" s="1900"/>
      <c r="Y3" s="1900"/>
    </row>
    <row r="4" spans="1:25" s="27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78" customFormat="1" ht="25.5" customHeight="1" x14ac:dyDescent="0.25">
      <c r="A5" s="1901"/>
      <c r="B5" s="1901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930" t="s">
        <v>256</v>
      </c>
      <c r="R14" s="1930"/>
      <c r="S14" s="287"/>
      <c r="T14" s="1893" t="s">
        <v>46</v>
      </c>
      <c r="U14" s="279" t="s">
        <v>176</v>
      </c>
      <c r="V14" s="1918">
        <v>176</v>
      </c>
      <c r="W14" s="1926"/>
      <c r="X14" s="1919"/>
    </row>
    <row r="15" spans="1:25" ht="22.5" customHeight="1" x14ac:dyDescent="0.25">
      <c r="A15" s="100" t="s">
        <v>38</v>
      </c>
      <c r="B15" s="1918">
        <v>254777</v>
      </c>
      <c r="C15" s="1919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1920">
        <v>47</v>
      </c>
      <c r="R15" s="1920"/>
      <c r="S15" s="279">
        <v>0</v>
      </c>
      <c r="T15" s="1893"/>
      <c r="U15" s="279" t="s">
        <v>64</v>
      </c>
      <c r="V15" s="1920">
        <v>306275</v>
      </c>
      <c r="W15" s="1920"/>
      <c r="X15" s="1920"/>
    </row>
    <row r="16" spans="1:25" ht="24.75" customHeight="1" x14ac:dyDescent="0.25">
      <c r="A16" s="100" t="s">
        <v>39</v>
      </c>
      <c r="B16" s="1918">
        <v>280519</v>
      </c>
      <c r="C16" s="1919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1883"/>
      <c r="R16" s="1883"/>
      <c r="S16" s="284"/>
      <c r="T16" s="1912" t="s">
        <v>55</v>
      </c>
      <c r="U16" s="1912"/>
      <c r="V16" s="1925">
        <f>Y12</f>
        <v>156622.57499999998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883"/>
      <c r="R17" s="1883"/>
      <c r="S17" s="281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150670</v>
      </c>
      <c r="C18" s="1919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920"/>
      <c r="R18" s="1920"/>
      <c r="S18" s="279"/>
      <c r="T18" s="1912" t="s">
        <v>57</v>
      </c>
      <c r="U18" s="1912"/>
      <c r="V18" s="1920">
        <v>470</v>
      </c>
      <c r="W18" s="1920"/>
      <c r="X18" s="1920"/>
      <c r="Y18" s="1927" t="s">
        <v>291</v>
      </c>
    </row>
    <row r="19" spans="1:25" ht="25.5" customHeight="1" x14ac:dyDescent="0.25">
      <c r="A19" s="100" t="s">
        <v>41</v>
      </c>
      <c r="B19" s="1918">
        <f>B15+B16+B17-B18</f>
        <v>384626</v>
      </c>
      <c r="C19" s="1919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918">
        <f t="shared" ref="Q19" si="14">Q15+Q16+Q17-Q18</f>
        <v>47</v>
      </c>
      <c r="R19" s="1919"/>
      <c r="S19" s="279">
        <f>S15+S16-S17-S18</f>
        <v>0</v>
      </c>
      <c r="T19" s="1914" t="s">
        <v>48</v>
      </c>
      <c r="U19" s="49" t="s">
        <v>58</v>
      </c>
      <c r="V19" s="1920">
        <v>130049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370202.52500000002</v>
      </c>
      <c r="C20" s="1945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44">
        <f>241*Q19</f>
        <v>11327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924380.32499999995</v>
      </c>
      <c r="C21" s="1951"/>
      <c r="O21" s="288"/>
      <c r="P21" s="288"/>
      <c r="Q21" s="288"/>
      <c r="R21" s="288"/>
      <c r="T21" s="1931" t="s">
        <v>167</v>
      </c>
      <c r="U21" s="1932"/>
      <c r="V21" s="1918">
        <v>18000</v>
      </c>
      <c r="W21" s="1926"/>
      <c r="X21" s="1919"/>
      <c r="Y21" s="1927"/>
    </row>
    <row r="22" spans="1:25" ht="35.25" customHeight="1" x14ac:dyDescent="0.25">
      <c r="A22" s="15"/>
      <c r="B22" s="1946" t="s">
        <v>49</v>
      </c>
      <c r="C22" s="1949">
        <v>816000</v>
      </c>
      <c r="D22" s="1949">
        <v>130049</v>
      </c>
      <c r="E22" s="1949">
        <v>350051</v>
      </c>
      <c r="F22" s="1949">
        <f>C22-D22+E22</f>
        <v>1036002</v>
      </c>
      <c r="G22" s="288"/>
      <c r="Q22" s="288"/>
      <c r="R22" s="288"/>
      <c r="T22" s="1909" t="s">
        <v>83</v>
      </c>
      <c r="U22" s="50" t="s">
        <v>60</v>
      </c>
      <c r="V22" s="1920">
        <v>136300</v>
      </c>
      <c r="W22" s="1920"/>
      <c r="X22" s="1920"/>
      <c r="Y22" s="1927"/>
    </row>
    <row r="23" spans="1:25" ht="39.75" customHeight="1" x14ac:dyDescent="0.25">
      <c r="A23" s="288"/>
      <c r="B23" s="1947"/>
      <c r="C23" s="1950"/>
      <c r="D23" s="1950"/>
      <c r="E23" s="1950"/>
      <c r="F23" s="1950"/>
      <c r="G23" s="288"/>
      <c r="Q23" s="288"/>
      <c r="R23" s="288"/>
      <c r="T23" s="1910"/>
      <c r="U23" s="50" t="s">
        <v>61</v>
      </c>
      <c r="V23" s="1920">
        <v>130049</v>
      </c>
      <c r="W23" s="1920"/>
      <c r="X23" s="1920"/>
      <c r="Y23" s="1927"/>
    </row>
    <row r="24" spans="1:25" ht="48" customHeight="1" x14ac:dyDescent="0.25">
      <c r="A24" s="288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893" t="s">
        <v>47</v>
      </c>
      <c r="U24" s="51" t="s">
        <v>62</v>
      </c>
      <c r="V24" s="1921">
        <f>V14+V16+V17-V18-V19-V20-V22+V23-V21</f>
        <v>2028.5749999999825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312526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88"/>
      <c r="J33" s="288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900" t="s">
        <v>292</v>
      </c>
      <c r="U3" s="1900"/>
      <c r="V3" s="1900"/>
      <c r="W3" s="1900"/>
      <c r="X3" s="1900"/>
      <c r="Y3" s="1900"/>
    </row>
    <row r="4" spans="1:25" s="27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78" customFormat="1" ht="25.5" customHeight="1" x14ac:dyDescent="0.25">
      <c r="A5" s="1901"/>
      <c r="B5" s="1901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930" t="s">
        <v>256</v>
      </c>
      <c r="R14" s="1930"/>
      <c r="S14" s="287"/>
      <c r="T14" s="1893" t="s">
        <v>46</v>
      </c>
      <c r="U14" s="279" t="s">
        <v>176</v>
      </c>
      <c r="V14" s="1918">
        <v>2029</v>
      </c>
      <c r="W14" s="1926"/>
      <c r="X14" s="1919"/>
    </row>
    <row r="15" spans="1:25" ht="22.5" customHeight="1" x14ac:dyDescent="0.25">
      <c r="A15" s="100" t="s">
        <v>38</v>
      </c>
      <c r="B15" s="1918">
        <v>384626</v>
      </c>
      <c r="C15" s="1919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920">
        <v>47</v>
      </c>
      <c r="R15" s="1920"/>
      <c r="S15" s="279">
        <v>0</v>
      </c>
      <c r="T15" s="1893"/>
      <c r="U15" s="279" t="s">
        <v>64</v>
      </c>
      <c r="V15" s="1920">
        <v>312526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1883"/>
      <c r="R16" s="1883"/>
      <c r="S16" s="284"/>
      <c r="T16" s="1912" t="s">
        <v>55</v>
      </c>
      <c r="U16" s="1912"/>
      <c r="V16" s="1925">
        <f>Y12</f>
        <v>149867.9975</v>
      </c>
      <c r="W16" s="1925"/>
      <c r="X16" s="1920"/>
    </row>
    <row r="17" spans="1:25" ht="28.5" customHeight="1" x14ac:dyDescent="0.25">
      <c r="A17" s="101" t="s">
        <v>44</v>
      </c>
      <c r="B17" s="1918">
        <v>50972</v>
      </c>
      <c r="C17" s="1919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883"/>
      <c r="R17" s="1883"/>
      <c r="S17" s="281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139491</v>
      </c>
      <c r="C18" s="1919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920"/>
      <c r="R18" s="1920"/>
      <c r="S18" s="279"/>
      <c r="T18" s="1912" t="s">
        <v>57</v>
      </c>
      <c r="U18" s="1912"/>
      <c r="V18" s="1920">
        <v>520</v>
      </c>
      <c r="W18" s="1920"/>
      <c r="X18" s="1920"/>
      <c r="Y18" s="1927" t="s">
        <v>291</v>
      </c>
    </row>
    <row r="19" spans="1:25" ht="25.5" customHeight="1" x14ac:dyDescent="0.25">
      <c r="A19" s="100" t="s">
        <v>41</v>
      </c>
      <c r="B19" s="1918">
        <f>B15+B16+B17-B18</f>
        <v>296107</v>
      </c>
      <c r="C19" s="1919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918">
        <f t="shared" ref="Q19" si="14">Q15+Q16+Q17-Q18</f>
        <v>47</v>
      </c>
      <c r="R19" s="1919"/>
      <c r="S19" s="279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285002.98749999999</v>
      </c>
      <c r="C20" s="1945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44">
        <f>241*Q19</f>
        <v>11327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825108.38749999995</v>
      </c>
      <c r="C21" s="1951"/>
      <c r="O21" s="288"/>
      <c r="P21" s="288"/>
      <c r="Q21" s="288"/>
      <c r="R21" s="288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46" t="s">
        <v>49</v>
      </c>
      <c r="C22" s="1949">
        <v>1036002</v>
      </c>
      <c r="D22" s="1949"/>
      <c r="E22" s="1949"/>
      <c r="F22" s="1949">
        <f>C22-D22+E22</f>
        <v>1036002</v>
      </c>
      <c r="G22" s="288"/>
      <c r="Q22" s="288"/>
      <c r="R22" s="288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288"/>
      <c r="B23" s="1947"/>
      <c r="C23" s="1950"/>
      <c r="D23" s="1950"/>
      <c r="E23" s="1950"/>
      <c r="F23" s="1950"/>
      <c r="G23" s="288"/>
      <c r="Q23" s="288"/>
      <c r="R23" s="288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288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893" t="s">
        <v>47</v>
      </c>
      <c r="U24" s="51" t="s">
        <v>62</v>
      </c>
      <c r="V24" s="1921">
        <f>V14+V16+V17-V18-V19-V20-V22+V23-V21</f>
        <v>151376.9975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312526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88"/>
      <c r="J33" s="288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900" t="s">
        <v>293</v>
      </c>
      <c r="U3" s="1900"/>
      <c r="V3" s="1900"/>
      <c r="W3" s="1900"/>
      <c r="X3" s="1900"/>
      <c r="Y3" s="1900"/>
    </row>
    <row r="4" spans="1:25" s="27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78" customFormat="1" ht="25.5" customHeight="1" x14ac:dyDescent="0.25">
      <c r="A5" s="1901"/>
      <c r="B5" s="1901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930" t="s">
        <v>256</v>
      </c>
      <c r="R14" s="1930"/>
      <c r="S14" s="287"/>
      <c r="T14" s="1893" t="s">
        <v>46</v>
      </c>
      <c r="U14" s="279" t="s">
        <v>176</v>
      </c>
      <c r="V14" s="1918">
        <v>151377</v>
      </c>
      <c r="W14" s="1926"/>
      <c r="X14" s="1919"/>
    </row>
    <row r="15" spans="1:25" ht="22.5" customHeight="1" x14ac:dyDescent="0.25">
      <c r="A15" s="100" t="s">
        <v>38</v>
      </c>
      <c r="B15" s="1918">
        <v>296107</v>
      </c>
      <c r="C15" s="1919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920">
        <v>47</v>
      </c>
      <c r="R15" s="1920"/>
      <c r="S15" s="279">
        <v>0</v>
      </c>
      <c r="T15" s="1893"/>
      <c r="U15" s="279" t="s">
        <v>64</v>
      </c>
      <c r="V15" s="1920">
        <v>312526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1883"/>
      <c r="R16" s="1883"/>
      <c r="S16" s="284"/>
      <c r="T16" s="1912" t="s">
        <v>55</v>
      </c>
      <c r="U16" s="1912"/>
      <c r="V16" s="1925">
        <f>Y12</f>
        <v>191564.69750000001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883"/>
      <c r="R17" s="1883"/>
      <c r="S17" s="281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93611</v>
      </c>
      <c r="C18" s="1919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1920">
        <v>47</v>
      </c>
      <c r="R18" s="1920"/>
      <c r="S18" s="279"/>
      <c r="T18" s="1912" t="s">
        <v>57</v>
      </c>
      <c r="U18" s="1912"/>
      <c r="V18" s="1920">
        <f>470+150+46417</f>
        <v>47037</v>
      </c>
      <c r="W18" s="1920"/>
      <c r="X18" s="1920"/>
      <c r="Y18" s="1927" t="s">
        <v>294</v>
      </c>
    </row>
    <row r="19" spans="1:25" ht="25.5" customHeight="1" x14ac:dyDescent="0.25">
      <c r="A19" s="100" t="s">
        <v>41</v>
      </c>
      <c r="B19" s="1918">
        <f>B15+B16+B17-B18</f>
        <v>202496</v>
      </c>
      <c r="C19" s="1919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918">
        <f t="shared" ref="Q19" si="14">Q15+Q16+Q17-Q18</f>
        <v>0</v>
      </c>
      <c r="R19" s="1919"/>
      <c r="S19" s="279">
        <f>S15+S16-S17-S18</f>
        <v>0</v>
      </c>
      <c r="T19" s="1914" t="s">
        <v>48</v>
      </c>
      <c r="U19" s="49" t="s">
        <v>58</v>
      </c>
      <c r="V19" s="1920">
        <v>438700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194902.39999999999</v>
      </c>
      <c r="C20" s="1945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634776.19999999995</v>
      </c>
      <c r="C21" s="1951"/>
      <c r="O21" s="288"/>
      <c r="P21" s="288"/>
      <c r="Q21" s="288"/>
      <c r="R21" s="288"/>
      <c r="T21" s="1931" t="s">
        <v>167</v>
      </c>
      <c r="U21" s="1932"/>
      <c r="V21" s="1918"/>
      <c r="W21" s="1926"/>
      <c r="X21" s="1919"/>
      <c r="Y21" s="1927"/>
    </row>
    <row r="22" spans="1:25" ht="35.25" customHeight="1" x14ac:dyDescent="0.25">
      <c r="A22" s="15"/>
      <c r="B22" s="1946" t="s">
        <v>49</v>
      </c>
      <c r="C22" s="1949">
        <v>1036002</v>
      </c>
      <c r="D22" s="1949">
        <v>438700</v>
      </c>
      <c r="E22" s="1949"/>
      <c r="F22" s="1949">
        <f>C22-D22+E22</f>
        <v>597302</v>
      </c>
      <c r="G22" s="288"/>
      <c r="Q22" s="288"/>
      <c r="R22" s="288"/>
      <c r="T22" s="1909" t="s">
        <v>83</v>
      </c>
      <c r="U22" s="50" t="s">
        <v>60</v>
      </c>
      <c r="V22" s="1920">
        <v>266420</v>
      </c>
      <c r="W22" s="1920"/>
      <c r="X22" s="1920"/>
      <c r="Y22" s="1927"/>
    </row>
    <row r="23" spans="1:25" ht="39.75" customHeight="1" x14ac:dyDescent="0.25">
      <c r="A23" s="288"/>
      <c r="B23" s="1947"/>
      <c r="C23" s="1950"/>
      <c r="D23" s="1950"/>
      <c r="E23" s="1950"/>
      <c r="F23" s="1950"/>
      <c r="G23" s="288"/>
      <c r="Q23" s="288"/>
      <c r="R23" s="288"/>
      <c r="T23" s="1910"/>
      <c r="U23" s="50" t="s">
        <v>61</v>
      </c>
      <c r="V23" s="1920">
        <v>438700</v>
      </c>
      <c r="W23" s="1920"/>
      <c r="X23" s="1920"/>
      <c r="Y23" s="1927"/>
    </row>
    <row r="24" spans="1:25" ht="48" customHeight="1" x14ac:dyDescent="0.25">
      <c r="A24" s="288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893" t="s">
        <v>47</v>
      </c>
      <c r="U24" s="51" t="s">
        <v>62</v>
      </c>
      <c r="V24" s="1921">
        <f>V14+V16+V17-V18-V19-V20-V22+V23-V21</f>
        <v>29484.697500000009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140246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288"/>
      <c r="J33" s="288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900" t="s">
        <v>295</v>
      </c>
      <c r="U3" s="1900"/>
      <c r="V3" s="1900"/>
      <c r="W3" s="1900"/>
      <c r="X3" s="1900"/>
      <c r="Y3" s="1900"/>
    </row>
    <row r="4" spans="1:25" s="29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97" customFormat="1" ht="25.5" customHeight="1" x14ac:dyDescent="0.25">
      <c r="A5" s="1901"/>
      <c r="B5" s="1901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930" t="s">
        <v>256</v>
      </c>
      <c r="R14" s="1930"/>
      <c r="S14" s="301"/>
      <c r="T14" s="1893" t="s">
        <v>46</v>
      </c>
      <c r="U14" s="295" t="s">
        <v>176</v>
      </c>
      <c r="V14" s="1918">
        <v>29485</v>
      </c>
      <c r="W14" s="1926"/>
      <c r="X14" s="1919"/>
    </row>
    <row r="15" spans="1:25" ht="22.5" customHeight="1" x14ac:dyDescent="0.25">
      <c r="A15" s="100" t="s">
        <v>38</v>
      </c>
      <c r="B15" s="1918">
        <v>202496</v>
      </c>
      <c r="C15" s="1919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920">
        <v>0</v>
      </c>
      <c r="R15" s="1920"/>
      <c r="S15" s="295">
        <v>0</v>
      </c>
      <c r="T15" s="1893"/>
      <c r="U15" s="295" t="s">
        <v>64</v>
      </c>
      <c r="V15" s="1920">
        <v>140246</v>
      </c>
      <c r="W15" s="1920"/>
      <c r="X15" s="1920"/>
    </row>
    <row r="16" spans="1:25" ht="24.75" customHeight="1" x14ac:dyDescent="0.25">
      <c r="A16" s="100" t="s">
        <v>39</v>
      </c>
      <c r="B16" s="1918">
        <v>166263</v>
      </c>
      <c r="C16" s="1919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1883"/>
      <c r="R16" s="1883"/>
      <c r="S16" s="298"/>
      <c r="T16" s="1912" t="s">
        <v>55</v>
      </c>
      <c r="U16" s="1912"/>
      <c r="V16" s="1925">
        <f>Y12</f>
        <v>207815.48500000002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883"/>
      <c r="R17" s="1883"/>
      <c r="S17" s="294"/>
      <c r="T17" s="1952" t="s">
        <v>296</v>
      </c>
      <c r="U17" s="1953"/>
      <c r="V17" s="1954">
        <v>250000</v>
      </c>
      <c r="W17" s="1954"/>
      <c r="X17" s="1954"/>
    </row>
    <row r="18" spans="1:25" ht="27" customHeight="1" x14ac:dyDescent="0.25">
      <c r="A18" s="100" t="s">
        <v>40</v>
      </c>
      <c r="B18" s="1922">
        <f>C12</f>
        <v>179546</v>
      </c>
      <c r="C18" s="1919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920"/>
      <c r="R18" s="1920"/>
      <c r="S18" s="295"/>
      <c r="T18" s="1912" t="s">
        <v>57</v>
      </c>
      <c r="U18" s="1912"/>
      <c r="V18" s="1920">
        <f>520+260</f>
        <v>780</v>
      </c>
      <c r="W18" s="1920"/>
      <c r="X18" s="1920"/>
      <c r="Y18" s="1927" t="s">
        <v>297</v>
      </c>
    </row>
    <row r="19" spans="1:25" ht="25.5" customHeight="1" x14ac:dyDescent="0.25">
      <c r="A19" s="100" t="s">
        <v>41</v>
      </c>
      <c r="B19" s="1918">
        <f>B15+B16+B17-B18</f>
        <v>189213</v>
      </c>
      <c r="C19" s="1919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918">
        <f t="shared" ref="Q19" si="14">Q15+Q16+Q17-Q18</f>
        <v>0</v>
      </c>
      <c r="R19" s="1919"/>
      <c r="S19" s="295">
        <f>S15+S16-S17-S18</f>
        <v>0</v>
      </c>
      <c r="T19" s="1914" t="s">
        <v>48</v>
      </c>
      <c r="U19" s="49" t="s">
        <v>58</v>
      </c>
      <c r="V19" s="1920">
        <v>597331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182117.51250000001</v>
      </c>
      <c r="C20" s="1945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613175.01249999995</v>
      </c>
      <c r="C21" s="1951"/>
      <c r="O21" s="302"/>
      <c r="P21" s="302"/>
      <c r="Q21" s="302"/>
      <c r="R21" s="302"/>
      <c r="T21" s="1952" t="s">
        <v>167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597302</v>
      </c>
      <c r="D22" s="1949">
        <v>597331</v>
      </c>
      <c r="E22" s="1949">
        <v>184129</v>
      </c>
      <c r="F22" s="1949">
        <f>C22-D22+E22</f>
        <v>184100</v>
      </c>
      <c r="G22" s="302"/>
      <c r="Q22" s="302"/>
      <c r="R22" s="302"/>
      <c r="T22" s="1909" t="s">
        <v>83</v>
      </c>
      <c r="U22" s="50" t="s">
        <v>60</v>
      </c>
      <c r="V22" s="1920">
        <v>483620</v>
      </c>
      <c r="W22" s="1920"/>
      <c r="X22" s="1920"/>
      <c r="Y22" s="1927"/>
    </row>
    <row r="23" spans="1:25" ht="39.75" customHeight="1" x14ac:dyDescent="0.25">
      <c r="A23" s="302"/>
      <c r="B23" s="1947"/>
      <c r="C23" s="1950"/>
      <c r="D23" s="1950"/>
      <c r="E23" s="1950"/>
      <c r="F23" s="1950"/>
      <c r="G23" s="302"/>
      <c r="Q23" s="302"/>
      <c r="R23" s="302"/>
      <c r="T23" s="1910"/>
      <c r="U23" s="50" t="s">
        <v>61</v>
      </c>
      <c r="V23" s="1920">
        <v>597331</v>
      </c>
      <c r="W23" s="1920"/>
      <c r="X23" s="1920"/>
      <c r="Y23" s="1927"/>
    </row>
    <row r="24" spans="1:25" ht="48" customHeight="1" x14ac:dyDescent="0.25">
      <c r="A24" s="302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893" t="s">
        <v>47</v>
      </c>
      <c r="U24" s="51" t="s">
        <v>62</v>
      </c>
      <c r="V24" s="1921">
        <f>V14+V16+V17-V18-V19-V20-V22+V23-V21</f>
        <v>2900.484999999986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26535</v>
      </c>
      <c r="W25" s="1920"/>
      <c r="X25" s="1920"/>
    </row>
    <row r="26" spans="1:25" ht="36" customHeight="1" x14ac:dyDescent="0.25"/>
    <row r="32" spans="1:25" x14ac:dyDescent="0.25">
      <c r="I32" s="1938"/>
      <c r="J32" s="1938"/>
      <c r="K32" s="1938"/>
      <c r="L32" s="1938"/>
    </row>
    <row r="33" spans="9:12" x14ac:dyDescent="0.25">
      <c r="I33" s="302"/>
      <c r="J33" s="302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900" t="s">
        <v>298</v>
      </c>
      <c r="U3" s="1900"/>
      <c r="V3" s="1900"/>
      <c r="W3" s="1900"/>
      <c r="X3" s="1900"/>
      <c r="Y3" s="1900"/>
    </row>
    <row r="4" spans="1:25" s="29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97" customFormat="1" ht="25.5" customHeight="1" x14ac:dyDescent="0.25">
      <c r="A5" s="1901"/>
      <c r="B5" s="1901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930"/>
      <c r="R14" s="1930"/>
      <c r="S14" s="301"/>
      <c r="T14" s="1893" t="s">
        <v>46</v>
      </c>
      <c r="U14" s="295" t="s">
        <v>176</v>
      </c>
      <c r="V14" s="1918">
        <v>2900</v>
      </c>
      <c r="W14" s="1926"/>
      <c r="X14" s="1919"/>
    </row>
    <row r="15" spans="1:25" ht="22.5" customHeight="1" x14ac:dyDescent="0.25">
      <c r="A15" s="100" t="s">
        <v>38</v>
      </c>
      <c r="B15" s="1918">
        <v>189213</v>
      </c>
      <c r="C15" s="1919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920">
        <v>0</v>
      </c>
      <c r="R15" s="1920"/>
      <c r="S15" s="295">
        <v>0</v>
      </c>
      <c r="T15" s="1893"/>
      <c r="U15" s="295" t="s">
        <v>64</v>
      </c>
      <c r="V15" s="1920">
        <v>26535</v>
      </c>
      <c r="W15" s="1920"/>
      <c r="X15" s="1920"/>
    </row>
    <row r="16" spans="1:25" ht="24.75" customHeight="1" x14ac:dyDescent="0.25">
      <c r="A16" s="100" t="s">
        <v>39</v>
      </c>
      <c r="B16" s="1918">
        <v>322077</v>
      </c>
      <c r="C16" s="1919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1883"/>
      <c r="R16" s="1883"/>
      <c r="S16" s="298"/>
      <c r="T16" s="1912" t="s">
        <v>55</v>
      </c>
      <c r="U16" s="1912"/>
      <c r="V16" s="1925">
        <f>Y12</f>
        <v>199110.57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883"/>
      <c r="R17" s="1883"/>
      <c r="S17" s="294"/>
      <c r="T17" s="1952" t="s">
        <v>296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196052</v>
      </c>
      <c r="C18" s="1919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920"/>
      <c r="R18" s="1920"/>
      <c r="S18" s="295"/>
      <c r="T18" s="1912" t="s">
        <v>57</v>
      </c>
      <c r="U18" s="1912"/>
      <c r="V18" s="1920">
        <f>470+2700+2033+918</f>
        <v>6121</v>
      </c>
      <c r="W18" s="1920"/>
      <c r="X18" s="1920"/>
      <c r="Y18" s="1927" t="s">
        <v>299</v>
      </c>
    </row>
    <row r="19" spans="1:25" ht="25.5" customHeight="1" x14ac:dyDescent="0.25">
      <c r="A19" s="100" t="s">
        <v>41</v>
      </c>
      <c r="B19" s="1918">
        <f>B15+B16+B17-B18</f>
        <v>315238</v>
      </c>
      <c r="C19" s="1919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918">
        <f t="shared" ref="Q19" si="14">Q15+Q16+Q17-Q18</f>
        <v>0</v>
      </c>
      <c r="R19" s="1919"/>
      <c r="S19" s="295">
        <f>S15+S16-S17-S18</f>
        <v>0</v>
      </c>
      <c r="T19" s="1914" t="s">
        <v>48</v>
      </c>
      <c r="U19" s="49" t="s">
        <v>58</v>
      </c>
      <c r="V19" s="1920">
        <v>184100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303416.57500000001</v>
      </c>
      <c r="C20" s="1945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726071.57499999995</v>
      </c>
      <c r="C21" s="1951"/>
      <c r="O21" s="302"/>
      <c r="P21" s="302"/>
      <c r="Q21" s="302"/>
      <c r="R21" s="302"/>
      <c r="T21" s="1952" t="s">
        <v>167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184100</v>
      </c>
      <c r="D22" s="1949">
        <v>184100</v>
      </c>
      <c r="E22" s="1949">
        <v>310000</v>
      </c>
      <c r="F22" s="1949">
        <f>C22-D22+E22</f>
        <v>310000</v>
      </c>
      <c r="G22" s="302"/>
      <c r="Q22" s="302"/>
      <c r="R22" s="302"/>
      <c r="T22" s="1909" t="s">
        <v>83</v>
      </c>
      <c r="U22" s="50" t="s">
        <v>60</v>
      </c>
      <c r="V22" s="1920">
        <v>181020</v>
      </c>
      <c r="W22" s="1920"/>
      <c r="X22" s="1920"/>
      <c r="Y22" s="1927"/>
    </row>
    <row r="23" spans="1:25" ht="39.75" customHeight="1" x14ac:dyDescent="0.25">
      <c r="A23" s="302"/>
      <c r="B23" s="1947"/>
      <c r="C23" s="1950"/>
      <c r="D23" s="1950"/>
      <c r="E23" s="1950"/>
      <c r="F23" s="1950"/>
      <c r="G23" s="302"/>
      <c r="Q23" s="302"/>
      <c r="R23" s="302"/>
      <c r="T23" s="1910"/>
      <c r="U23" s="50" t="s">
        <v>61</v>
      </c>
      <c r="V23" s="1920">
        <v>184100</v>
      </c>
      <c r="W23" s="1920"/>
      <c r="X23" s="1920"/>
      <c r="Y23" s="1927"/>
    </row>
    <row r="24" spans="1:25" ht="48" customHeight="1" x14ac:dyDescent="0.25">
      <c r="A24" s="302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893" t="s">
        <v>47</v>
      </c>
      <c r="U24" s="51" t="s">
        <v>62</v>
      </c>
      <c r="V24" s="1921">
        <f>V14+V16+V17-V18-V19-V20-V22+V23-V21</f>
        <v>14869.570000000007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23455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302"/>
      <c r="J33" s="302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900" t="s">
        <v>300</v>
      </c>
      <c r="U3" s="1900"/>
      <c r="V3" s="1900"/>
      <c r="W3" s="1900"/>
      <c r="X3" s="1900"/>
      <c r="Y3" s="1900"/>
    </row>
    <row r="4" spans="1:25" s="29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297" customFormat="1" ht="25.5" customHeight="1" x14ac:dyDescent="0.25">
      <c r="A5" s="1901"/>
      <c r="B5" s="1901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930" t="s">
        <v>301</v>
      </c>
      <c r="R14" s="1930"/>
      <c r="S14" s="301"/>
      <c r="T14" s="1893" t="s">
        <v>46</v>
      </c>
      <c r="U14" s="295" t="s">
        <v>176</v>
      </c>
      <c r="V14" s="1918">
        <v>14870</v>
      </c>
      <c r="W14" s="1926"/>
      <c r="X14" s="1919"/>
    </row>
    <row r="15" spans="1:25" ht="22.5" customHeight="1" x14ac:dyDescent="0.25">
      <c r="A15" s="100" t="s">
        <v>38</v>
      </c>
      <c r="B15" s="1918">
        <v>315238</v>
      </c>
      <c r="C15" s="1919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1920">
        <v>1078</v>
      </c>
      <c r="R15" s="1920"/>
      <c r="S15" s="295">
        <v>0</v>
      </c>
      <c r="T15" s="1893"/>
      <c r="U15" s="295" t="s">
        <v>64</v>
      </c>
      <c r="V15" s="1920">
        <v>23455</v>
      </c>
      <c r="W15" s="1920"/>
      <c r="X15" s="1920"/>
    </row>
    <row r="16" spans="1:25" ht="24.75" customHeight="1" x14ac:dyDescent="0.25">
      <c r="A16" s="100" t="s">
        <v>39</v>
      </c>
      <c r="B16" s="1918">
        <v>311203</v>
      </c>
      <c r="C16" s="1919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1883"/>
      <c r="R16" s="1883"/>
      <c r="S16" s="298"/>
      <c r="T16" s="1912" t="s">
        <v>55</v>
      </c>
      <c r="U16" s="1912"/>
      <c r="V16" s="1925">
        <f>Y12</f>
        <v>228647.98499999999</v>
      </c>
      <c r="W16" s="1925"/>
      <c r="X16" s="1920"/>
    </row>
    <row r="17" spans="1:25" ht="28.5" customHeight="1" x14ac:dyDescent="0.25">
      <c r="A17" s="101" t="s">
        <v>44</v>
      </c>
      <c r="B17" s="1918">
        <v>59740</v>
      </c>
      <c r="C17" s="1919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883"/>
      <c r="R17" s="1883"/>
      <c r="S17" s="294"/>
      <c r="T17" s="1952" t="s">
        <v>296</v>
      </c>
      <c r="U17" s="1953"/>
      <c r="V17" s="1954">
        <v>120000</v>
      </c>
      <c r="W17" s="1954"/>
      <c r="X17" s="1954"/>
    </row>
    <row r="18" spans="1:25" ht="27" customHeight="1" x14ac:dyDescent="0.25">
      <c r="A18" s="100" t="s">
        <v>40</v>
      </c>
      <c r="B18" s="1922">
        <f>C12</f>
        <v>194546</v>
      </c>
      <c r="C18" s="1919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920">
        <v>131</v>
      </c>
      <c r="R18" s="1920"/>
      <c r="S18" s="295"/>
      <c r="T18" s="1912" t="s">
        <v>57</v>
      </c>
      <c r="U18" s="1912"/>
      <c r="V18" s="1920">
        <f>470+210+2700</f>
        <v>3380</v>
      </c>
      <c r="W18" s="1920"/>
      <c r="X18" s="1920"/>
      <c r="Y18" s="1927" t="s">
        <v>231</v>
      </c>
    </row>
    <row r="19" spans="1:25" ht="25.5" customHeight="1" x14ac:dyDescent="0.25">
      <c r="A19" s="100" t="s">
        <v>41</v>
      </c>
      <c r="B19" s="1918">
        <f>B15+B16+B17-B18</f>
        <v>491635</v>
      </c>
      <c r="C19" s="1919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918">
        <f t="shared" ref="Q19" si="14">Q15+Q16+Q17-Q18</f>
        <v>947</v>
      </c>
      <c r="R19" s="1919"/>
      <c r="S19" s="295">
        <f>S15+S16-S17-S18</f>
        <v>0</v>
      </c>
      <c r="T19" s="1914" t="s">
        <v>48</v>
      </c>
      <c r="U19" s="49" t="s">
        <v>58</v>
      </c>
      <c r="V19" s="1920">
        <v>310000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473198.6875</v>
      </c>
      <c r="C20" s="1945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44">
        <f>241*Q19</f>
        <v>228227</v>
      </c>
      <c r="R20" s="1945"/>
      <c r="S20" s="290">
        <f>241*S19</f>
        <v>0</v>
      </c>
      <c r="T20" s="1915"/>
      <c r="U20" s="49" t="s">
        <v>59</v>
      </c>
      <c r="V20" s="1920">
        <v>31571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1483362.6875</v>
      </c>
      <c r="C21" s="1951"/>
      <c r="O21" s="302"/>
      <c r="P21" s="302"/>
      <c r="Q21" s="302"/>
      <c r="R21" s="302"/>
      <c r="T21" s="1952" t="s">
        <v>167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310000</v>
      </c>
      <c r="D22" s="1949">
        <v>310000</v>
      </c>
      <c r="E22" s="1949">
        <v>893773</v>
      </c>
      <c r="F22" s="1949">
        <f>C22-D22+E22</f>
        <v>893773</v>
      </c>
      <c r="G22" s="302"/>
      <c r="Q22" s="302"/>
      <c r="R22" s="302"/>
      <c r="T22" s="1909" t="s">
        <v>83</v>
      </c>
      <c r="U22" s="50" t="s">
        <v>60</v>
      </c>
      <c r="V22" s="1920">
        <v>309540</v>
      </c>
      <c r="W22" s="1920"/>
      <c r="X22" s="1920"/>
      <c r="Y22" s="1927"/>
    </row>
    <row r="23" spans="1:25" ht="39.75" customHeight="1" x14ac:dyDescent="0.25">
      <c r="A23" s="302"/>
      <c r="B23" s="1947"/>
      <c r="C23" s="1950"/>
      <c r="D23" s="1950"/>
      <c r="E23" s="1950"/>
      <c r="F23" s="1950"/>
      <c r="G23" s="302"/>
      <c r="Q23" s="302"/>
      <c r="R23" s="302"/>
      <c r="T23" s="1910"/>
      <c r="U23" s="50" t="s">
        <v>61</v>
      </c>
      <c r="V23" s="1920">
        <v>310000</v>
      </c>
      <c r="W23" s="1920"/>
      <c r="X23" s="1920"/>
      <c r="Y23" s="1927"/>
    </row>
    <row r="24" spans="1:25" ht="48" customHeight="1" x14ac:dyDescent="0.25">
      <c r="A24" s="302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893" t="s">
        <v>47</v>
      </c>
      <c r="U24" s="51" t="s">
        <v>62</v>
      </c>
      <c r="V24" s="1921">
        <f>V14+V16+V17-V18-V19-V20-V22+V23-V21</f>
        <v>19026.984999999986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22995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302"/>
      <c r="J33" s="302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1900" t="s">
        <v>302</v>
      </c>
      <c r="U3" s="1900"/>
      <c r="V3" s="1900"/>
      <c r="W3" s="1900"/>
      <c r="X3" s="1900"/>
      <c r="Y3" s="1900"/>
    </row>
    <row r="4" spans="1:25" s="30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303" customFormat="1" ht="25.5" customHeight="1" x14ac:dyDescent="0.25">
      <c r="A5" s="1901"/>
      <c r="B5" s="1901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1930" t="s">
        <v>301</v>
      </c>
      <c r="R14" s="1930"/>
      <c r="S14" s="312"/>
      <c r="T14" s="1893" t="s">
        <v>46</v>
      </c>
      <c r="U14" s="304" t="s">
        <v>176</v>
      </c>
      <c r="V14" s="1918">
        <v>19027</v>
      </c>
      <c r="W14" s="1926"/>
      <c r="X14" s="1919"/>
    </row>
    <row r="15" spans="1:25" ht="22.5" customHeight="1" x14ac:dyDescent="0.25">
      <c r="A15" s="100" t="s">
        <v>38</v>
      </c>
      <c r="B15" s="1918">
        <v>491635</v>
      </c>
      <c r="C15" s="1919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1920">
        <v>947</v>
      </c>
      <c r="R15" s="1920"/>
      <c r="S15" s="304">
        <v>0</v>
      </c>
      <c r="T15" s="1893"/>
      <c r="U15" s="304" t="s">
        <v>64</v>
      </c>
      <c r="V15" s="1920">
        <v>22995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1883"/>
      <c r="R16" s="1883"/>
      <c r="S16" s="309"/>
      <c r="T16" s="1912" t="s">
        <v>55</v>
      </c>
      <c r="U16" s="1912"/>
      <c r="V16" s="1925">
        <f>Y12</f>
        <v>325557.37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1883"/>
      <c r="R17" s="1883"/>
      <c r="S17" s="306"/>
      <c r="T17" s="1952" t="s">
        <v>296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165332</v>
      </c>
      <c r="C18" s="1919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1920">
        <v>238</v>
      </c>
      <c r="R18" s="1920"/>
      <c r="S18" s="304"/>
      <c r="T18" s="1912" t="s">
        <v>57</v>
      </c>
      <c r="U18" s="1912"/>
      <c r="V18" s="1920">
        <f>620+450+7000+31000+57500</f>
        <v>96570</v>
      </c>
      <c r="W18" s="1920"/>
      <c r="X18" s="1920"/>
      <c r="Y18" s="1927" t="s">
        <v>303</v>
      </c>
    </row>
    <row r="19" spans="1:25" ht="25.5" customHeight="1" x14ac:dyDescent="0.25">
      <c r="A19" s="100" t="s">
        <v>41</v>
      </c>
      <c r="B19" s="1918">
        <f>B15+B16+B17-B18</f>
        <v>326303</v>
      </c>
      <c r="C19" s="1919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1918">
        <f t="shared" ref="Q19" si="14">Q15+Q16+Q17-Q18</f>
        <v>709</v>
      </c>
      <c r="R19" s="1919"/>
      <c r="S19" s="304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314066.63750000001</v>
      </c>
      <c r="C20" s="1945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44">
        <f>241*Q19</f>
        <v>170869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1160704.4375</v>
      </c>
      <c r="C21" s="1951"/>
      <c r="O21" s="313"/>
      <c r="P21" s="313"/>
      <c r="Q21" s="313"/>
      <c r="R21" s="313"/>
      <c r="T21" s="1952" t="s">
        <v>167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893773</v>
      </c>
      <c r="D22" s="1949"/>
      <c r="E22" s="1949"/>
      <c r="F22" s="1949">
        <f>C22-D22+E22</f>
        <v>893773</v>
      </c>
      <c r="G22" s="313"/>
      <c r="Q22" s="313"/>
      <c r="R22" s="313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313"/>
      <c r="B23" s="1947"/>
      <c r="C23" s="1950"/>
      <c r="D23" s="1950"/>
      <c r="E23" s="1950"/>
      <c r="F23" s="1950"/>
      <c r="G23" s="313"/>
      <c r="Q23" s="313"/>
      <c r="R23" s="313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313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1893" t="s">
        <v>47</v>
      </c>
      <c r="U24" s="51" t="s">
        <v>62</v>
      </c>
      <c r="V24" s="1921">
        <f>V14+V16+V17-V18-V19-V20-V22+V23-V21</f>
        <v>248014.37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22995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313"/>
      <c r="J33" s="313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900" t="s">
        <v>304</v>
      </c>
      <c r="U3" s="1900"/>
      <c r="V3" s="1900"/>
      <c r="W3" s="1900"/>
      <c r="X3" s="1900"/>
      <c r="Y3" s="1900"/>
    </row>
    <row r="4" spans="1:25" s="320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320" customFormat="1" ht="25.5" customHeight="1" x14ac:dyDescent="0.25">
      <c r="A5" s="1901"/>
      <c r="B5" s="1901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930" t="s">
        <v>301</v>
      </c>
      <c r="R14" s="1930"/>
      <c r="S14" s="324"/>
      <c r="T14" s="1893" t="s">
        <v>46</v>
      </c>
      <c r="U14" s="318" t="s">
        <v>176</v>
      </c>
      <c r="V14" s="1918">
        <v>248014</v>
      </c>
      <c r="W14" s="1926"/>
      <c r="X14" s="1919"/>
    </row>
    <row r="15" spans="1:25" ht="22.5" customHeight="1" x14ac:dyDescent="0.25">
      <c r="A15" s="100" t="s">
        <v>38</v>
      </c>
      <c r="B15" s="1918">
        <v>326303</v>
      </c>
      <c r="C15" s="1919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920">
        <v>709</v>
      </c>
      <c r="R15" s="1920"/>
      <c r="S15" s="318">
        <v>0</v>
      </c>
      <c r="T15" s="1893"/>
      <c r="U15" s="318" t="s">
        <v>64</v>
      </c>
      <c r="V15" s="1920">
        <v>22995</v>
      </c>
      <c r="W15" s="1920"/>
      <c r="X15" s="1920"/>
    </row>
    <row r="16" spans="1:25" ht="24.75" customHeight="1" x14ac:dyDescent="0.25">
      <c r="A16" s="100" t="s">
        <v>39</v>
      </c>
      <c r="B16" s="1918">
        <v>103896</v>
      </c>
      <c r="C16" s="1919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1883"/>
      <c r="R16" s="1883"/>
      <c r="S16" s="321"/>
      <c r="T16" s="1912" t="s">
        <v>55</v>
      </c>
      <c r="U16" s="1912"/>
      <c r="V16" s="1925">
        <f>Y12</f>
        <v>331881.69750000001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883"/>
      <c r="R17" s="1883"/>
      <c r="S17" s="317"/>
      <c r="T17" s="1952" t="s">
        <v>296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149611</v>
      </c>
      <c r="C18" s="1919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920"/>
      <c r="R18" s="1920"/>
      <c r="S18" s="318"/>
      <c r="T18" s="1912" t="s">
        <v>57</v>
      </c>
      <c r="U18" s="1912"/>
      <c r="V18" s="1920">
        <f>520+630+2600+500</f>
        <v>4250</v>
      </c>
      <c r="W18" s="1920"/>
      <c r="X18" s="1920"/>
      <c r="Y18" s="1927" t="s">
        <v>305</v>
      </c>
    </row>
    <row r="19" spans="1:25" ht="25.5" customHeight="1" x14ac:dyDescent="0.25">
      <c r="A19" s="100" t="s">
        <v>41</v>
      </c>
      <c r="B19" s="1918">
        <f>B15+B16+B17-B18</f>
        <v>280588</v>
      </c>
      <c r="C19" s="1919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918">
        <f t="shared" ref="Q19" si="14">Q15+Q16+Q17-Q18</f>
        <v>709</v>
      </c>
      <c r="R19" s="1919"/>
      <c r="S19" s="318">
        <f>S15+S16-S17-S18</f>
        <v>0</v>
      </c>
      <c r="T19" s="1914" t="s">
        <v>48</v>
      </c>
      <c r="U19" s="49" t="s">
        <v>58</v>
      </c>
      <c r="V19" s="1920">
        <v>400000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270065.95</v>
      </c>
      <c r="C20" s="1945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44">
        <f>241*Q19</f>
        <v>170869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931860.05</v>
      </c>
      <c r="C21" s="1951"/>
      <c r="O21" s="325"/>
      <c r="P21" s="325"/>
      <c r="Q21" s="325"/>
      <c r="R21" s="325"/>
      <c r="T21" s="1952" t="s">
        <v>167</v>
      </c>
      <c r="U21" s="1953"/>
      <c r="V21" s="1955">
        <v>170000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893773</v>
      </c>
      <c r="D22" s="1949">
        <v>400000</v>
      </c>
      <c r="E22" s="1949">
        <v>100000</v>
      </c>
      <c r="F22" s="1949">
        <f>C22-D22+E22</f>
        <v>593773</v>
      </c>
      <c r="G22" s="325"/>
      <c r="Q22" s="325"/>
      <c r="R22" s="325"/>
      <c r="T22" s="1909" t="s">
        <v>83</v>
      </c>
      <c r="U22" s="50" t="s">
        <v>60</v>
      </c>
      <c r="V22" s="1920">
        <v>575760</v>
      </c>
      <c r="W22" s="1920"/>
      <c r="X22" s="1920"/>
      <c r="Y22" s="1927"/>
    </row>
    <row r="23" spans="1:25" ht="39.75" customHeight="1" x14ac:dyDescent="0.25">
      <c r="A23" s="325"/>
      <c r="B23" s="1947"/>
      <c r="C23" s="1950"/>
      <c r="D23" s="1950"/>
      <c r="E23" s="1950"/>
      <c r="F23" s="1950"/>
      <c r="G23" s="325"/>
      <c r="Q23" s="325"/>
      <c r="R23" s="325"/>
      <c r="T23" s="1910"/>
      <c r="U23" s="50" t="s">
        <v>61</v>
      </c>
      <c r="V23" s="1920">
        <v>575400</v>
      </c>
      <c r="W23" s="1920"/>
      <c r="X23" s="1920"/>
      <c r="Y23" s="1927"/>
    </row>
    <row r="24" spans="1:25" ht="48" customHeight="1" x14ac:dyDescent="0.25">
      <c r="A24" s="325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893" t="s">
        <v>47</v>
      </c>
      <c r="U24" s="51" t="s">
        <v>62</v>
      </c>
      <c r="V24" s="1921">
        <f>V14+V16+V17-V18-V19-V20-V22+V23-V21</f>
        <v>5285.6975000000093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23355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325"/>
      <c r="J33" s="325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900" t="s">
        <v>306</v>
      </c>
      <c r="U3" s="1900"/>
      <c r="V3" s="1900"/>
      <c r="W3" s="1900"/>
      <c r="X3" s="1900"/>
      <c r="Y3" s="1900"/>
    </row>
    <row r="4" spans="1:25" s="320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320" customFormat="1" ht="25.5" customHeight="1" x14ac:dyDescent="0.25">
      <c r="A5" s="1901"/>
      <c r="B5" s="1901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930" t="s">
        <v>301</v>
      </c>
      <c r="R14" s="1930"/>
      <c r="S14" s="324"/>
      <c r="T14" s="1893" t="s">
        <v>46</v>
      </c>
      <c r="U14" s="318" t="s">
        <v>176</v>
      </c>
      <c r="V14" s="1918">
        <v>5286</v>
      </c>
      <c r="W14" s="1926"/>
      <c r="X14" s="1919"/>
    </row>
    <row r="15" spans="1:25" ht="22.5" customHeight="1" x14ac:dyDescent="0.25">
      <c r="A15" s="100" t="s">
        <v>38</v>
      </c>
      <c r="B15" s="1918">
        <v>280588</v>
      </c>
      <c r="C15" s="1919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920">
        <v>709</v>
      </c>
      <c r="R15" s="1920"/>
      <c r="S15" s="318">
        <v>0</v>
      </c>
      <c r="T15" s="1893"/>
      <c r="U15" s="318" t="s">
        <v>64</v>
      </c>
      <c r="V15" s="1920">
        <v>23355</v>
      </c>
      <c r="W15" s="1920"/>
      <c r="X15" s="1920"/>
    </row>
    <row r="16" spans="1:25" ht="24.75" customHeight="1" x14ac:dyDescent="0.25">
      <c r="A16" s="100" t="s">
        <v>39</v>
      </c>
      <c r="B16" s="1918">
        <v>301292</v>
      </c>
      <c r="C16" s="1919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1883"/>
      <c r="R16" s="1883"/>
      <c r="S16" s="321"/>
      <c r="T16" s="1912" t="s">
        <v>55</v>
      </c>
      <c r="U16" s="1912"/>
      <c r="V16" s="1925">
        <f>Y12</f>
        <v>353107.9325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883"/>
      <c r="R17" s="1883"/>
      <c r="S17" s="317"/>
      <c r="T17" s="1952" t="s">
        <v>296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324257</v>
      </c>
      <c r="C18" s="1919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920"/>
      <c r="R18" s="1920"/>
      <c r="S18" s="318"/>
      <c r="T18" s="1912" t="s">
        <v>57</v>
      </c>
      <c r="U18" s="1912"/>
      <c r="V18" s="1920">
        <f>520+60+60+300</f>
        <v>940</v>
      </c>
      <c r="W18" s="1920"/>
      <c r="X18" s="1920"/>
      <c r="Y18" s="1927" t="s">
        <v>291</v>
      </c>
    </row>
    <row r="19" spans="1:25" ht="25.5" customHeight="1" x14ac:dyDescent="0.25">
      <c r="A19" s="100" t="s">
        <v>41</v>
      </c>
      <c r="B19" s="1918">
        <f>B15+B16+B17-B18</f>
        <v>257623</v>
      </c>
      <c r="C19" s="1919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918">
        <f t="shared" ref="Q19" si="14">Q15+Q16+Q17-Q18</f>
        <v>709</v>
      </c>
      <c r="R19" s="1919"/>
      <c r="S19" s="318">
        <f>S15+S16-S17-S18</f>
        <v>0</v>
      </c>
      <c r="T19" s="1914" t="s">
        <v>48</v>
      </c>
      <c r="U19" s="49" t="s">
        <v>58</v>
      </c>
      <c r="V19" s="1920">
        <v>366830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247962.13750000001</v>
      </c>
      <c r="C20" s="1945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44">
        <f>241*Q19</f>
        <v>170869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872426.63749999995</v>
      </c>
      <c r="C21" s="1951"/>
      <c r="O21" s="325"/>
      <c r="P21" s="325"/>
      <c r="Q21" s="325"/>
      <c r="R21" s="325"/>
      <c r="T21" s="1952" t="s">
        <v>167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593773</v>
      </c>
      <c r="D22" s="1949">
        <v>366830</v>
      </c>
      <c r="E22" s="1949">
        <v>290000</v>
      </c>
      <c r="F22" s="1949">
        <f>C22-D22+E22</f>
        <v>516943</v>
      </c>
      <c r="G22" s="325"/>
      <c r="Q22" s="325"/>
      <c r="R22" s="325"/>
      <c r="T22" s="1909" t="s">
        <v>83</v>
      </c>
      <c r="U22" s="50" t="s">
        <v>60</v>
      </c>
      <c r="V22" s="1920">
        <v>356500</v>
      </c>
      <c r="W22" s="1920"/>
      <c r="X22" s="1920"/>
      <c r="Y22" s="1927"/>
    </row>
    <row r="23" spans="1:25" ht="39.75" customHeight="1" x14ac:dyDescent="0.25">
      <c r="A23" s="325"/>
      <c r="B23" s="1947"/>
      <c r="C23" s="1950"/>
      <c r="D23" s="1950"/>
      <c r="E23" s="1950"/>
      <c r="F23" s="1950"/>
      <c r="G23" s="325"/>
      <c r="Q23" s="325"/>
      <c r="R23" s="325"/>
      <c r="T23" s="1910"/>
      <c r="U23" s="50" t="s">
        <v>61</v>
      </c>
      <c r="V23" s="1920">
        <v>366830</v>
      </c>
      <c r="W23" s="1920"/>
      <c r="X23" s="1920"/>
      <c r="Y23" s="1927"/>
    </row>
    <row r="24" spans="1:25" ht="48" customHeight="1" x14ac:dyDescent="0.25">
      <c r="A24" s="325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893" t="s">
        <v>47</v>
      </c>
      <c r="U24" s="51" t="s">
        <v>62</v>
      </c>
      <c r="V24" s="1921">
        <f>V14+V16+V17-V18-V19-V20-V22+V23-V21</f>
        <v>953.93249999999534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13025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325"/>
      <c r="J33" s="325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900" t="s">
        <v>307</v>
      </c>
      <c r="U3" s="1900"/>
      <c r="V3" s="1900"/>
      <c r="W3" s="1900"/>
      <c r="X3" s="1900"/>
      <c r="Y3" s="1900"/>
    </row>
    <row r="4" spans="1:25" s="32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326" customFormat="1" ht="25.5" customHeight="1" x14ac:dyDescent="0.25">
      <c r="A5" s="1901"/>
      <c r="B5" s="1901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930" t="s">
        <v>301</v>
      </c>
      <c r="R14" s="1930"/>
      <c r="S14" s="335"/>
      <c r="T14" s="1893" t="s">
        <v>46</v>
      </c>
      <c r="U14" s="327" t="s">
        <v>176</v>
      </c>
      <c r="V14" s="1918">
        <v>954</v>
      </c>
      <c r="W14" s="1926"/>
      <c r="X14" s="1919"/>
    </row>
    <row r="15" spans="1:25" ht="22.5" customHeight="1" x14ac:dyDescent="0.25">
      <c r="A15" s="100" t="s">
        <v>38</v>
      </c>
      <c r="B15" s="1918">
        <v>257623</v>
      </c>
      <c r="C15" s="1919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1920">
        <v>709</v>
      </c>
      <c r="R15" s="1920"/>
      <c r="S15" s="327">
        <v>0</v>
      </c>
      <c r="T15" s="1893"/>
      <c r="U15" s="327" t="s">
        <v>64</v>
      </c>
      <c r="V15" s="1920">
        <v>13025</v>
      </c>
      <c r="W15" s="1920"/>
      <c r="X15" s="1920"/>
    </row>
    <row r="16" spans="1:25" ht="24.75" customHeight="1" x14ac:dyDescent="0.25">
      <c r="A16" s="100" t="s">
        <v>39</v>
      </c>
      <c r="B16" s="1918">
        <v>259740</v>
      </c>
      <c r="C16" s="1919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1883"/>
      <c r="R16" s="1883"/>
      <c r="S16" s="332"/>
      <c r="T16" s="1912" t="s">
        <v>55</v>
      </c>
      <c r="U16" s="1912"/>
      <c r="V16" s="1925">
        <f>Y12</f>
        <v>251964.12</v>
      </c>
      <c r="W16" s="1925"/>
      <c r="X16" s="1920"/>
    </row>
    <row r="17" spans="1:25" ht="28.5" customHeight="1" x14ac:dyDescent="0.25">
      <c r="A17" s="101" t="s">
        <v>44</v>
      </c>
      <c r="B17" s="1918">
        <v>56034</v>
      </c>
      <c r="C17" s="1919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883"/>
      <c r="R17" s="1883"/>
      <c r="S17" s="329"/>
      <c r="T17" s="1952" t="s">
        <v>296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237632</v>
      </c>
      <c r="C18" s="1919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1920"/>
      <c r="R18" s="1920"/>
      <c r="S18" s="327"/>
      <c r="T18" s="1912" t="s">
        <v>57</v>
      </c>
      <c r="U18" s="1912"/>
      <c r="V18" s="1920">
        <f>620+1200</f>
        <v>1820</v>
      </c>
      <c r="W18" s="1920"/>
      <c r="X18" s="1920"/>
      <c r="Y18" s="1927" t="s">
        <v>291</v>
      </c>
    </row>
    <row r="19" spans="1:25" ht="25.5" customHeight="1" x14ac:dyDescent="0.25">
      <c r="A19" s="100" t="s">
        <v>41</v>
      </c>
      <c r="B19" s="1918">
        <f>B15+B16+B17-B18</f>
        <v>335765</v>
      </c>
      <c r="C19" s="1919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918">
        <f t="shared" ref="Q19" si="14">Q15+Q16+Q17-Q18</f>
        <v>709</v>
      </c>
      <c r="R19" s="1919"/>
      <c r="S19" s="327">
        <f>S15+S16-S17-S18</f>
        <v>0</v>
      </c>
      <c r="T19" s="1914" t="s">
        <v>48</v>
      </c>
      <c r="U19" s="49" t="s">
        <v>58</v>
      </c>
      <c r="V19" s="1920">
        <v>60500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323173.8125</v>
      </c>
      <c r="C20" s="1945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44">
        <f>241*Q19</f>
        <v>170869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926929.01249999995</v>
      </c>
      <c r="C21" s="1951"/>
      <c r="O21" s="336"/>
      <c r="P21" s="336"/>
      <c r="Q21" s="336"/>
      <c r="R21" s="336"/>
      <c r="T21" s="1952" t="s">
        <v>167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516943</v>
      </c>
      <c r="D22" s="1949">
        <v>60500</v>
      </c>
      <c r="E22" s="1949">
        <v>250000</v>
      </c>
      <c r="F22" s="1949">
        <f>C22-D22+E22</f>
        <v>706443</v>
      </c>
      <c r="G22" s="336"/>
      <c r="Q22" s="336"/>
      <c r="R22" s="336"/>
      <c r="T22" s="1909" t="s">
        <v>83</v>
      </c>
      <c r="U22" s="50" t="s">
        <v>60</v>
      </c>
      <c r="V22" s="1920">
        <v>250620</v>
      </c>
      <c r="W22" s="1920"/>
      <c r="X22" s="1920"/>
      <c r="Y22" s="1927"/>
    </row>
    <row r="23" spans="1:25" ht="39.75" customHeight="1" x14ac:dyDescent="0.25">
      <c r="A23" s="336"/>
      <c r="B23" s="1947"/>
      <c r="C23" s="1950"/>
      <c r="D23" s="1950"/>
      <c r="E23" s="1950"/>
      <c r="F23" s="1950"/>
      <c r="G23" s="336"/>
      <c r="Q23" s="336"/>
      <c r="R23" s="336"/>
      <c r="T23" s="1910"/>
      <c r="U23" s="50" t="s">
        <v>61</v>
      </c>
      <c r="V23" s="1920">
        <v>60500</v>
      </c>
      <c r="W23" s="1920"/>
      <c r="X23" s="1920"/>
      <c r="Y23" s="1927"/>
    </row>
    <row r="24" spans="1:25" ht="48" customHeight="1" x14ac:dyDescent="0.25">
      <c r="A24" s="336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893" t="s">
        <v>47</v>
      </c>
      <c r="U24" s="51" t="s">
        <v>62</v>
      </c>
      <c r="V24" s="1921">
        <f>V14+V16+V17-V18-V19-V20-V22+V23-V21</f>
        <v>478.11999999999534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203145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336"/>
      <c r="J33" s="336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900" t="s">
        <v>308</v>
      </c>
      <c r="U3" s="1900"/>
      <c r="V3" s="1900"/>
      <c r="W3" s="1900"/>
      <c r="X3" s="1900"/>
      <c r="Y3" s="1900"/>
    </row>
    <row r="4" spans="1:25" s="32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326" customFormat="1" ht="25.5" customHeight="1" x14ac:dyDescent="0.25">
      <c r="A5" s="1901"/>
      <c r="B5" s="1901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930" t="s">
        <v>301</v>
      </c>
      <c r="R14" s="1930"/>
      <c r="S14" s="335"/>
      <c r="T14" s="1893" t="s">
        <v>46</v>
      </c>
      <c r="U14" s="327" t="s">
        <v>176</v>
      </c>
      <c r="V14" s="1918">
        <v>478</v>
      </c>
      <c r="W14" s="1926"/>
      <c r="X14" s="1919"/>
    </row>
    <row r="15" spans="1:25" ht="22.5" customHeight="1" x14ac:dyDescent="0.25">
      <c r="A15" s="100" t="s">
        <v>38</v>
      </c>
      <c r="B15" s="1918">
        <v>335765</v>
      </c>
      <c r="C15" s="1919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1920">
        <v>709</v>
      </c>
      <c r="R15" s="1920"/>
      <c r="S15" s="327">
        <v>0</v>
      </c>
      <c r="T15" s="1893"/>
      <c r="U15" s="327" t="s">
        <v>64</v>
      </c>
      <c r="V15" s="1920">
        <v>203145</v>
      </c>
      <c r="W15" s="1920"/>
      <c r="X15" s="1920"/>
    </row>
    <row r="16" spans="1:25" ht="24.75" customHeight="1" x14ac:dyDescent="0.25">
      <c r="A16" s="100" t="s">
        <v>39</v>
      </c>
      <c r="B16" s="1918">
        <v>332467</v>
      </c>
      <c r="C16" s="1919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1883"/>
      <c r="R16" s="1883"/>
      <c r="S16" s="332"/>
      <c r="T16" s="1912" t="s">
        <v>55</v>
      </c>
      <c r="U16" s="1912"/>
      <c r="V16" s="1925">
        <f>Y12</f>
        <v>261967.05249999999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883"/>
      <c r="R17" s="1883"/>
      <c r="S17" s="329"/>
      <c r="T17" s="1952" t="s">
        <v>296</v>
      </c>
      <c r="U17" s="1953"/>
      <c r="V17" s="1954">
        <v>200000</v>
      </c>
      <c r="W17" s="1954"/>
      <c r="X17" s="1954"/>
    </row>
    <row r="18" spans="1:25" ht="27" customHeight="1" x14ac:dyDescent="0.25">
      <c r="A18" s="100" t="s">
        <v>40</v>
      </c>
      <c r="B18" s="1922">
        <f>C12</f>
        <v>206689</v>
      </c>
      <c r="C18" s="1919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1920">
        <v>145</v>
      </c>
      <c r="R18" s="1920"/>
      <c r="S18" s="327"/>
      <c r="T18" s="1912" t="s">
        <v>57</v>
      </c>
      <c r="U18" s="1912"/>
      <c r="V18" s="1920">
        <f>520+700+53933</f>
        <v>55153</v>
      </c>
      <c r="W18" s="1920"/>
      <c r="X18" s="1920"/>
      <c r="Y18" s="1927" t="s">
        <v>291</v>
      </c>
    </row>
    <row r="19" spans="1:25" ht="25.5" customHeight="1" x14ac:dyDescent="0.25">
      <c r="A19" s="100" t="s">
        <v>41</v>
      </c>
      <c r="B19" s="1918">
        <f>B15+B16+B17-B18</f>
        <v>461543</v>
      </c>
      <c r="C19" s="1919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918">
        <f t="shared" ref="Q19" si="14">Q15+Q16+Q17-Q18</f>
        <v>564</v>
      </c>
      <c r="R19" s="1919"/>
      <c r="S19" s="327">
        <f>S15+S16-S17-S18</f>
        <v>0</v>
      </c>
      <c r="T19" s="1914" t="s">
        <v>48</v>
      </c>
      <c r="U19" s="49" t="s">
        <v>58</v>
      </c>
      <c r="V19" s="1920">
        <v>550973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444235.13750000001</v>
      </c>
      <c r="C20" s="1945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44">
        <f>241*Q19</f>
        <v>135924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987272.33750000002</v>
      </c>
      <c r="C21" s="1951"/>
      <c r="O21" s="336"/>
      <c r="P21" s="336"/>
      <c r="Q21" s="336"/>
      <c r="R21" s="336"/>
      <c r="T21" s="1952" t="s">
        <v>167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706443</v>
      </c>
      <c r="D22" s="1949">
        <v>550973</v>
      </c>
      <c r="E22" s="1949">
        <v>320000</v>
      </c>
      <c r="F22" s="1949">
        <f>C22-D22+E22</f>
        <v>475470</v>
      </c>
      <c r="G22" s="336"/>
      <c r="Q22" s="336"/>
      <c r="R22" s="336"/>
      <c r="T22" s="1909" t="s">
        <v>83</v>
      </c>
      <c r="U22" s="50" t="s">
        <v>60</v>
      </c>
      <c r="V22" s="1920">
        <v>396550</v>
      </c>
      <c r="W22" s="1920"/>
      <c r="X22" s="1920"/>
      <c r="Y22" s="1927"/>
    </row>
    <row r="23" spans="1:25" ht="39.75" customHeight="1" x14ac:dyDescent="0.25">
      <c r="A23" s="336"/>
      <c r="B23" s="1947"/>
      <c r="C23" s="1950"/>
      <c r="D23" s="1950"/>
      <c r="E23" s="1950"/>
      <c r="F23" s="1950"/>
      <c r="G23" s="336"/>
      <c r="Q23" s="336"/>
      <c r="R23" s="336"/>
      <c r="T23" s="1910"/>
      <c r="U23" s="50" t="s">
        <v>61</v>
      </c>
      <c r="V23" s="1920">
        <v>550973</v>
      </c>
      <c r="W23" s="1920"/>
      <c r="X23" s="1920"/>
      <c r="Y23" s="1927"/>
    </row>
    <row r="24" spans="1:25" ht="48" customHeight="1" x14ac:dyDescent="0.25">
      <c r="A24" s="336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893" t="s">
        <v>47</v>
      </c>
      <c r="U24" s="51" t="s">
        <v>62</v>
      </c>
      <c r="V24" s="1921">
        <f>V14+V16+V17-V18-V19-V20-V22+V23-V21</f>
        <v>10742.052499999991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48722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336"/>
      <c r="J33" s="336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900" t="s">
        <v>309</v>
      </c>
      <c r="U3" s="1900"/>
      <c r="V3" s="1900"/>
      <c r="W3" s="1900"/>
      <c r="X3" s="1900"/>
      <c r="Y3" s="1900"/>
    </row>
    <row r="4" spans="1:25" s="33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337" customFormat="1" ht="25.5" customHeight="1" x14ac:dyDescent="0.25">
      <c r="A5" s="1901"/>
      <c r="B5" s="1901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930" t="s">
        <v>301</v>
      </c>
      <c r="R14" s="1930"/>
      <c r="S14" s="346"/>
      <c r="T14" s="1893" t="s">
        <v>46</v>
      </c>
      <c r="U14" s="338" t="s">
        <v>176</v>
      </c>
      <c r="V14" s="1918">
        <v>10742</v>
      </c>
      <c r="W14" s="1926"/>
      <c r="X14" s="1919"/>
    </row>
    <row r="15" spans="1:25" ht="22.5" customHeight="1" x14ac:dyDescent="0.25">
      <c r="A15" s="100" t="s">
        <v>38</v>
      </c>
      <c r="B15" s="1918">
        <v>461543</v>
      </c>
      <c r="C15" s="1919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920">
        <v>564</v>
      </c>
      <c r="R15" s="1920"/>
      <c r="S15" s="338">
        <v>0</v>
      </c>
      <c r="T15" s="1893"/>
      <c r="U15" s="338" t="s">
        <v>64</v>
      </c>
      <c r="V15" s="1920">
        <v>48722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1883"/>
      <c r="R16" s="1883"/>
      <c r="S16" s="343"/>
      <c r="T16" s="1912" t="s">
        <v>55</v>
      </c>
      <c r="U16" s="1912"/>
      <c r="V16" s="1925">
        <f>Y12</f>
        <v>271115.24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883"/>
      <c r="R17" s="1883"/>
      <c r="S17" s="340"/>
      <c r="T17" s="1952" t="s">
        <v>296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138864</v>
      </c>
      <c r="C18" s="1919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920"/>
      <c r="R18" s="1920"/>
      <c r="S18" s="338"/>
      <c r="T18" s="1912" t="s">
        <v>57</v>
      </c>
      <c r="U18" s="1912"/>
      <c r="V18" s="1920">
        <v>670</v>
      </c>
      <c r="W18" s="1920"/>
      <c r="X18" s="1920"/>
      <c r="Y18" s="1927" t="s">
        <v>291</v>
      </c>
    </row>
    <row r="19" spans="1:25" ht="25.5" customHeight="1" x14ac:dyDescent="0.25">
      <c r="A19" s="100" t="s">
        <v>41</v>
      </c>
      <c r="B19" s="1918">
        <f>B15+B16+B17-B18</f>
        <v>322679</v>
      </c>
      <c r="C19" s="1919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918">
        <f t="shared" ref="Q19" si="14">Q15+Q16+Q17-Q18</f>
        <v>564</v>
      </c>
      <c r="R19" s="1919"/>
      <c r="S19" s="338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310578.53750000003</v>
      </c>
      <c r="C20" s="1945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44">
        <f>241*Q19</f>
        <v>135924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1142208.5375000001</v>
      </c>
      <c r="C21" s="1951"/>
      <c r="O21" s="347"/>
      <c r="P21" s="347"/>
      <c r="Q21" s="347"/>
      <c r="R21" s="347"/>
      <c r="T21" s="1952" t="s">
        <v>167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475470</v>
      </c>
      <c r="D22" s="1949"/>
      <c r="E22" s="1949">
        <v>422639</v>
      </c>
      <c r="F22" s="1949">
        <f>C22-D22+E22</f>
        <v>898109</v>
      </c>
      <c r="G22" s="347"/>
      <c r="Q22" s="347"/>
      <c r="R22" s="347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347"/>
      <c r="B23" s="1947"/>
      <c r="C23" s="1950"/>
      <c r="D23" s="1950"/>
      <c r="E23" s="1950"/>
      <c r="F23" s="1950"/>
      <c r="G23" s="347"/>
      <c r="Q23" s="347"/>
      <c r="R23" s="347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347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893" t="s">
        <v>47</v>
      </c>
      <c r="U24" s="51" t="s">
        <v>62</v>
      </c>
      <c r="V24" s="1921">
        <f>V14+V16+V17-V18-V19-V20-V22+V23-V21</f>
        <v>281187.24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48722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347"/>
      <c r="J33" s="347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900" t="s">
        <v>310</v>
      </c>
      <c r="U3" s="1900"/>
      <c r="V3" s="1900"/>
      <c r="W3" s="1900"/>
      <c r="X3" s="1900"/>
      <c r="Y3" s="1900"/>
    </row>
    <row r="4" spans="1:25" s="33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337" customFormat="1" ht="25.5" customHeight="1" x14ac:dyDescent="0.25">
      <c r="A5" s="1901"/>
      <c r="B5" s="1901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930" t="s">
        <v>301</v>
      </c>
      <c r="R14" s="1930"/>
      <c r="S14" s="346"/>
      <c r="T14" s="1893" t="s">
        <v>46</v>
      </c>
      <c r="U14" s="338" t="s">
        <v>176</v>
      </c>
      <c r="V14" s="1918">
        <v>281187</v>
      </c>
      <c r="W14" s="1926"/>
      <c r="X14" s="1919"/>
    </row>
    <row r="15" spans="1:25" ht="22.5" customHeight="1" x14ac:dyDescent="0.25">
      <c r="A15" s="100" t="s">
        <v>38</v>
      </c>
      <c r="B15" s="1918">
        <v>322679</v>
      </c>
      <c r="C15" s="1919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920">
        <v>564</v>
      </c>
      <c r="R15" s="1920"/>
      <c r="S15" s="338">
        <v>0</v>
      </c>
      <c r="T15" s="1893"/>
      <c r="U15" s="338" t="s">
        <v>64</v>
      </c>
      <c r="V15" s="1920">
        <v>48722</v>
      </c>
      <c r="W15" s="1920"/>
      <c r="X15" s="1920"/>
    </row>
    <row r="16" spans="1:25" ht="24.75" customHeight="1" x14ac:dyDescent="0.25">
      <c r="A16" s="100" t="s">
        <v>39</v>
      </c>
      <c r="B16" s="1918">
        <v>124675</v>
      </c>
      <c r="C16" s="1919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1883"/>
      <c r="R16" s="1883"/>
      <c r="S16" s="343"/>
      <c r="T16" s="1912" t="s">
        <v>55</v>
      </c>
      <c r="U16" s="1912"/>
      <c r="V16" s="1925">
        <f>Y12</f>
        <v>212842.17249999999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883"/>
      <c r="R17" s="1883"/>
      <c r="S17" s="340"/>
      <c r="T17" s="1952" t="s">
        <v>296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152321</v>
      </c>
      <c r="C18" s="1919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920"/>
      <c r="R18" s="1920"/>
      <c r="S18" s="338"/>
      <c r="T18" s="1912" t="s">
        <v>57</v>
      </c>
      <c r="U18" s="1912"/>
      <c r="V18" s="1920">
        <v>470</v>
      </c>
      <c r="W18" s="1920"/>
      <c r="X18" s="1920"/>
      <c r="Y18" s="1927" t="s">
        <v>291</v>
      </c>
    </row>
    <row r="19" spans="1:25" ht="25.5" customHeight="1" x14ac:dyDescent="0.25">
      <c r="A19" s="100" t="s">
        <v>41</v>
      </c>
      <c r="B19" s="1918">
        <f>B15+B16+B17-B18</f>
        <v>295033</v>
      </c>
      <c r="C19" s="1919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918">
        <f t="shared" ref="Q19" si="14">Q15+Q16+Q17-Q18</f>
        <v>564</v>
      </c>
      <c r="R19" s="1919"/>
      <c r="S19" s="338">
        <f>S15+S16-S17-S18</f>
        <v>0</v>
      </c>
      <c r="T19" s="1914" t="s">
        <v>48</v>
      </c>
      <c r="U19" s="49" t="s">
        <v>58</v>
      </c>
      <c r="V19" s="1920">
        <v>320000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283969.26250000001</v>
      </c>
      <c r="C20" s="1945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44">
        <f>241*Q19</f>
        <v>135924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1051487.7625</v>
      </c>
      <c r="C21" s="1951"/>
      <c r="O21" s="347"/>
      <c r="P21" s="347"/>
      <c r="Q21" s="347"/>
      <c r="R21" s="347"/>
      <c r="T21" s="1952" t="s">
        <v>167</v>
      </c>
      <c r="U21" s="1953"/>
      <c r="V21" s="1955">
        <v>150000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898109</v>
      </c>
      <c r="D22" s="1949">
        <v>320000</v>
      </c>
      <c r="E22" s="1949">
        <v>120000</v>
      </c>
      <c r="F22" s="1949">
        <f>C22-D22+E22</f>
        <v>698109</v>
      </c>
      <c r="G22" s="347"/>
      <c r="Q22" s="347"/>
      <c r="R22" s="347"/>
      <c r="T22" s="1909" t="s">
        <v>83</v>
      </c>
      <c r="U22" s="50" t="s">
        <v>60</v>
      </c>
      <c r="V22" s="1920">
        <v>483570</v>
      </c>
      <c r="W22" s="1920"/>
      <c r="X22" s="1920"/>
      <c r="Y22" s="1927"/>
    </row>
    <row r="23" spans="1:25" ht="39.75" customHeight="1" x14ac:dyDescent="0.25">
      <c r="A23" s="347"/>
      <c r="B23" s="1947"/>
      <c r="C23" s="1950"/>
      <c r="D23" s="1950"/>
      <c r="E23" s="1950"/>
      <c r="F23" s="1950"/>
      <c r="G23" s="347"/>
      <c r="Q23" s="347"/>
      <c r="R23" s="347"/>
      <c r="T23" s="1910"/>
      <c r="U23" s="50" t="s">
        <v>61</v>
      </c>
      <c r="V23" s="1920">
        <v>470000</v>
      </c>
      <c r="W23" s="1920"/>
      <c r="X23" s="1920"/>
      <c r="Y23" s="1927"/>
    </row>
    <row r="24" spans="1:25" ht="48" customHeight="1" x14ac:dyDescent="0.25">
      <c r="A24" s="347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893" t="s">
        <v>47</v>
      </c>
      <c r="U24" s="51" t="s">
        <v>62</v>
      </c>
      <c r="V24" s="1921">
        <f>V14+V16+V17-V18-V19-V20-V22+V23-V21</f>
        <v>9989.172499999986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62292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347"/>
      <c r="J33" s="347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1900" t="s">
        <v>311</v>
      </c>
      <c r="U3" s="1900"/>
      <c r="V3" s="1900"/>
      <c r="W3" s="1900"/>
      <c r="X3" s="1900"/>
      <c r="Y3" s="1900"/>
    </row>
    <row r="4" spans="1:25" s="35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353" customFormat="1" ht="25.5" customHeight="1" x14ac:dyDescent="0.25">
      <c r="A5" s="1901"/>
      <c r="B5" s="1901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1930" t="s">
        <v>301</v>
      </c>
      <c r="R14" s="1930"/>
      <c r="S14" s="357"/>
      <c r="T14" s="1893" t="s">
        <v>46</v>
      </c>
      <c r="U14" s="351" t="s">
        <v>176</v>
      </c>
      <c r="V14" s="1918">
        <v>9989</v>
      </c>
      <c r="W14" s="1926"/>
      <c r="X14" s="1919"/>
    </row>
    <row r="15" spans="1:25" ht="22.5" customHeight="1" x14ac:dyDescent="0.25">
      <c r="A15" s="100" t="s">
        <v>38</v>
      </c>
      <c r="B15" s="1918">
        <v>295033</v>
      </c>
      <c r="C15" s="1919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1920">
        <v>564</v>
      </c>
      <c r="R15" s="1920"/>
      <c r="S15" s="351">
        <v>0</v>
      </c>
      <c r="T15" s="1893"/>
      <c r="U15" s="351" t="s">
        <v>64</v>
      </c>
      <c r="V15" s="1920">
        <v>62292</v>
      </c>
      <c r="W15" s="1920"/>
      <c r="X15" s="1920"/>
    </row>
    <row r="16" spans="1:25" ht="24.75" customHeight="1" x14ac:dyDescent="0.25">
      <c r="A16" s="100" t="s">
        <v>39</v>
      </c>
      <c r="B16" s="1918">
        <v>155771</v>
      </c>
      <c r="C16" s="1919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1883"/>
      <c r="R16" s="1883"/>
      <c r="S16" s="354"/>
      <c r="T16" s="1912" t="s">
        <v>55</v>
      </c>
      <c r="U16" s="1912"/>
      <c r="V16" s="1925">
        <f>Y12</f>
        <v>243533.27000000002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1883"/>
      <c r="R17" s="1883"/>
      <c r="S17" s="350"/>
      <c r="T17" s="1952" t="s">
        <v>296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141372</v>
      </c>
      <c r="C18" s="1919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1920"/>
      <c r="R18" s="1920"/>
      <c r="S18" s="351"/>
      <c r="T18" s="1912" t="s">
        <v>57</v>
      </c>
      <c r="U18" s="1912"/>
      <c r="V18" s="1920">
        <v>620</v>
      </c>
      <c r="W18" s="1920"/>
      <c r="X18" s="1920"/>
      <c r="Y18" s="1927" t="s">
        <v>291</v>
      </c>
    </row>
    <row r="19" spans="1:25" ht="25.5" customHeight="1" x14ac:dyDescent="0.25">
      <c r="A19" s="100" t="s">
        <v>41</v>
      </c>
      <c r="B19" s="1918">
        <f>B15+B16+B17-B18</f>
        <v>309432</v>
      </c>
      <c r="C19" s="1919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1918">
        <f t="shared" ref="Q19" si="14">Q15+Q16+Q17-Q18</f>
        <v>564</v>
      </c>
      <c r="R19" s="1919"/>
      <c r="S19" s="351">
        <f>S15+S16-S17-S18</f>
        <v>0</v>
      </c>
      <c r="T19" s="1914" t="s">
        <v>48</v>
      </c>
      <c r="U19" s="49" t="s">
        <v>58</v>
      </c>
      <c r="V19" s="1920">
        <v>120000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297828.3</v>
      </c>
      <c r="C20" s="1945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44">
        <f>241*Q19</f>
        <v>135924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1094352.2</v>
      </c>
      <c r="C21" s="1951"/>
      <c r="O21" s="358"/>
      <c r="P21" s="358"/>
      <c r="Q21" s="358"/>
      <c r="R21" s="358"/>
      <c r="T21" s="1952" t="s">
        <v>167</v>
      </c>
      <c r="U21" s="1953"/>
      <c r="V21" s="1955">
        <v>50000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698109</v>
      </c>
      <c r="D22" s="1949">
        <v>120000</v>
      </c>
      <c r="E22" s="1949">
        <v>283800</v>
      </c>
      <c r="F22" s="1949">
        <f>C22-D22+E22</f>
        <v>861909</v>
      </c>
      <c r="G22" s="358"/>
      <c r="Q22" s="358"/>
      <c r="R22" s="358"/>
      <c r="T22" s="1909" t="s">
        <v>83</v>
      </c>
      <c r="U22" s="50" t="s">
        <v>60</v>
      </c>
      <c r="V22" s="1920">
        <v>238280</v>
      </c>
      <c r="W22" s="1920"/>
      <c r="X22" s="1920"/>
      <c r="Y22" s="1927"/>
    </row>
    <row r="23" spans="1:25" ht="39.75" customHeight="1" x14ac:dyDescent="0.25">
      <c r="A23" s="358"/>
      <c r="B23" s="1947"/>
      <c r="C23" s="1950"/>
      <c r="D23" s="1950"/>
      <c r="E23" s="1950"/>
      <c r="F23" s="1950"/>
      <c r="G23" s="358"/>
      <c r="Q23" s="358"/>
      <c r="R23" s="358"/>
      <c r="T23" s="1910"/>
      <c r="U23" s="50" t="s">
        <v>61</v>
      </c>
      <c r="V23" s="1920">
        <v>170000</v>
      </c>
      <c r="W23" s="1920"/>
      <c r="X23" s="1920"/>
      <c r="Y23" s="1927"/>
    </row>
    <row r="24" spans="1:25" ht="48" customHeight="1" x14ac:dyDescent="0.25">
      <c r="A24" s="358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1893" t="s">
        <v>47</v>
      </c>
      <c r="U24" s="51" t="s">
        <v>62</v>
      </c>
      <c r="V24" s="1921">
        <f>V14+V16+V17-V18-V19-V20-V22+V23-V21</f>
        <v>14622.270000000019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130572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358"/>
      <c r="J33" s="358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1900" t="s">
        <v>312</v>
      </c>
      <c r="U3" s="1900"/>
      <c r="V3" s="1900"/>
      <c r="W3" s="1900"/>
      <c r="X3" s="1900"/>
      <c r="Y3" s="1900"/>
    </row>
    <row r="4" spans="1:25" s="35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359" customFormat="1" ht="25.5" customHeight="1" x14ac:dyDescent="0.25">
      <c r="A5" s="1901"/>
      <c r="B5" s="1901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1930" t="s">
        <v>301</v>
      </c>
      <c r="R14" s="1930"/>
      <c r="S14" s="368"/>
      <c r="T14" s="1893" t="s">
        <v>46</v>
      </c>
      <c r="U14" s="360" t="s">
        <v>176</v>
      </c>
      <c r="V14" s="1918">
        <v>14622</v>
      </c>
      <c r="W14" s="1926"/>
      <c r="X14" s="1919"/>
    </row>
    <row r="15" spans="1:25" ht="22.5" customHeight="1" x14ac:dyDescent="0.25">
      <c r="A15" s="100" t="s">
        <v>38</v>
      </c>
      <c r="B15" s="1918">
        <v>309432</v>
      </c>
      <c r="C15" s="1919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1920">
        <v>564</v>
      </c>
      <c r="R15" s="1920"/>
      <c r="S15" s="360">
        <v>0</v>
      </c>
      <c r="T15" s="1893"/>
      <c r="U15" s="360" t="s">
        <v>64</v>
      </c>
      <c r="V15" s="1920">
        <v>130572</v>
      </c>
      <c r="W15" s="1920"/>
      <c r="X15" s="1920"/>
    </row>
    <row r="16" spans="1:25" ht="24.75" customHeight="1" x14ac:dyDescent="0.25">
      <c r="A16" s="100" t="s">
        <v>39</v>
      </c>
      <c r="B16" s="1918">
        <v>124675</v>
      </c>
      <c r="C16" s="1919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1883"/>
      <c r="R16" s="1883"/>
      <c r="S16" s="365"/>
      <c r="T16" s="1912" t="s">
        <v>55</v>
      </c>
      <c r="U16" s="1912"/>
      <c r="V16" s="1925">
        <f>Y12</f>
        <v>190846.50750000001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1883"/>
      <c r="R17" s="1883"/>
      <c r="S17" s="362"/>
      <c r="T17" s="1952" t="s">
        <v>296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143727</v>
      </c>
      <c r="C18" s="1919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1920"/>
      <c r="R18" s="1920"/>
      <c r="S18" s="360"/>
      <c r="T18" s="1912" t="s">
        <v>57</v>
      </c>
      <c r="U18" s="1912"/>
      <c r="V18" s="1920">
        <v>620</v>
      </c>
      <c r="W18" s="1920"/>
      <c r="X18" s="1920"/>
      <c r="Y18" s="1927" t="s">
        <v>291</v>
      </c>
    </row>
    <row r="19" spans="1:25" ht="25.5" customHeight="1" x14ac:dyDescent="0.25">
      <c r="A19" s="100" t="s">
        <v>41</v>
      </c>
      <c r="B19" s="1918">
        <f>B15+B16+B17-B18</f>
        <v>290380</v>
      </c>
      <c r="C19" s="1919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1918">
        <f t="shared" ref="Q19" si="14">Q15+Q16+Q17-Q18</f>
        <v>564</v>
      </c>
      <c r="R19" s="1919"/>
      <c r="S19" s="360">
        <f>S15+S16-S17-S18</f>
        <v>0</v>
      </c>
      <c r="T19" s="1914" t="s">
        <v>48</v>
      </c>
      <c r="U19" s="49" t="s">
        <v>58</v>
      </c>
      <c r="V19" s="1920">
        <v>326400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279490.75</v>
      </c>
      <c r="C20" s="1945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44">
        <f>241*Q19</f>
        <v>135924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1025427.15</v>
      </c>
      <c r="C21" s="1951"/>
      <c r="O21" s="369"/>
      <c r="P21" s="369"/>
      <c r="Q21" s="369"/>
      <c r="R21" s="369"/>
      <c r="T21" s="1952" t="s">
        <v>167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861909</v>
      </c>
      <c r="D22" s="1949">
        <v>326400</v>
      </c>
      <c r="E22" s="1949">
        <v>120000</v>
      </c>
      <c r="F22" s="1949">
        <f>C22-D22+E22</f>
        <v>655509</v>
      </c>
      <c r="G22" s="369"/>
      <c r="Q22" s="369"/>
      <c r="R22" s="369"/>
      <c r="T22" s="1909" t="s">
        <v>83</v>
      </c>
      <c r="U22" s="50" t="s">
        <v>60</v>
      </c>
      <c r="V22" s="1920">
        <v>204640</v>
      </c>
      <c r="W22" s="1920"/>
      <c r="X22" s="1920"/>
      <c r="Y22" s="1927"/>
    </row>
    <row r="23" spans="1:25" ht="39.75" customHeight="1" x14ac:dyDescent="0.25">
      <c r="A23" s="369"/>
      <c r="B23" s="1947"/>
      <c r="C23" s="1950"/>
      <c r="D23" s="1950"/>
      <c r="E23" s="1950"/>
      <c r="F23" s="1950"/>
      <c r="G23" s="369"/>
      <c r="Q23" s="369"/>
      <c r="R23" s="369"/>
      <c r="T23" s="1910"/>
      <c r="U23" s="50" t="s">
        <v>61</v>
      </c>
      <c r="V23" s="1920">
        <v>326400</v>
      </c>
      <c r="W23" s="1920"/>
      <c r="X23" s="1920"/>
      <c r="Y23" s="1927"/>
    </row>
    <row r="24" spans="1:25" ht="48" customHeight="1" x14ac:dyDescent="0.25">
      <c r="A24" s="369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1893" t="s">
        <v>47</v>
      </c>
      <c r="U24" s="51" t="s">
        <v>62</v>
      </c>
      <c r="V24" s="1921">
        <f>V14+V16+V17-V18-V19-V20-V22+V23-V21</f>
        <v>208.50750000000698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8812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369"/>
      <c r="J33" s="369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900" t="s">
        <v>313</v>
      </c>
      <c r="U3" s="1900"/>
      <c r="V3" s="1900"/>
      <c r="W3" s="1900"/>
      <c r="X3" s="1900"/>
      <c r="Y3" s="1900"/>
    </row>
    <row r="4" spans="1:25" s="37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375" customFormat="1" ht="25.5" customHeight="1" x14ac:dyDescent="0.25">
      <c r="A5" s="1901"/>
      <c r="B5" s="1901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1930" t="s">
        <v>301</v>
      </c>
      <c r="R14" s="1930"/>
      <c r="S14" s="379"/>
      <c r="T14" s="1893" t="s">
        <v>46</v>
      </c>
      <c r="U14" s="373" t="s">
        <v>176</v>
      </c>
      <c r="V14" s="1918">
        <v>209</v>
      </c>
      <c r="W14" s="1926"/>
      <c r="X14" s="1919"/>
    </row>
    <row r="15" spans="1:25" ht="22.5" customHeight="1" x14ac:dyDescent="0.25">
      <c r="A15" s="100" t="s">
        <v>38</v>
      </c>
      <c r="B15" s="1918">
        <v>290380</v>
      </c>
      <c r="C15" s="1919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1920">
        <v>564</v>
      </c>
      <c r="R15" s="1920"/>
      <c r="S15" s="373">
        <v>0</v>
      </c>
      <c r="T15" s="1893"/>
      <c r="U15" s="373" t="s">
        <v>64</v>
      </c>
      <c r="V15" s="1920">
        <v>8812</v>
      </c>
      <c r="W15" s="1920"/>
      <c r="X15" s="1920"/>
    </row>
    <row r="16" spans="1:25" ht="24.75" customHeight="1" x14ac:dyDescent="0.25">
      <c r="A16" s="100" t="s">
        <v>39</v>
      </c>
      <c r="B16" s="1918">
        <v>124675</v>
      </c>
      <c r="C16" s="1919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1883"/>
      <c r="R16" s="1883"/>
      <c r="S16" s="376"/>
      <c r="T16" s="1912" t="s">
        <v>55</v>
      </c>
      <c r="U16" s="1912"/>
      <c r="V16" s="1925">
        <f>Y12</f>
        <v>153712.47999999998</v>
      </c>
      <c r="W16" s="1925"/>
      <c r="X16" s="1920"/>
    </row>
    <row r="17" spans="1:25" ht="28.5" customHeight="1" x14ac:dyDescent="0.25">
      <c r="A17" s="101" t="s">
        <v>44</v>
      </c>
      <c r="B17" s="1918">
        <v>270346</v>
      </c>
      <c r="C17" s="1919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883"/>
      <c r="R17" s="1883"/>
      <c r="S17" s="372"/>
      <c r="T17" s="1952" t="s">
        <v>296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129728</v>
      </c>
      <c r="C18" s="1919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920"/>
      <c r="R18" s="1920"/>
      <c r="S18" s="373"/>
      <c r="T18" s="1912" t="s">
        <v>57</v>
      </c>
      <c r="U18" s="1912"/>
      <c r="V18" s="1920">
        <v>720</v>
      </c>
      <c r="W18" s="1920"/>
      <c r="X18" s="1920"/>
      <c r="Y18" s="1927" t="s">
        <v>291</v>
      </c>
    </row>
    <row r="19" spans="1:25" ht="25.5" customHeight="1" x14ac:dyDescent="0.25">
      <c r="A19" s="100" t="s">
        <v>41</v>
      </c>
      <c r="B19" s="1918">
        <f>B15+B16+B17-B18</f>
        <v>555673</v>
      </c>
      <c r="C19" s="1919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1918">
        <f t="shared" ref="Q19" si="14">Q15+Q16+Q17-Q18</f>
        <v>564</v>
      </c>
      <c r="R19" s="1919"/>
      <c r="S19" s="373">
        <f>S15+S16-S17-S18</f>
        <v>0</v>
      </c>
      <c r="T19" s="1914" t="s">
        <v>48</v>
      </c>
      <c r="U19" s="49" t="s">
        <v>58</v>
      </c>
      <c r="V19" s="1920">
        <v>120000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534835.26250000007</v>
      </c>
      <c r="C20" s="1945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44">
        <f>241*Q19</f>
        <v>135924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1253466.6625000001</v>
      </c>
      <c r="C21" s="1951"/>
      <c r="O21" s="380"/>
      <c r="P21" s="380"/>
      <c r="Q21" s="380"/>
      <c r="R21" s="380"/>
      <c r="T21" s="1952" t="s">
        <v>167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655509</v>
      </c>
      <c r="D22" s="1949">
        <v>120000</v>
      </c>
      <c r="E22" s="1949">
        <v>120000</v>
      </c>
      <c r="F22" s="1949">
        <f>C22-D22+E22</f>
        <v>655509</v>
      </c>
      <c r="G22" s="380"/>
      <c r="Q22" s="380"/>
      <c r="R22" s="380"/>
      <c r="T22" s="1909" t="s">
        <v>83</v>
      </c>
      <c r="U22" s="50" t="s">
        <v>60</v>
      </c>
      <c r="V22" s="1920">
        <v>153120</v>
      </c>
      <c r="W22" s="1920"/>
      <c r="X22" s="1920"/>
      <c r="Y22" s="1927"/>
    </row>
    <row r="23" spans="1:25" ht="39.75" customHeight="1" x14ac:dyDescent="0.25">
      <c r="A23" s="380"/>
      <c r="B23" s="1947"/>
      <c r="C23" s="1950"/>
      <c r="D23" s="1950"/>
      <c r="E23" s="1950"/>
      <c r="F23" s="1950"/>
      <c r="G23" s="380"/>
      <c r="Q23" s="380"/>
      <c r="R23" s="380"/>
      <c r="T23" s="1910"/>
      <c r="U23" s="50" t="s">
        <v>61</v>
      </c>
      <c r="V23" s="1920">
        <v>120000</v>
      </c>
      <c r="W23" s="1920"/>
      <c r="X23" s="1920"/>
      <c r="Y23" s="1927"/>
    </row>
    <row r="24" spans="1:25" ht="48" customHeight="1" x14ac:dyDescent="0.25">
      <c r="A24" s="380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893" t="s">
        <v>47</v>
      </c>
      <c r="U24" s="51" t="s">
        <v>62</v>
      </c>
      <c r="V24" s="1921">
        <f>V14+V16+V17-V18-V19-V20-V22+V23-V21</f>
        <v>81.479999999981374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41932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380"/>
      <c r="J33" s="380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900" t="s">
        <v>314</v>
      </c>
      <c r="U3" s="1900"/>
      <c r="V3" s="1900"/>
      <c r="W3" s="1900"/>
      <c r="X3" s="1900"/>
      <c r="Y3" s="1900"/>
    </row>
    <row r="4" spans="1:25" s="37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375" customFormat="1" ht="25.5" customHeight="1" x14ac:dyDescent="0.25">
      <c r="A5" s="1901"/>
      <c r="B5" s="1901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930"/>
      <c r="R14" s="1930"/>
      <c r="S14" s="379"/>
      <c r="T14" s="1893" t="s">
        <v>46</v>
      </c>
      <c r="U14" s="373" t="s">
        <v>176</v>
      </c>
      <c r="V14" s="1918">
        <v>81</v>
      </c>
      <c r="W14" s="1926"/>
      <c r="X14" s="1919"/>
    </row>
    <row r="15" spans="1:25" ht="22.5" customHeight="1" x14ac:dyDescent="0.25">
      <c r="A15" s="100" t="s">
        <v>38</v>
      </c>
      <c r="B15" s="1918">
        <v>555673</v>
      </c>
      <c r="C15" s="1919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1920"/>
      <c r="R15" s="1920"/>
      <c r="S15" s="373">
        <v>0</v>
      </c>
      <c r="T15" s="1893"/>
      <c r="U15" s="373" t="s">
        <v>64</v>
      </c>
      <c r="V15" s="1920">
        <v>41932</v>
      </c>
      <c r="W15" s="1920"/>
      <c r="X15" s="1920"/>
    </row>
    <row r="16" spans="1:25" ht="24.75" customHeight="1" x14ac:dyDescent="0.25">
      <c r="A16" s="100" t="s">
        <v>39</v>
      </c>
      <c r="B16" s="1918">
        <v>93506</v>
      </c>
      <c r="C16" s="1919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1883"/>
      <c r="R16" s="1883"/>
      <c r="S16" s="376"/>
      <c r="T16" s="1912" t="s">
        <v>55</v>
      </c>
      <c r="U16" s="1912"/>
      <c r="V16" s="1925">
        <f>Y12</f>
        <v>388606.01250000001</v>
      </c>
      <c r="W16" s="1925"/>
      <c r="X16" s="1920"/>
    </row>
    <row r="17" spans="1:25" ht="28.5" customHeight="1" x14ac:dyDescent="0.25">
      <c r="A17" s="101" t="s">
        <v>44</v>
      </c>
      <c r="B17" s="1918">
        <v>4935</v>
      </c>
      <c r="C17" s="1919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883"/>
      <c r="R17" s="1883"/>
      <c r="S17" s="372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189745</v>
      </c>
      <c r="C18" s="1919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1920"/>
      <c r="R18" s="1920"/>
      <c r="S18" s="373"/>
      <c r="T18" s="1912" t="s">
        <v>57</v>
      </c>
      <c r="U18" s="1912"/>
      <c r="V18" s="1920">
        <f>68473+137519</f>
        <v>205992</v>
      </c>
      <c r="W18" s="1920"/>
      <c r="X18" s="1920"/>
      <c r="Y18" s="1927" t="s">
        <v>291</v>
      </c>
    </row>
    <row r="19" spans="1:25" ht="25.5" customHeight="1" x14ac:dyDescent="0.25">
      <c r="A19" s="100" t="s">
        <v>41</v>
      </c>
      <c r="B19" s="1918">
        <f>B15+B16+B17-B18</f>
        <v>464369</v>
      </c>
      <c r="C19" s="1919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918">
        <f t="shared" ref="Q19" si="14">Q15+Q16+Q17-Q18</f>
        <v>0</v>
      </c>
      <c r="R19" s="1919"/>
      <c r="S19" s="373">
        <f>S15+S16-S17-S18</f>
        <v>0</v>
      </c>
      <c r="T19" s="1914" t="s">
        <v>48</v>
      </c>
      <c r="U19" s="49" t="s">
        <v>58</v>
      </c>
      <c r="V19" s="1920">
        <v>120000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446955.16250000003</v>
      </c>
      <c r="C20" s="1945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864272.16250000009</v>
      </c>
      <c r="C21" s="1951"/>
      <c r="O21" s="380"/>
      <c r="P21" s="380"/>
      <c r="Q21" s="380"/>
      <c r="R21" s="380"/>
      <c r="T21" s="1952" t="s">
        <v>315</v>
      </c>
      <c r="U21" s="1953"/>
      <c r="V21" s="1955">
        <v>36000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655509</v>
      </c>
      <c r="D22" s="1949">
        <v>120000</v>
      </c>
      <c r="E22" s="1949">
        <v>90000</v>
      </c>
      <c r="F22" s="1949">
        <f>C22-D22+E22</f>
        <v>625509</v>
      </c>
      <c r="G22" s="380"/>
      <c r="Q22" s="380"/>
      <c r="R22" s="380"/>
      <c r="T22" s="1909" t="s">
        <v>83</v>
      </c>
      <c r="U22" s="50" t="s">
        <v>60</v>
      </c>
      <c r="V22" s="1920">
        <v>143350</v>
      </c>
      <c r="W22" s="1920"/>
      <c r="X22" s="1920"/>
      <c r="Y22" s="1927"/>
    </row>
    <row r="23" spans="1:25" ht="39.75" customHeight="1" x14ac:dyDescent="0.25">
      <c r="A23" s="380"/>
      <c r="B23" s="1947"/>
      <c r="C23" s="1950"/>
      <c r="D23" s="1950"/>
      <c r="E23" s="1950"/>
      <c r="F23" s="1950"/>
      <c r="G23" s="380"/>
      <c r="Q23" s="380"/>
      <c r="R23" s="380"/>
      <c r="T23" s="1910"/>
      <c r="U23" s="50" t="s">
        <v>61</v>
      </c>
      <c r="V23" s="1920">
        <v>120000</v>
      </c>
      <c r="W23" s="1920"/>
      <c r="X23" s="1920"/>
      <c r="Y23" s="1927"/>
    </row>
    <row r="24" spans="1:25" ht="48" customHeight="1" x14ac:dyDescent="0.25">
      <c r="A24" s="380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893" t="s">
        <v>47</v>
      </c>
      <c r="U24" s="51" t="s">
        <v>62</v>
      </c>
      <c r="V24" s="1921">
        <f>V14+V16+V17-V18-V19-V20-V22+V23-V21</f>
        <v>3345.0125000000116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65282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380"/>
      <c r="J33" s="380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900" t="s">
        <v>316</v>
      </c>
      <c r="U3" s="1900"/>
      <c r="V3" s="1900"/>
      <c r="W3" s="1900"/>
      <c r="X3" s="1900"/>
      <c r="Y3" s="1900"/>
    </row>
    <row r="4" spans="1:25" s="37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375" customFormat="1" ht="25.5" customHeight="1" x14ac:dyDescent="0.25">
      <c r="A5" s="1901"/>
      <c r="B5" s="1901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930"/>
      <c r="R14" s="1930"/>
      <c r="S14" s="379"/>
      <c r="T14" s="1893" t="s">
        <v>46</v>
      </c>
      <c r="U14" s="373" t="s">
        <v>176</v>
      </c>
      <c r="V14" s="1918">
        <v>3345</v>
      </c>
      <c r="W14" s="1926"/>
      <c r="X14" s="1919"/>
    </row>
    <row r="15" spans="1:25" ht="22.5" customHeight="1" x14ac:dyDescent="0.25">
      <c r="A15" s="100" t="s">
        <v>38</v>
      </c>
      <c r="B15" s="1918">
        <v>464369</v>
      </c>
      <c r="C15" s="1919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1920"/>
      <c r="R15" s="1920"/>
      <c r="S15" s="373">
        <v>0</v>
      </c>
      <c r="T15" s="1893"/>
      <c r="U15" s="373" t="s">
        <v>64</v>
      </c>
      <c r="V15" s="1920">
        <v>65282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1883"/>
      <c r="R16" s="1883"/>
      <c r="S16" s="376"/>
      <c r="T16" s="1912" t="s">
        <v>55</v>
      </c>
      <c r="U16" s="1912"/>
      <c r="V16" s="1925">
        <f>Y12</f>
        <v>142885.01499999998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883"/>
      <c r="R17" s="1883"/>
      <c r="S17" s="372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131454</v>
      </c>
      <c r="C18" s="1919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920"/>
      <c r="R18" s="1920"/>
      <c r="S18" s="373"/>
      <c r="T18" s="1912" t="s">
        <v>57</v>
      </c>
      <c r="U18" s="1912"/>
      <c r="V18" s="1920">
        <v>3000</v>
      </c>
      <c r="W18" s="1920"/>
      <c r="X18" s="1920"/>
      <c r="Y18" s="1927" t="s">
        <v>291</v>
      </c>
    </row>
    <row r="19" spans="1:25" ht="25.5" customHeight="1" x14ac:dyDescent="0.25">
      <c r="A19" s="100" t="s">
        <v>41</v>
      </c>
      <c r="B19" s="1918">
        <f>B15+B16+B17-B18</f>
        <v>332915</v>
      </c>
      <c r="C19" s="1919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918">
        <f t="shared" ref="Q19" si="14">Q15+Q16+Q17-Q18</f>
        <v>0</v>
      </c>
      <c r="R19" s="1919"/>
      <c r="S19" s="373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320430.6875</v>
      </c>
      <c r="C20" s="1945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722806.1875</v>
      </c>
      <c r="C21" s="1951"/>
      <c r="O21" s="380"/>
      <c r="P21" s="380"/>
      <c r="Q21" s="380"/>
      <c r="R21" s="380"/>
      <c r="T21" s="1952" t="s">
        <v>315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625509</v>
      </c>
      <c r="D22" s="1949"/>
      <c r="E22" s="1949"/>
      <c r="F22" s="1949">
        <f>C22-D22+E22</f>
        <v>625509</v>
      </c>
      <c r="G22" s="380"/>
      <c r="Q22" s="380"/>
      <c r="R22" s="380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380"/>
      <c r="B23" s="1947"/>
      <c r="C23" s="1950"/>
      <c r="D23" s="1950"/>
      <c r="E23" s="1950"/>
      <c r="F23" s="1950"/>
      <c r="G23" s="380"/>
      <c r="Q23" s="380"/>
      <c r="R23" s="380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380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893" t="s">
        <v>47</v>
      </c>
      <c r="U24" s="51" t="s">
        <v>62</v>
      </c>
      <c r="V24" s="1921">
        <f>V14+V16+V17-V18-V19-V20-V22+V23-V21</f>
        <v>143230.01499999998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65282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380"/>
      <c r="J33" s="380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900" t="s">
        <v>317</v>
      </c>
      <c r="U3" s="1900"/>
      <c r="V3" s="1900"/>
      <c r="W3" s="1900"/>
      <c r="X3" s="1900"/>
      <c r="Y3" s="1900"/>
    </row>
    <row r="4" spans="1:25" s="38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386" customFormat="1" ht="25.5" customHeight="1" x14ac:dyDescent="0.25">
      <c r="A5" s="1901"/>
      <c r="B5" s="1901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930"/>
      <c r="R14" s="1930"/>
      <c r="S14" s="390"/>
      <c r="T14" s="1893" t="s">
        <v>46</v>
      </c>
      <c r="U14" s="384" t="s">
        <v>176</v>
      </c>
      <c r="V14" s="1918">
        <v>143230</v>
      </c>
      <c r="W14" s="1926"/>
      <c r="X14" s="1919"/>
    </row>
    <row r="15" spans="1:25" ht="22.5" customHeight="1" x14ac:dyDescent="0.25">
      <c r="A15" s="100" t="s">
        <v>38</v>
      </c>
      <c r="B15" s="1918">
        <v>332915</v>
      </c>
      <c r="C15" s="1919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920"/>
      <c r="R15" s="1920"/>
      <c r="S15" s="384">
        <v>0</v>
      </c>
      <c r="T15" s="1893"/>
      <c r="U15" s="384" t="s">
        <v>64</v>
      </c>
      <c r="V15" s="1920">
        <v>65282</v>
      </c>
      <c r="W15" s="1920"/>
      <c r="X15" s="1920"/>
    </row>
    <row r="16" spans="1:25" ht="24.75" customHeight="1" x14ac:dyDescent="0.25">
      <c r="A16" s="100" t="s">
        <v>39</v>
      </c>
      <c r="B16" s="1918">
        <v>114285</v>
      </c>
      <c r="C16" s="1919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883"/>
      <c r="R16" s="1883"/>
      <c r="S16" s="387"/>
      <c r="T16" s="1912" t="s">
        <v>55</v>
      </c>
      <c r="U16" s="1912"/>
      <c r="V16" s="1925">
        <f>Y12</f>
        <v>163545.1225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883"/>
      <c r="R17" s="1883"/>
      <c r="S17" s="383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164541</v>
      </c>
      <c r="C18" s="1919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920"/>
      <c r="R18" s="1920"/>
      <c r="S18" s="384"/>
      <c r="T18" s="1912" t="s">
        <v>57</v>
      </c>
      <c r="U18" s="1912"/>
      <c r="V18" s="1920">
        <f>520+385+350</f>
        <v>1255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282659</v>
      </c>
      <c r="C19" s="1919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1918">
        <f t="shared" ref="Q19" si="14">Q15+Q16+Q17-Q18</f>
        <v>0</v>
      </c>
      <c r="R19" s="1919"/>
      <c r="S19" s="384">
        <f>S15+S16-S17-S18</f>
        <v>0</v>
      </c>
      <c r="T19" s="1914" t="s">
        <v>48</v>
      </c>
      <c r="U19" s="49" t="s">
        <v>58</v>
      </c>
      <c r="V19" s="1920">
        <v>90000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272059.28750000003</v>
      </c>
      <c r="C20" s="1945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670911.48750000005</v>
      </c>
      <c r="C21" s="1951"/>
      <c r="O21" s="391"/>
      <c r="P21" s="391"/>
      <c r="Q21" s="391"/>
      <c r="R21" s="391"/>
      <c r="T21" s="1952" t="s">
        <v>315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625509</v>
      </c>
      <c r="D22" s="1949">
        <v>90000</v>
      </c>
      <c r="E22" s="1949">
        <v>110000</v>
      </c>
      <c r="F22" s="1949">
        <f>C22-D22+E22</f>
        <v>645509</v>
      </c>
      <c r="G22" s="391"/>
      <c r="Q22" s="391"/>
      <c r="R22" s="391"/>
      <c r="T22" s="1909" t="s">
        <v>83</v>
      </c>
      <c r="U22" s="50" t="s">
        <v>60</v>
      </c>
      <c r="V22" s="1920">
        <v>305070</v>
      </c>
      <c r="W22" s="1920"/>
      <c r="X22" s="1920"/>
      <c r="Y22" s="1927"/>
    </row>
    <row r="23" spans="1:25" ht="39.75" customHeight="1" x14ac:dyDescent="0.25">
      <c r="A23" s="391"/>
      <c r="B23" s="1947"/>
      <c r="C23" s="1950"/>
      <c r="D23" s="1950"/>
      <c r="E23" s="1950"/>
      <c r="F23" s="1950"/>
      <c r="G23" s="391"/>
      <c r="Q23" s="391"/>
      <c r="R23" s="391"/>
      <c r="T23" s="1910"/>
      <c r="U23" s="50" t="s">
        <v>61</v>
      </c>
      <c r="V23" s="1920">
        <v>90000</v>
      </c>
      <c r="W23" s="1920"/>
      <c r="X23" s="1920"/>
      <c r="Y23" s="1927"/>
    </row>
    <row r="24" spans="1:25" ht="48" customHeight="1" x14ac:dyDescent="0.25">
      <c r="A24" s="391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893" t="s">
        <v>47</v>
      </c>
      <c r="U24" s="51" t="s">
        <v>62</v>
      </c>
      <c r="V24" s="1921">
        <f>V14+V16+V17-V18-V19-V20-V22+V23-V21</f>
        <v>450.12249999999767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280352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391"/>
      <c r="J33" s="391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900" t="s">
        <v>318</v>
      </c>
      <c r="U3" s="1900"/>
      <c r="V3" s="1900"/>
      <c r="W3" s="1900"/>
      <c r="X3" s="1900"/>
      <c r="Y3" s="1900"/>
    </row>
    <row r="4" spans="1:25" s="38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386" customFormat="1" ht="25.5" customHeight="1" x14ac:dyDescent="0.25">
      <c r="A5" s="1901"/>
      <c r="B5" s="1901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930"/>
      <c r="R14" s="1930"/>
      <c r="S14" s="390"/>
      <c r="T14" s="1893" t="s">
        <v>46</v>
      </c>
      <c r="U14" s="384" t="s">
        <v>176</v>
      </c>
      <c r="V14" s="1918">
        <v>450</v>
      </c>
      <c r="W14" s="1926"/>
      <c r="X14" s="1919"/>
    </row>
    <row r="15" spans="1:25" ht="22.5" customHeight="1" x14ac:dyDescent="0.25">
      <c r="A15" s="100" t="s">
        <v>38</v>
      </c>
      <c r="B15" s="1918">
        <v>282659</v>
      </c>
      <c r="C15" s="1919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920"/>
      <c r="R15" s="1920"/>
      <c r="S15" s="384">
        <v>0</v>
      </c>
      <c r="T15" s="1893"/>
      <c r="U15" s="384" t="s">
        <v>64</v>
      </c>
      <c r="V15" s="1920">
        <v>280352</v>
      </c>
      <c r="W15" s="1920"/>
      <c r="X15" s="1920"/>
    </row>
    <row r="16" spans="1:25" ht="24.75" customHeight="1" x14ac:dyDescent="0.25">
      <c r="A16" s="100" t="s">
        <v>39</v>
      </c>
      <c r="B16" s="1918">
        <v>124600</v>
      </c>
      <c r="C16" s="1919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1883"/>
      <c r="R16" s="1883"/>
      <c r="S16" s="387"/>
      <c r="T16" s="1912" t="s">
        <v>55</v>
      </c>
      <c r="U16" s="1912"/>
      <c r="V16" s="1925">
        <f>Y12</f>
        <v>135933.2475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883"/>
      <c r="R17" s="1883"/>
      <c r="S17" s="383"/>
      <c r="T17" s="1952" t="s">
        <v>319</v>
      </c>
      <c r="U17" s="1953"/>
      <c r="V17" s="1954">
        <v>70000</v>
      </c>
      <c r="W17" s="1954"/>
      <c r="X17" s="1954"/>
    </row>
    <row r="18" spans="1:25" ht="27" customHeight="1" x14ac:dyDescent="0.25">
      <c r="A18" s="100" t="s">
        <v>40</v>
      </c>
      <c r="B18" s="1922">
        <f>C12</f>
        <v>131191</v>
      </c>
      <c r="C18" s="1919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1920"/>
      <c r="R18" s="1920"/>
      <c r="S18" s="384"/>
      <c r="T18" s="1912" t="s">
        <v>57</v>
      </c>
      <c r="U18" s="1912"/>
      <c r="V18" s="1920">
        <f>620+150+300+4750</f>
        <v>5820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276068</v>
      </c>
      <c r="C19" s="1919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918">
        <f t="shared" ref="Q19" si="14">Q15+Q16+Q17-Q18</f>
        <v>0</v>
      </c>
      <c r="R19" s="1919"/>
      <c r="S19" s="384">
        <f>S15+S16-S17-S18</f>
        <v>0</v>
      </c>
      <c r="T19" s="1914" t="s">
        <v>48</v>
      </c>
      <c r="U19" s="49" t="s">
        <v>58</v>
      </c>
      <c r="V19" s="1920">
        <v>454564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265715.45</v>
      </c>
      <c r="C20" s="1945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829704.05</v>
      </c>
      <c r="C21" s="1951"/>
      <c r="O21" s="391"/>
      <c r="P21" s="391"/>
      <c r="Q21" s="391"/>
      <c r="R21" s="391"/>
      <c r="T21" s="1952" t="s">
        <v>315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645509</v>
      </c>
      <c r="D22" s="1949">
        <v>454564</v>
      </c>
      <c r="E22" s="1949">
        <v>293403</v>
      </c>
      <c r="F22" s="1949">
        <f>C22-D22+E22</f>
        <v>484348</v>
      </c>
      <c r="G22" s="391"/>
      <c r="Q22" s="391"/>
      <c r="R22" s="391"/>
      <c r="T22" s="1909" t="s">
        <v>83</v>
      </c>
      <c r="U22" s="50" t="s">
        <v>60</v>
      </c>
      <c r="V22" s="1920">
        <v>187610</v>
      </c>
      <c r="W22" s="1920"/>
      <c r="X22" s="1920"/>
      <c r="Y22" s="1927"/>
    </row>
    <row r="23" spans="1:25" ht="39.75" customHeight="1" x14ac:dyDescent="0.25">
      <c r="A23" s="391"/>
      <c r="B23" s="1947"/>
      <c r="C23" s="1950"/>
      <c r="D23" s="1950"/>
      <c r="E23" s="1950"/>
      <c r="F23" s="1950"/>
      <c r="G23" s="391"/>
      <c r="Q23" s="391"/>
      <c r="R23" s="391"/>
      <c r="T23" s="1910"/>
      <c r="U23" s="50" t="s">
        <v>61</v>
      </c>
      <c r="V23" s="1920">
        <v>454564</v>
      </c>
      <c r="W23" s="1920"/>
      <c r="X23" s="1920"/>
      <c r="Y23" s="1927"/>
    </row>
    <row r="24" spans="1:25" ht="48" customHeight="1" x14ac:dyDescent="0.25">
      <c r="A24" s="391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893" t="s">
        <v>47</v>
      </c>
      <c r="U24" s="51" t="s">
        <v>62</v>
      </c>
      <c r="V24" s="1921">
        <f>V14+V16+V17-V18-V19-V20-V22+V23-V21</f>
        <v>12953.247499999998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13398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391"/>
      <c r="J33" s="391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900" t="s">
        <v>320</v>
      </c>
      <c r="U3" s="1900"/>
      <c r="V3" s="1900"/>
      <c r="W3" s="1900"/>
      <c r="X3" s="1900"/>
      <c r="Y3" s="1900"/>
    </row>
    <row r="4" spans="1:25" s="38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386" customFormat="1" ht="25.5" customHeight="1" x14ac:dyDescent="0.25">
      <c r="A5" s="1901"/>
      <c r="B5" s="1901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930"/>
      <c r="R14" s="1930"/>
      <c r="S14" s="390"/>
      <c r="T14" s="1893" t="s">
        <v>46</v>
      </c>
      <c r="U14" s="384" t="s">
        <v>176</v>
      </c>
      <c r="V14" s="1918">
        <v>12953</v>
      </c>
      <c r="W14" s="1926"/>
      <c r="X14" s="1919"/>
    </row>
    <row r="15" spans="1:25" ht="22.5" customHeight="1" x14ac:dyDescent="0.25">
      <c r="A15" s="100" t="s">
        <v>38</v>
      </c>
      <c r="B15" s="1918">
        <v>276068</v>
      </c>
      <c r="C15" s="1919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920"/>
      <c r="R15" s="1920"/>
      <c r="S15" s="384">
        <v>0</v>
      </c>
      <c r="T15" s="1893"/>
      <c r="U15" s="384" t="s">
        <v>64</v>
      </c>
      <c r="V15" s="1920">
        <v>13398</v>
      </c>
      <c r="W15" s="1920"/>
      <c r="X15" s="1920"/>
    </row>
    <row r="16" spans="1:25" ht="24.75" customHeight="1" x14ac:dyDescent="0.25">
      <c r="A16" s="100" t="s">
        <v>39</v>
      </c>
      <c r="B16" s="1918">
        <v>316883</v>
      </c>
      <c r="C16" s="1919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883"/>
      <c r="R16" s="1883"/>
      <c r="S16" s="387"/>
      <c r="T16" s="1912" t="s">
        <v>55</v>
      </c>
      <c r="U16" s="1912"/>
      <c r="V16" s="1925">
        <f>Y12</f>
        <v>147042.8175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883"/>
      <c r="R17" s="1883"/>
      <c r="S17" s="383"/>
      <c r="T17" s="1952" t="s">
        <v>321</v>
      </c>
      <c r="U17" s="1953"/>
      <c r="V17" s="1954">
        <v>150000</v>
      </c>
      <c r="W17" s="1954"/>
      <c r="X17" s="1954"/>
    </row>
    <row r="18" spans="1:25" ht="27" customHeight="1" x14ac:dyDescent="0.25">
      <c r="A18" s="100" t="s">
        <v>40</v>
      </c>
      <c r="B18" s="1922">
        <f>C12</f>
        <v>138843</v>
      </c>
      <c r="C18" s="1919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920"/>
      <c r="R18" s="1920"/>
      <c r="S18" s="384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454108</v>
      </c>
      <c r="C19" s="1919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918">
        <f t="shared" ref="Q19" si="14">Q15+Q16+Q17-Q18</f>
        <v>0</v>
      </c>
      <c r="R19" s="1919"/>
      <c r="S19" s="384">
        <f>S15+S16-S17-S18</f>
        <v>0</v>
      </c>
      <c r="T19" s="1914" t="s">
        <v>48</v>
      </c>
      <c r="U19" s="49" t="s">
        <v>58</v>
      </c>
      <c r="V19" s="1920">
        <v>293475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437078.95</v>
      </c>
      <c r="C20" s="1945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989117.95</v>
      </c>
      <c r="C21" s="1951"/>
      <c r="O21" s="391"/>
      <c r="P21" s="391"/>
      <c r="Q21" s="391"/>
      <c r="R21" s="391"/>
      <c r="T21" s="1952" t="s">
        <v>322</v>
      </c>
      <c r="U21" s="1953"/>
      <c r="V21" s="1955">
        <v>13900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484348</v>
      </c>
      <c r="D22" s="1949">
        <v>293475</v>
      </c>
      <c r="E22" s="1949">
        <v>305000</v>
      </c>
      <c r="F22" s="1949">
        <f>C22-D22+E22</f>
        <v>495873</v>
      </c>
      <c r="G22" s="391"/>
      <c r="Q22" s="391"/>
      <c r="R22" s="391"/>
      <c r="T22" s="1909" t="s">
        <v>83</v>
      </c>
      <c r="U22" s="50" t="s">
        <v>60</v>
      </c>
      <c r="V22" s="1920">
        <v>295130</v>
      </c>
      <c r="W22" s="1920"/>
      <c r="X22" s="1920"/>
      <c r="Y22" s="1927"/>
    </row>
    <row r="23" spans="1:25" ht="39.75" customHeight="1" x14ac:dyDescent="0.25">
      <c r="A23" s="391"/>
      <c r="B23" s="1947"/>
      <c r="C23" s="1950"/>
      <c r="D23" s="1950"/>
      <c r="E23" s="1950"/>
      <c r="F23" s="1950"/>
      <c r="G23" s="391"/>
      <c r="Q23" s="391"/>
      <c r="R23" s="391"/>
      <c r="T23" s="1910"/>
      <c r="U23" s="50" t="s">
        <v>61</v>
      </c>
      <c r="V23" s="1920">
        <v>293475</v>
      </c>
      <c r="W23" s="1920"/>
      <c r="X23" s="1920"/>
      <c r="Y23" s="1927"/>
    </row>
    <row r="24" spans="1:25" ht="48" customHeight="1" x14ac:dyDescent="0.25">
      <c r="A24" s="391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893" t="s">
        <v>47</v>
      </c>
      <c r="U24" s="51" t="s">
        <v>62</v>
      </c>
      <c r="V24" s="1921">
        <f>V14+V16+V17-V18-V19-V20-V22+V23-V21</f>
        <v>445.81750000000466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15053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391"/>
      <c r="J33" s="391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900" t="s">
        <v>323</v>
      </c>
      <c r="U3" s="1900"/>
      <c r="V3" s="1900"/>
      <c r="W3" s="1900"/>
      <c r="X3" s="1900"/>
      <c r="Y3" s="1900"/>
    </row>
    <row r="4" spans="1:25" s="38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386" customFormat="1" ht="25.5" customHeight="1" x14ac:dyDescent="0.25">
      <c r="A5" s="1901"/>
      <c r="B5" s="1901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930"/>
      <c r="R14" s="1930"/>
      <c r="S14" s="390"/>
      <c r="T14" s="1893" t="s">
        <v>46</v>
      </c>
      <c r="U14" s="384" t="s">
        <v>176</v>
      </c>
      <c r="V14" s="1918">
        <v>446</v>
      </c>
      <c r="W14" s="1926"/>
      <c r="X14" s="1919"/>
    </row>
    <row r="15" spans="1:25" ht="22.5" customHeight="1" x14ac:dyDescent="0.25">
      <c r="A15" s="100" t="s">
        <v>38</v>
      </c>
      <c r="B15" s="1918">
        <v>454108</v>
      </c>
      <c r="C15" s="1919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920"/>
      <c r="R15" s="1920"/>
      <c r="S15" s="384">
        <v>0</v>
      </c>
      <c r="T15" s="1893"/>
      <c r="U15" s="384" t="s">
        <v>64</v>
      </c>
      <c r="V15" s="1920">
        <v>15053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1883"/>
      <c r="R16" s="1883"/>
      <c r="S16" s="387"/>
      <c r="T16" s="1912" t="s">
        <v>55</v>
      </c>
      <c r="U16" s="1912"/>
      <c r="V16" s="1925">
        <f>Y12</f>
        <v>226651.85750000001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883"/>
      <c r="R17" s="1883"/>
      <c r="S17" s="383"/>
      <c r="T17" s="1952" t="s">
        <v>324</v>
      </c>
      <c r="U17" s="1953"/>
      <c r="V17" s="1954">
        <v>5460</v>
      </c>
      <c r="W17" s="1954"/>
      <c r="X17" s="1954"/>
    </row>
    <row r="18" spans="1:25" ht="27" customHeight="1" x14ac:dyDescent="0.25">
      <c r="A18" s="100" t="s">
        <v>40</v>
      </c>
      <c r="B18" s="1922">
        <f>C12</f>
        <v>179387</v>
      </c>
      <c r="C18" s="1919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920"/>
      <c r="R18" s="1920"/>
      <c r="S18" s="384"/>
      <c r="T18" s="1912" t="s">
        <v>57</v>
      </c>
      <c r="U18" s="1912"/>
      <c r="V18" s="1920">
        <f>620+270+3530</f>
        <v>4420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274721</v>
      </c>
      <c r="C19" s="1919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918">
        <f t="shared" ref="Q19" si="14">Q15+Q16+Q17-Q18</f>
        <v>0</v>
      </c>
      <c r="R19" s="1919"/>
      <c r="S19" s="384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264418.96250000002</v>
      </c>
      <c r="C20" s="1945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764767.96250000002</v>
      </c>
      <c r="C21" s="1951"/>
      <c r="O21" s="391"/>
      <c r="P21" s="391"/>
      <c r="Q21" s="391"/>
      <c r="R21" s="391"/>
      <c r="T21" s="1952" t="s">
        <v>325</v>
      </c>
      <c r="U21" s="1953"/>
      <c r="V21" s="1955">
        <v>5460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495873</v>
      </c>
      <c r="D22" s="1949"/>
      <c r="E22" s="1949"/>
      <c r="F22" s="1949">
        <f>C22-D22+E22</f>
        <v>495873</v>
      </c>
      <c r="G22" s="391"/>
      <c r="Q22" s="391"/>
      <c r="R22" s="391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391"/>
      <c r="B23" s="1947"/>
      <c r="C23" s="1950"/>
      <c r="D23" s="1950"/>
      <c r="E23" s="1950"/>
      <c r="F23" s="1950"/>
      <c r="G23" s="391"/>
      <c r="Q23" s="391"/>
      <c r="R23" s="391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391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893" t="s">
        <v>47</v>
      </c>
      <c r="U24" s="51" t="s">
        <v>62</v>
      </c>
      <c r="V24" s="1921">
        <f>V14+V16+V17-V18-V19-V20-V22+V23-V21</f>
        <v>222677.85750000001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15053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391"/>
      <c r="J33" s="391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900" t="s">
        <v>326</v>
      </c>
      <c r="U3" s="1900"/>
      <c r="V3" s="1900"/>
      <c r="W3" s="1900"/>
      <c r="X3" s="1900"/>
      <c r="Y3" s="1900"/>
    </row>
    <row r="4" spans="1:25" s="38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386" customFormat="1" ht="25.5" customHeight="1" x14ac:dyDescent="0.25">
      <c r="A5" s="1901"/>
      <c r="B5" s="1901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930"/>
      <c r="R14" s="1930"/>
      <c r="S14" s="390"/>
      <c r="T14" s="1893" t="s">
        <v>46</v>
      </c>
      <c r="U14" s="384" t="s">
        <v>176</v>
      </c>
      <c r="V14" s="1918">
        <v>222678</v>
      </c>
      <c r="W14" s="1926"/>
      <c r="X14" s="1919"/>
    </row>
    <row r="15" spans="1:25" ht="22.5" customHeight="1" x14ac:dyDescent="0.25">
      <c r="A15" s="100" t="s">
        <v>38</v>
      </c>
      <c r="B15" s="1918">
        <v>274721</v>
      </c>
      <c r="C15" s="1919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1920"/>
      <c r="R15" s="1920"/>
      <c r="S15" s="384">
        <v>0</v>
      </c>
      <c r="T15" s="1893"/>
      <c r="U15" s="384" t="s">
        <v>64</v>
      </c>
      <c r="V15" s="1920">
        <v>15053</v>
      </c>
      <c r="W15" s="1920"/>
      <c r="X15" s="1920"/>
    </row>
    <row r="16" spans="1:25" ht="24.75" customHeight="1" x14ac:dyDescent="0.25">
      <c r="A16" s="100" t="s">
        <v>39</v>
      </c>
      <c r="B16" s="1918">
        <v>328883</v>
      </c>
      <c r="C16" s="1919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1883"/>
      <c r="R16" s="1883"/>
      <c r="S16" s="387"/>
      <c r="T16" s="1912" t="s">
        <v>55</v>
      </c>
      <c r="U16" s="1912"/>
      <c r="V16" s="1925">
        <f>Y12</f>
        <v>321576.935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883"/>
      <c r="R17" s="1883"/>
      <c r="S17" s="383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205566</v>
      </c>
      <c r="C18" s="1919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920"/>
      <c r="R18" s="1920"/>
      <c r="S18" s="384"/>
      <c r="T18" s="1912" t="s">
        <v>57</v>
      </c>
      <c r="U18" s="1912"/>
      <c r="V18" s="1920">
        <f>520+400</f>
        <v>920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398038</v>
      </c>
      <c r="C19" s="1919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918">
        <f t="shared" ref="Q19" si="14">Q15+Q16+Q17-Q18</f>
        <v>0</v>
      </c>
      <c r="R19" s="1919"/>
      <c r="S19" s="384">
        <f>S15+S16-S17-S18</f>
        <v>0</v>
      </c>
      <c r="T19" s="1914" t="s">
        <v>48</v>
      </c>
      <c r="U19" s="49" t="s">
        <v>58</v>
      </c>
      <c r="V19" s="1920">
        <v>305000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383111.57500000001</v>
      </c>
      <c r="C20" s="1945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998483.57499999995</v>
      </c>
      <c r="C21" s="1951"/>
      <c r="O21" s="391"/>
      <c r="P21" s="391"/>
      <c r="Q21" s="391"/>
      <c r="R21" s="391"/>
      <c r="T21" s="1952" t="s">
        <v>327</v>
      </c>
      <c r="U21" s="1953"/>
      <c r="V21" s="1955">
        <v>206100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495873</v>
      </c>
      <c r="D22" s="1949">
        <v>305000</v>
      </c>
      <c r="E22" s="1949">
        <v>551896</v>
      </c>
      <c r="F22" s="1949">
        <f>C22-D22+E22</f>
        <v>742769</v>
      </c>
      <c r="G22" s="391"/>
      <c r="Q22" s="391"/>
      <c r="R22" s="391"/>
      <c r="T22" s="1909" t="s">
        <v>83</v>
      </c>
      <c r="U22" s="50" t="s">
        <v>60</v>
      </c>
      <c r="V22" s="1920">
        <v>301570</v>
      </c>
      <c r="W22" s="1920"/>
      <c r="X22" s="1920"/>
      <c r="Y22" s="1927"/>
    </row>
    <row r="23" spans="1:25" ht="39.75" customHeight="1" x14ac:dyDescent="0.25">
      <c r="A23" s="391"/>
      <c r="B23" s="1947"/>
      <c r="C23" s="1950"/>
      <c r="D23" s="1950"/>
      <c r="E23" s="1950"/>
      <c r="F23" s="1950"/>
      <c r="G23" s="391"/>
      <c r="Q23" s="391"/>
      <c r="R23" s="391"/>
      <c r="T23" s="1910"/>
      <c r="U23" s="50" t="s">
        <v>61</v>
      </c>
      <c r="V23" s="1920">
        <v>305000</v>
      </c>
      <c r="W23" s="1920"/>
      <c r="X23" s="1920"/>
      <c r="Y23" s="1927"/>
    </row>
    <row r="24" spans="1:25" ht="48" customHeight="1" x14ac:dyDescent="0.25">
      <c r="A24" s="391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893" t="s">
        <v>47</v>
      </c>
      <c r="U24" s="51" t="s">
        <v>62</v>
      </c>
      <c r="V24" s="1921">
        <f>V14+V16+V17-V18-V19-V20-V22+V23-V21</f>
        <v>35664.935000000056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11623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391"/>
      <c r="J33" s="391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1900" t="s">
        <v>328</v>
      </c>
      <c r="U3" s="1900"/>
      <c r="V3" s="1900"/>
      <c r="W3" s="1900"/>
      <c r="X3" s="1900"/>
      <c r="Y3" s="1900"/>
    </row>
    <row r="4" spans="1:25" s="39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392" customFormat="1" ht="25.5" customHeight="1" x14ac:dyDescent="0.25">
      <c r="A5" s="1901"/>
      <c r="B5" s="1901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1930"/>
      <c r="R14" s="1930"/>
      <c r="S14" s="401"/>
      <c r="T14" s="1893" t="s">
        <v>46</v>
      </c>
      <c r="U14" s="393" t="s">
        <v>176</v>
      </c>
      <c r="V14" s="1918">
        <v>35665</v>
      </c>
      <c r="W14" s="1926"/>
      <c r="X14" s="1919"/>
    </row>
    <row r="15" spans="1:25" ht="22.5" customHeight="1" x14ac:dyDescent="0.25">
      <c r="A15" s="100" t="s">
        <v>38</v>
      </c>
      <c r="B15" s="1918">
        <v>398038</v>
      </c>
      <c r="C15" s="1919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1920"/>
      <c r="R15" s="1920"/>
      <c r="S15" s="393">
        <v>0</v>
      </c>
      <c r="T15" s="1893"/>
      <c r="U15" s="393" t="s">
        <v>64</v>
      </c>
      <c r="V15" s="1920">
        <v>11623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1883"/>
      <c r="R16" s="1883"/>
      <c r="S16" s="398"/>
      <c r="T16" s="1912" t="s">
        <v>55</v>
      </c>
      <c r="U16" s="1912"/>
      <c r="V16" s="1925">
        <f>Y12</f>
        <v>168117.35250000001</v>
      </c>
      <c r="W16" s="1925"/>
      <c r="X16" s="1920"/>
    </row>
    <row r="17" spans="1:25" ht="28.5" customHeight="1" x14ac:dyDescent="0.25">
      <c r="A17" s="101" t="s">
        <v>44</v>
      </c>
      <c r="B17" s="1918">
        <v>74301</v>
      </c>
      <c r="C17" s="1919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1883"/>
      <c r="R17" s="1883"/>
      <c r="S17" s="395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88969</v>
      </c>
      <c r="C18" s="1919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1920"/>
      <c r="R18" s="1920"/>
      <c r="S18" s="393"/>
      <c r="T18" s="1912" t="s">
        <v>57</v>
      </c>
      <c r="U18" s="1912"/>
      <c r="V18" s="1920">
        <v>720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383370</v>
      </c>
      <c r="C19" s="1919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1918">
        <f t="shared" ref="Q19" si="14">Q15+Q16+Q17-Q18</f>
        <v>0</v>
      </c>
      <c r="R19" s="1919"/>
      <c r="S19" s="393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368993.625</v>
      </c>
      <c r="C20" s="1945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903693.52500000002</v>
      </c>
      <c r="C21" s="1951"/>
      <c r="O21" s="402"/>
      <c r="P21" s="402"/>
      <c r="Q21" s="402"/>
      <c r="R21" s="402"/>
      <c r="T21" s="1952"/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742769</v>
      </c>
      <c r="D22" s="1949"/>
      <c r="E22" s="1949"/>
      <c r="F22" s="1949">
        <f>C22-D22+E22</f>
        <v>742769</v>
      </c>
      <c r="G22" s="402"/>
      <c r="Q22" s="402"/>
      <c r="R22" s="402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402"/>
      <c r="B23" s="1947"/>
      <c r="C23" s="1950"/>
      <c r="D23" s="1950"/>
      <c r="E23" s="1950"/>
      <c r="F23" s="1950"/>
      <c r="G23" s="402"/>
      <c r="Q23" s="402"/>
      <c r="R23" s="402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402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1893" t="s">
        <v>47</v>
      </c>
      <c r="U24" s="51" t="s">
        <v>62</v>
      </c>
      <c r="V24" s="1921">
        <f>V14+V16+V17-V18-V19-V20-V22+V23-V21</f>
        <v>203062.35250000001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11623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402"/>
      <c r="J33" s="402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1900" t="s">
        <v>329</v>
      </c>
      <c r="U3" s="1900"/>
      <c r="V3" s="1900"/>
      <c r="W3" s="1900"/>
      <c r="X3" s="1900"/>
      <c r="Y3" s="1900"/>
    </row>
    <row r="4" spans="1:25" s="40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408" customFormat="1" ht="25.5" customHeight="1" x14ac:dyDescent="0.25">
      <c r="A5" s="1901"/>
      <c r="B5" s="1901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1930"/>
      <c r="R14" s="1930"/>
      <c r="S14" s="412"/>
      <c r="T14" s="1893" t="s">
        <v>46</v>
      </c>
      <c r="U14" s="406" t="s">
        <v>176</v>
      </c>
      <c r="V14" s="1918">
        <v>203062</v>
      </c>
      <c r="W14" s="1926"/>
      <c r="X14" s="1919"/>
    </row>
    <row r="15" spans="1:25" ht="22.5" customHeight="1" x14ac:dyDescent="0.25">
      <c r="A15" s="100" t="s">
        <v>38</v>
      </c>
      <c r="B15" s="1918">
        <v>383370</v>
      </c>
      <c r="C15" s="1919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1920"/>
      <c r="R15" s="1920"/>
      <c r="S15" s="406">
        <v>0</v>
      </c>
      <c r="T15" s="1893"/>
      <c r="U15" s="406" t="s">
        <v>64</v>
      </c>
      <c r="V15" s="1920">
        <v>11623</v>
      </c>
      <c r="W15" s="1920"/>
      <c r="X15" s="1920"/>
    </row>
    <row r="16" spans="1:25" ht="24.75" customHeight="1" x14ac:dyDescent="0.25">
      <c r="A16" s="100" t="s">
        <v>39</v>
      </c>
      <c r="B16" s="1918">
        <v>51948</v>
      </c>
      <c r="C16" s="1919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1883"/>
      <c r="R16" s="1883"/>
      <c r="S16" s="409"/>
      <c r="T16" s="1912" t="s">
        <v>55</v>
      </c>
      <c r="U16" s="1912"/>
      <c r="V16" s="1925">
        <f>Y12</f>
        <v>211327.39750000002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1883"/>
      <c r="R17" s="1883"/>
      <c r="S17" s="405"/>
      <c r="T17" s="1952" t="s">
        <v>330</v>
      </c>
      <c r="U17" s="1953"/>
      <c r="V17" s="1954">
        <v>35000</v>
      </c>
      <c r="W17" s="1954"/>
      <c r="X17" s="1954"/>
    </row>
    <row r="18" spans="1:25" ht="27" customHeight="1" x14ac:dyDescent="0.25">
      <c r="A18" s="100" t="s">
        <v>40</v>
      </c>
      <c r="B18" s="1922">
        <f>C12</f>
        <v>155731</v>
      </c>
      <c r="C18" s="1919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1920"/>
      <c r="R18" s="1920"/>
      <c r="S18" s="406"/>
      <c r="T18" s="1912" t="s">
        <v>57</v>
      </c>
      <c r="U18" s="1912"/>
      <c r="V18" s="1920">
        <v>620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279587</v>
      </c>
      <c r="C19" s="1919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1918">
        <f t="shared" ref="Q19" si="14">Q15+Q16+Q17-Q18</f>
        <v>0</v>
      </c>
      <c r="R19" s="1919"/>
      <c r="S19" s="406">
        <f>S15+S16-S17-S18</f>
        <v>0</v>
      </c>
      <c r="T19" s="1914" t="s">
        <v>48</v>
      </c>
      <c r="U19" s="49" t="s">
        <v>58</v>
      </c>
      <c r="V19" s="1920">
        <v>400000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269102.48749999999</v>
      </c>
      <c r="C20" s="1945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744644.28749999998</v>
      </c>
      <c r="C21" s="1951"/>
      <c r="O21" s="413"/>
      <c r="P21" s="413"/>
      <c r="Q21" s="413"/>
      <c r="R21" s="413"/>
      <c r="T21" s="1952"/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742769</v>
      </c>
      <c r="D22" s="1949">
        <v>400000</v>
      </c>
      <c r="E22" s="1949">
        <v>50000</v>
      </c>
      <c r="F22" s="1949">
        <f>C22-D22+E22</f>
        <v>392769</v>
      </c>
      <c r="G22" s="413"/>
      <c r="Q22" s="413"/>
      <c r="R22" s="413"/>
      <c r="T22" s="1909" t="s">
        <v>83</v>
      </c>
      <c r="U22" s="50" t="s">
        <v>60</v>
      </c>
      <c r="V22" s="1920">
        <v>407600</v>
      </c>
      <c r="W22" s="1920"/>
      <c r="X22" s="1920"/>
      <c r="Y22" s="1927"/>
    </row>
    <row r="23" spans="1:25" ht="39.75" customHeight="1" x14ac:dyDescent="0.25">
      <c r="A23" s="413"/>
      <c r="B23" s="1947"/>
      <c r="C23" s="1950"/>
      <c r="D23" s="1950"/>
      <c r="E23" s="1950"/>
      <c r="F23" s="1950"/>
      <c r="G23" s="413"/>
      <c r="Q23" s="413"/>
      <c r="R23" s="413"/>
      <c r="T23" s="1910"/>
      <c r="U23" s="50" t="s">
        <v>61</v>
      </c>
      <c r="V23" s="1920">
        <v>400000</v>
      </c>
      <c r="W23" s="1920"/>
      <c r="X23" s="1920"/>
      <c r="Y23" s="1927"/>
    </row>
    <row r="24" spans="1:25" ht="48" customHeight="1" x14ac:dyDescent="0.25">
      <c r="A24" s="413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1893" t="s">
        <v>47</v>
      </c>
      <c r="U24" s="51" t="s">
        <v>62</v>
      </c>
      <c r="V24" s="1921">
        <f>V14+V16+V17-V18-V19-V20-V22+V23-V21</f>
        <v>41169.397500000021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19223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413"/>
      <c r="J33" s="413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900" t="s">
        <v>331</v>
      </c>
      <c r="U3" s="1900"/>
      <c r="V3" s="1900"/>
      <c r="W3" s="1900"/>
      <c r="X3" s="1900"/>
      <c r="Y3" s="1900"/>
    </row>
    <row r="4" spans="1:25" s="41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419" customFormat="1" ht="25.5" customHeight="1" x14ac:dyDescent="0.25">
      <c r="A5" s="1901"/>
      <c r="B5" s="1901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930"/>
      <c r="R14" s="1930"/>
      <c r="S14" s="423"/>
      <c r="T14" s="1893" t="s">
        <v>46</v>
      </c>
      <c r="U14" s="417" t="s">
        <v>176</v>
      </c>
      <c r="V14" s="1918">
        <v>41169</v>
      </c>
      <c r="W14" s="1926"/>
      <c r="X14" s="1919"/>
    </row>
    <row r="15" spans="1:25" ht="22.5" customHeight="1" x14ac:dyDescent="0.25">
      <c r="A15" s="100" t="s">
        <v>38</v>
      </c>
      <c r="B15" s="1918">
        <v>279587</v>
      </c>
      <c r="C15" s="1919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920"/>
      <c r="R15" s="1920"/>
      <c r="S15" s="417">
        <v>0</v>
      </c>
      <c r="T15" s="1893"/>
      <c r="U15" s="417" t="s">
        <v>64</v>
      </c>
      <c r="V15" s="1920">
        <v>19223</v>
      </c>
      <c r="W15" s="1920"/>
      <c r="X15" s="1920"/>
    </row>
    <row r="16" spans="1:25" ht="24.75" customHeight="1" x14ac:dyDescent="0.25">
      <c r="A16" s="100" t="s">
        <v>39</v>
      </c>
      <c r="B16" s="1918">
        <v>83116</v>
      </c>
      <c r="C16" s="1919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1883"/>
      <c r="R16" s="1883"/>
      <c r="S16" s="420"/>
      <c r="T16" s="1912" t="s">
        <v>55</v>
      </c>
      <c r="U16" s="1912"/>
      <c r="V16" s="1925">
        <f>Y12</f>
        <v>31185.157500000001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883"/>
      <c r="R17" s="1883"/>
      <c r="S17" s="416"/>
      <c r="T17" s="1952" t="s">
        <v>330</v>
      </c>
      <c r="U17" s="1953"/>
      <c r="V17" s="1954">
        <v>350000</v>
      </c>
      <c r="W17" s="1954"/>
      <c r="X17" s="1954"/>
    </row>
    <row r="18" spans="1:25" ht="27" customHeight="1" x14ac:dyDescent="0.25">
      <c r="A18" s="100" t="s">
        <v>40</v>
      </c>
      <c r="B18" s="1922">
        <f>C12</f>
        <v>32067</v>
      </c>
      <c r="C18" s="1919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920"/>
      <c r="R18" s="1920"/>
      <c r="S18" s="417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330636</v>
      </c>
      <c r="C19" s="1919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918">
        <f t="shared" ref="Q19" si="14">Q15+Q16+Q17-Q18</f>
        <v>0</v>
      </c>
      <c r="R19" s="1919"/>
      <c r="S19" s="417">
        <f>S15+S16-S17-S18</f>
        <v>0</v>
      </c>
      <c r="T19" s="1914" t="s">
        <v>48</v>
      </c>
      <c r="U19" s="49" t="s">
        <v>58</v>
      </c>
      <c r="V19" s="1920">
        <v>392769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318237.15000000002</v>
      </c>
      <c r="C20" s="1945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793778.95</v>
      </c>
      <c r="C21" s="1951"/>
      <c r="O21" s="424"/>
      <c r="P21" s="424"/>
      <c r="Q21" s="424"/>
      <c r="R21" s="424"/>
      <c r="T21" s="1952"/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392769</v>
      </c>
      <c r="D22" s="1949">
        <v>392769</v>
      </c>
      <c r="E22" s="1949">
        <v>80000</v>
      </c>
      <c r="F22" s="1949">
        <f>C22-D22+E22</f>
        <v>80000</v>
      </c>
      <c r="G22" s="424"/>
      <c r="Q22" s="424"/>
      <c r="R22" s="424"/>
      <c r="T22" s="1909" t="s">
        <v>83</v>
      </c>
      <c r="U22" s="50" t="s">
        <v>60</v>
      </c>
      <c r="V22" s="1920">
        <v>416510</v>
      </c>
      <c r="W22" s="1920"/>
      <c r="X22" s="1920"/>
      <c r="Y22" s="1927"/>
    </row>
    <row r="23" spans="1:25" ht="39.75" customHeight="1" x14ac:dyDescent="0.25">
      <c r="A23" s="424"/>
      <c r="B23" s="1947"/>
      <c r="C23" s="1950"/>
      <c r="D23" s="1950"/>
      <c r="E23" s="1950"/>
      <c r="F23" s="1950"/>
      <c r="G23" s="424"/>
      <c r="Q23" s="424"/>
      <c r="R23" s="424"/>
      <c r="T23" s="1910"/>
      <c r="U23" s="50" t="s">
        <v>61</v>
      </c>
      <c r="V23" s="1920">
        <v>392769</v>
      </c>
      <c r="W23" s="1920"/>
      <c r="X23" s="1920"/>
      <c r="Y23" s="1927"/>
    </row>
    <row r="24" spans="1:25" ht="48" customHeight="1" x14ac:dyDescent="0.25">
      <c r="A24" s="424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893" t="s">
        <v>47</v>
      </c>
      <c r="U24" s="51" t="s">
        <v>62</v>
      </c>
      <c r="V24" s="1921">
        <f>V14+V16+V17-V18-V19-V20-V22+V23-V21</f>
        <v>5324.1574999999721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42964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424"/>
      <c r="J33" s="424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900" t="s">
        <v>332</v>
      </c>
      <c r="U3" s="1900"/>
      <c r="V3" s="1900"/>
      <c r="W3" s="1900"/>
      <c r="X3" s="1900"/>
      <c r="Y3" s="1900"/>
    </row>
    <row r="4" spans="1:25" s="41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419" customFormat="1" ht="25.5" customHeight="1" x14ac:dyDescent="0.25">
      <c r="A5" s="1901"/>
      <c r="B5" s="1901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930"/>
      <c r="R14" s="1930"/>
      <c r="S14" s="423"/>
      <c r="T14" s="1893" t="s">
        <v>46</v>
      </c>
      <c r="U14" s="417" t="s">
        <v>176</v>
      </c>
      <c r="V14" s="1918">
        <v>5324</v>
      </c>
      <c r="W14" s="1926"/>
      <c r="X14" s="1919"/>
    </row>
    <row r="15" spans="1:25" ht="22.5" customHeight="1" x14ac:dyDescent="0.25">
      <c r="A15" s="100" t="s">
        <v>38</v>
      </c>
      <c r="B15" s="1918">
        <v>330636</v>
      </c>
      <c r="C15" s="1919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920"/>
      <c r="R15" s="1920"/>
      <c r="S15" s="417">
        <v>0</v>
      </c>
      <c r="T15" s="1893"/>
      <c r="U15" s="417" t="s">
        <v>64</v>
      </c>
      <c r="V15" s="1920">
        <v>42964</v>
      </c>
      <c r="W15" s="1920"/>
      <c r="X15" s="1920"/>
    </row>
    <row r="16" spans="1:25" ht="24.75" customHeight="1" x14ac:dyDescent="0.25">
      <c r="A16" s="100" t="s">
        <v>39</v>
      </c>
      <c r="B16" s="1918">
        <v>408684</v>
      </c>
      <c r="C16" s="1919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1883"/>
      <c r="R16" s="1883"/>
      <c r="S16" s="420"/>
      <c r="T16" s="1912" t="s">
        <v>55</v>
      </c>
      <c r="U16" s="1912"/>
      <c r="V16" s="1925">
        <f>Y12</f>
        <v>343038.53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883"/>
      <c r="R17" s="1883"/>
      <c r="S17" s="416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340708</v>
      </c>
      <c r="C18" s="1919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920"/>
      <c r="R18" s="1920"/>
      <c r="S18" s="417"/>
      <c r="T18" s="1912" t="s">
        <v>57</v>
      </c>
      <c r="U18" s="1912"/>
      <c r="V18" s="1920">
        <v>2450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398612</v>
      </c>
      <c r="C19" s="1919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918">
        <f t="shared" ref="Q19" si="14">Q15+Q16+Q17-Q18</f>
        <v>0</v>
      </c>
      <c r="R19" s="1919"/>
      <c r="S19" s="417">
        <f>S15+S16-S17-S18</f>
        <v>0</v>
      </c>
      <c r="T19" s="1914" t="s">
        <v>48</v>
      </c>
      <c r="U19" s="49" t="s">
        <v>58</v>
      </c>
      <c r="V19" s="1920">
        <v>80000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383664.05</v>
      </c>
      <c r="C20" s="1945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848953.05</v>
      </c>
      <c r="C21" s="1951"/>
      <c r="O21" s="424"/>
      <c r="P21" s="424"/>
      <c r="Q21" s="424"/>
      <c r="R21" s="424"/>
      <c r="T21" s="1952"/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80000</v>
      </c>
      <c r="D22" s="1949">
        <v>80000</v>
      </c>
      <c r="E22" s="1949">
        <v>400000</v>
      </c>
      <c r="F22" s="1949">
        <f>C22-D22+E22</f>
        <v>400000</v>
      </c>
      <c r="G22" s="424"/>
      <c r="Q22" s="424"/>
      <c r="R22" s="424"/>
      <c r="T22" s="1909" t="s">
        <v>83</v>
      </c>
      <c r="U22" s="50" t="s">
        <v>60</v>
      </c>
      <c r="V22" s="1920">
        <v>302740</v>
      </c>
      <c r="W22" s="1920"/>
      <c r="X22" s="1920"/>
      <c r="Y22" s="1927"/>
    </row>
    <row r="23" spans="1:25" ht="39.75" customHeight="1" x14ac:dyDescent="0.25">
      <c r="A23" s="424"/>
      <c r="B23" s="1947"/>
      <c r="C23" s="1950"/>
      <c r="D23" s="1950"/>
      <c r="E23" s="1950"/>
      <c r="F23" s="1950"/>
      <c r="G23" s="424"/>
      <c r="Q23" s="424"/>
      <c r="R23" s="424"/>
      <c r="T23" s="1910"/>
      <c r="U23" s="50" t="s">
        <v>61</v>
      </c>
      <c r="V23" s="1920">
        <v>80000</v>
      </c>
      <c r="W23" s="1920"/>
      <c r="X23" s="1920"/>
      <c r="Y23" s="1927"/>
    </row>
    <row r="24" spans="1:25" ht="48" customHeight="1" x14ac:dyDescent="0.25">
      <c r="A24" s="424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893" t="s">
        <v>47</v>
      </c>
      <c r="U24" s="51" t="s">
        <v>62</v>
      </c>
      <c r="V24" s="1921">
        <f>V14+V16+V17-V18-V19-V20-V22+V23-V21</f>
        <v>43172.530000000028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265704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424"/>
      <c r="J33" s="424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900" t="s">
        <v>334</v>
      </c>
      <c r="U3" s="1900"/>
      <c r="V3" s="1900"/>
      <c r="W3" s="1900"/>
      <c r="X3" s="1900"/>
      <c r="Y3" s="1900"/>
    </row>
    <row r="4" spans="1:25" s="42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425" customFormat="1" ht="25.5" customHeight="1" x14ac:dyDescent="0.25">
      <c r="A5" s="1901"/>
      <c r="B5" s="1901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1930"/>
      <c r="R14" s="1930"/>
      <c r="S14" s="434"/>
      <c r="T14" s="1893" t="s">
        <v>46</v>
      </c>
      <c r="U14" s="426" t="s">
        <v>176</v>
      </c>
      <c r="V14" s="1918">
        <v>43173</v>
      </c>
      <c r="W14" s="1926"/>
      <c r="X14" s="1919"/>
    </row>
    <row r="15" spans="1:25" ht="22.5" customHeight="1" x14ac:dyDescent="0.25">
      <c r="A15" s="100" t="s">
        <v>38</v>
      </c>
      <c r="B15" s="1918">
        <v>398612</v>
      </c>
      <c r="C15" s="1919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1920"/>
      <c r="R15" s="1920"/>
      <c r="S15" s="426">
        <v>0</v>
      </c>
      <c r="T15" s="1893"/>
      <c r="U15" s="426" t="s">
        <v>64</v>
      </c>
      <c r="V15" s="1920">
        <v>265704</v>
      </c>
      <c r="W15" s="1920"/>
      <c r="X15" s="1920"/>
    </row>
    <row r="16" spans="1:25" ht="24.75" customHeight="1" x14ac:dyDescent="0.25">
      <c r="A16" s="100" t="s">
        <v>39</v>
      </c>
      <c r="B16" s="1918">
        <v>575646</v>
      </c>
      <c r="C16" s="1919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1883"/>
      <c r="R16" s="1883"/>
      <c r="S16" s="431"/>
      <c r="T16" s="1912" t="s">
        <v>55</v>
      </c>
      <c r="U16" s="1912"/>
      <c r="V16" s="1925">
        <f>Y12</f>
        <v>687807.97000000009</v>
      </c>
      <c r="W16" s="1925"/>
      <c r="X16" s="1920"/>
    </row>
    <row r="17" spans="1:25" ht="28.5" customHeight="1" x14ac:dyDescent="0.25">
      <c r="A17" s="101" t="s">
        <v>44</v>
      </c>
      <c r="B17" s="1918">
        <v>75396</v>
      </c>
      <c r="C17" s="1919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883"/>
      <c r="R17" s="1883"/>
      <c r="S17" s="428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704292</v>
      </c>
      <c r="C18" s="1919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1920"/>
      <c r="R18" s="1920"/>
      <c r="S18" s="426"/>
      <c r="T18" s="1912" t="s">
        <v>57</v>
      </c>
      <c r="U18" s="1912"/>
      <c r="V18" s="1920">
        <f>720+8414</f>
        <v>9134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345362</v>
      </c>
      <c r="C19" s="1919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1918">
        <f t="shared" ref="Q19" si="14">Q15+Q16+Q17-Q18</f>
        <v>0</v>
      </c>
      <c r="R19" s="1919"/>
      <c r="S19" s="426">
        <f>S15+S16-S17-S18</f>
        <v>0</v>
      </c>
      <c r="T19" s="1914" t="s">
        <v>48</v>
      </c>
      <c r="U19" s="49" t="s">
        <v>58</v>
      </c>
      <c r="V19" s="1920">
        <v>400000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332410.92499999999</v>
      </c>
      <c r="C20" s="1945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>
        <v>214060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794905.92500000005</v>
      </c>
      <c r="C21" s="1951"/>
      <c r="O21" s="435"/>
      <c r="P21" s="435"/>
      <c r="Q21" s="435"/>
      <c r="R21" s="435"/>
      <c r="T21" s="1952" t="s">
        <v>340</v>
      </c>
      <c r="U21" s="1953"/>
      <c r="V21" s="1955">
        <v>100000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>
        <v>400000</v>
      </c>
      <c r="E22" s="1949">
        <v>340000</v>
      </c>
      <c r="F22" s="1949">
        <f>C22-D22+E22</f>
        <v>340000</v>
      </c>
      <c r="G22" s="435"/>
      <c r="Q22" s="435"/>
      <c r="R22" s="435"/>
      <c r="T22" s="1909" t="s">
        <v>83</v>
      </c>
      <c r="U22" s="50" t="s">
        <v>60</v>
      </c>
      <c r="V22" s="1920">
        <v>145000</v>
      </c>
      <c r="W22" s="1920"/>
      <c r="X22" s="1920"/>
      <c r="Y22" s="1927"/>
    </row>
    <row r="23" spans="1:25" ht="39.75" customHeight="1" x14ac:dyDescent="0.25">
      <c r="A23" s="435"/>
      <c r="B23" s="1947"/>
      <c r="C23" s="1950"/>
      <c r="D23" s="1950"/>
      <c r="E23" s="1950"/>
      <c r="F23" s="1950"/>
      <c r="G23" s="435"/>
      <c r="Q23" s="435"/>
      <c r="R23" s="435"/>
      <c r="T23" s="1910"/>
      <c r="U23" s="50" t="s">
        <v>61</v>
      </c>
      <c r="V23" s="1920">
        <v>400000</v>
      </c>
      <c r="W23" s="1920"/>
      <c r="X23" s="1920"/>
      <c r="Y23" s="1927"/>
    </row>
    <row r="24" spans="1:25" ht="48" customHeight="1" x14ac:dyDescent="0.25">
      <c r="A24" s="435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893" t="s">
        <v>47</v>
      </c>
      <c r="U24" s="51" t="s">
        <v>62</v>
      </c>
      <c r="V24" s="1921">
        <f>V14+V16+V17-V18-V19-V20-V22+V23-V21</f>
        <v>262786.97000000009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10704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435"/>
      <c r="J33" s="435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900" t="s">
        <v>336</v>
      </c>
      <c r="U3" s="1900"/>
      <c r="V3" s="1900"/>
      <c r="W3" s="1900"/>
      <c r="X3" s="1900"/>
      <c r="Y3" s="1900"/>
    </row>
    <row r="4" spans="1:25" s="42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425" customFormat="1" ht="25.5" customHeight="1" x14ac:dyDescent="0.25">
      <c r="A5" s="1901"/>
      <c r="B5" s="1901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1930"/>
      <c r="R14" s="1930"/>
      <c r="S14" s="434"/>
      <c r="T14" s="1893" t="s">
        <v>46</v>
      </c>
      <c r="U14" s="426" t="s">
        <v>176</v>
      </c>
      <c r="V14" s="1918">
        <v>262787</v>
      </c>
      <c r="W14" s="1926"/>
      <c r="X14" s="1919"/>
    </row>
    <row r="15" spans="1:25" ht="22.5" customHeight="1" x14ac:dyDescent="0.25">
      <c r="A15" s="100" t="s">
        <v>38</v>
      </c>
      <c r="B15" s="1918">
        <v>345362</v>
      </c>
      <c r="C15" s="1919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1920"/>
      <c r="R15" s="1920"/>
      <c r="S15" s="426">
        <v>0</v>
      </c>
      <c r="T15" s="1893"/>
      <c r="U15" s="426" t="s">
        <v>64</v>
      </c>
      <c r="V15" s="1920">
        <v>10704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1883"/>
      <c r="R16" s="1883"/>
      <c r="S16" s="431"/>
      <c r="T16" s="1912" t="s">
        <v>55</v>
      </c>
      <c r="U16" s="1912"/>
      <c r="V16" s="1925">
        <f>Y12</f>
        <v>172952.69750000001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883"/>
      <c r="R17" s="1883"/>
      <c r="S17" s="428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28411</v>
      </c>
      <c r="C18" s="1919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1920"/>
      <c r="R18" s="1920"/>
      <c r="S18" s="426"/>
      <c r="T18" s="1912" t="s">
        <v>57</v>
      </c>
      <c r="U18" s="1912"/>
      <c r="V18" s="1920">
        <f>470+138910</f>
        <v>139380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316951</v>
      </c>
      <c r="C19" s="1919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1918">
        <f t="shared" ref="Q19" si="14">Q15+Q16+Q17-Q18</f>
        <v>0</v>
      </c>
      <c r="R19" s="1919"/>
      <c r="S19" s="426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305065.33750000002</v>
      </c>
      <c r="C20" s="1945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>
        <v>17834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1683787.3374999999</v>
      </c>
      <c r="C21" s="1951"/>
      <c r="O21" s="435"/>
      <c r="P21" s="435"/>
      <c r="Q21" s="435"/>
      <c r="R21" s="435"/>
      <c r="T21" s="1952"/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340000</v>
      </c>
      <c r="D22" s="1949"/>
      <c r="E22" s="1949">
        <v>1042385</v>
      </c>
      <c r="F22" s="1949">
        <f>C22-D22+E22</f>
        <v>1382385</v>
      </c>
      <c r="G22" s="435"/>
      <c r="Q22" s="435"/>
      <c r="R22" s="435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435"/>
      <c r="B23" s="1947"/>
      <c r="C23" s="1950"/>
      <c r="D23" s="1950"/>
      <c r="E23" s="1950"/>
      <c r="F23" s="1950"/>
      <c r="G23" s="435"/>
      <c r="Q23" s="435"/>
      <c r="R23" s="435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435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893" t="s">
        <v>47</v>
      </c>
      <c r="U24" s="51" t="s">
        <v>62</v>
      </c>
      <c r="V24" s="1921">
        <f>V14+V16+V17-V18-V19-V20-V22+V23-V21</f>
        <v>278525.69750000001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10704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435"/>
      <c r="J33" s="435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1900" t="s">
        <v>338</v>
      </c>
      <c r="U3" s="1900"/>
      <c r="V3" s="1900"/>
      <c r="W3" s="1900"/>
      <c r="X3" s="1900"/>
      <c r="Y3" s="1900"/>
    </row>
    <row r="4" spans="1:25" s="43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436" customFormat="1" ht="25.5" customHeight="1" x14ac:dyDescent="0.25">
      <c r="A5" s="1901"/>
      <c r="B5" s="1901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1930"/>
      <c r="R14" s="1930"/>
      <c r="S14" s="445"/>
      <c r="T14" s="1893" t="s">
        <v>46</v>
      </c>
      <c r="U14" s="437" t="s">
        <v>176</v>
      </c>
      <c r="V14" s="1918">
        <v>278526</v>
      </c>
      <c r="W14" s="1926"/>
      <c r="X14" s="1919"/>
    </row>
    <row r="15" spans="1:25" ht="22.5" customHeight="1" x14ac:dyDescent="0.25">
      <c r="A15" s="100" t="s">
        <v>38</v>
      </c>
      <c r="B15" s="1918">
        <v>316951</v>
      </c>
      <c r="C15" s="1919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1920"/>
      <c r="R15" s="1920"/>
      <c r="S15" s="437">
        <v>0</v>
      </c>
      <c r="T15" s="1893"/>
      <c r="U15" s="437" t="s">
        <v>64</v>
      </c>
      <c r="V15" s="1920">
        <v>10704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1883"/>
      <c r="R16" s="1883"/>
      <c r="S16" s="442"/>
      <c r="T16" s="1912" t="s">
        <v>55</v>
      </c>
      <c r="U16" s="1912"/>
      <c r="V16" s="1925">
        <f>Y12</f>
        <v>46823.880000000005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1883"/>
      <c r="R17" s="1883"/>
      <c r="S17" s="439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47568</v>
      </c>
      <c r="C18" s="1919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1920"/>
      <c r="R18" s="1920"/>
      <c r="S18" s="437"/>
      <c r="T18" s="1912" t="s">
        <v>57</v>
      </c>
      <c r="U18" s="1912"/>
      <c r="V18" s="1920">
        <f>520+1655</f>
        <v>2175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269383</v>
      </c>
      <c r="C19" s="1919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1918">
        <f t="shared" ref="Q19" si="14">Q15+Q16+Q17-Q18</f>
        <v>0</v>
      </c>
      <c r="R19" s="1919"/>
      <c r="S19" s="437">
        <f>S15+S16-S17-S18</f>
        <v>0</v>
      </c>
      <c r="T19" s="1914" t="s">
        <v>48</v>
      </c>
      <c r="U19" s="49" t="s">
        <v>58</v>
      </c>
      <c r="V19" s="1920">
        <v>196000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259281.13750000001</v>
      </c>
      <c r="C20" s="1945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1642724.1375</v>
      </c>
      <c r="C21" s="1951"/>
      <c r="O21" s="446"/>
      <c r="P21" s="446"/>
      <c r="Q21" s="446"/>
      <c r="R21" s="446"/>
      <c r="T21" s="1952"/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1382385</v>
      </c>
      <c r="D22" s="1949">
        <v>196000</v>
      </c>
      <c r="E22" s="1949"/>
      <c r="F22" s="1949">
        <f>C22-D22+E22</f>
        <v>1186385</v>
      </c>
      <c r="G22" s="446"/>
      <c r="Q22" s="446"/>
      <c r="R22" s="446"/>
      <c r="T22" s="1909" t="s">
        <v>83</v>
      </c>
      <c r="U22" s="50" t="s">
        <v>60</v>
      </c>
      <c r="V22" s="1920">
        <v>196430</v>
      </c>
      <c r="W22" s="1920"/>
      <c r="X22" s="1920"/>
      <c r="Y22" s="1927"/>
    </row>
    <row r="23" spans="1:25" ht="39.75" customHeight="1" x14ac:dyDescent="0.25">
      <c r="A23" s="446"/>
      <c r="B23" s="1947"/>
      <c r="C23" s="1950"/>
      <c r="D23" s="1950"/>
      <c r="E23" s="1950"/>
      <c r="F23" s="1950"/>
      <c r="G23" s="446"/>
      <c r="Q23" s="446"/>
      <c r="R23" s="446"/>
      <c r="T23" s="1910"/>
      <c r="U23" s="50" t="s">
        <v>61</v>
      </c>
      <c r="V23" s="1920">
        <v>196000</v>
      </c>
      <c r="W23" s="1920"/>
      <c r="X23" s="1920"/>
      <c r="Y23" s="1927"/>
    </row>
    <row r="24" spans="1:25" ht="48" customHeight="1" x14ac:dyDescent="0.25">
      <c r="A24" s="446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1893" t="s">
        <v>47</v>
      </c>
      <c r="U24" s="51" t="s">
        <v>62</v>
      </c>
      <c r="V24" s="1921">
        <f>V14+V16+V17-V18-V19-V20-V22+V23-V21</f>
        <v>126744.88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11134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446"/>
      <c r="J33" s="446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1900" t="s">
        <v>337</v>
      </c>
      <c r="U3" s="1900"/>
      <c r="V3" s="1900"/>
      <c r="W3" s="1900"/>
      <c r="X3" s="1900"/>
      <c r="Y3" s="1900"/>
    </row>
    <row r="4" spans="1:25" s="45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28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452" customFormat="1" ht="25.5" customHeight="1" x14ac:dyDescent="0.25">
      <c r="A5" s="1901"/>
      <c r="B5" s="1901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1930"/>
      <c r="R14" s="1930"/>
      <c r="S14" s="456"/>
      <c r="T14" s="1893" t="s">
        <v>46</v>
      </c>
      <c r="U14" s="450" t="s">
        <v>176</v>
      </c>
      <c r="V14" s="1918">
        <v>126745</v>
      </c>
      <c r="W14" s="1926"/>
      <c r="X14" s="1919"/>
    </row>
    <row r="15" spans="1:25" ht="22.5" customHeight="1" x14ac:dyDescent="0.25">
      <c r="A15" s="100" t="s">
        <v>38</v>
      </c>
      <c r="B15" s="1918">
        <v>269383</v>
      </c>
      <c r="C15" s="1919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1920"/>
      <c r="R15" s="1920"/>
      <c r="S15" s="450">
        <v>0</v>
      </c>
      <c r="T15" s="1893"/>
      <c r="U15" s="450" t="s">
        <v>64</v>
      </c>
      <c r="V15" s="1920">
        <v>11134</v>
      </c>
      <c r="W15" s="1920"/>
      <c r="X15" s="1920"/>
    </row>
    <row r="16" spans="1:25" ht="24.75" customHeight="1" x14ac:dyDescent="0.25">
      <c r="A16" s="100" t="s">
        <v>39</v>
      </c>
      <c r="B16" s="1918">
        <v>155844</v>
      </c>
      <c r="C16" s="1919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1883"/>
      <c r="R16" s="1883"/>
      <c r="S16" s="453"/>
      <c r="T16" s="1912" t="s">
        <v>55</v>
      </c>
      <c r="U16" s="1912"/>
      <c r="V16" s="1925">
        <f>Y12</f>
        <v>386262.65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1883"/>
      <c r="R17" s="1883"/>
      <c r="S17" s="449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117940</v>
      </c>
      <c r="C18" s="1919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1920"/>
      <c r="R18" s="1920"/>
      <c r="S18" s="450"/>
      <c r="T18" s="1912" t="s">
        <v>57</v>
      </c>
      <c r="U18" s="1912"/>
      <c r="V18" s="1920">
        <v>770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307287</v>
      </c>
      <c r="C19" s="1919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1918">
        <f t="shared" ref="Q19" si="14">Q15+Q16+Q17-Q18</f>
        <v>0</v>
      </c>
      <c r="R19" s="1919"/>
      <c r="S19" s="450">
        <f>S15+S16-S17-S18</f>
        <v>0</v>
      </c>
      <c r="T19" s="1914" t="s">
        <v>48</v>
      </c>
      <c r="U19" s="49" t="s">
        <v>58</v>
      </c>
      <c r="V19" s="1920">
        <v>144000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295763.73749999999</v>
      </c>
      <c r="C20" s="1945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1461368.8374999999</v>
      </c>
      <c r="C21" s="1951"/>
      <c r="O21" s="457"/>
      <c r="P21" s="457"/>
      <c r="Q21" s="457"/>
      <c r="R21" s="457"/>
      <c r="T21" s="1952" t="s">
        <v>340</v>
      </c>
      <c r="U21" s="1953"/>
      <c r="V21" s="1955">
        <v>261000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1186385</v>
      </c>
      <c r="D22" s="1949">
        <v>144000</v>
      </c>
      <c r="E22" s="1949">
        <v>201241</v>
      </c>
      <c r="F22" s="1949">
        <f>C22-D22+E22</f>
        <v>1243626</v>
      </c>
      <c r="G22" s="457"/>
      <c r="Q22" s="457"/>
      <c r="R22" s="457"/>
      <c r="T22" s="1909" t="s">
        <v>83</v>
      </c>
      <c r="U22" s="50" t="s">
        <v>60</v>
      </c>
      <c r="V22" s="1920">
        <v>434680</v>
      </c>
      <c r="W22" s="1920"/>
      <c r="X22" s="1920"/>
      <c r="Y22" s="1927"/>
    </row>
    <row r="23" spans="1:25" ht="39.75" customHeight="1" x14ac:dyDescent="0.25">
      <c r="A23" s="457"/>
      <c r="B23" s="1947"/>
      <c r="C23" s="1950"/>
      <c r="D23" s="1950"/>
      <c r="E23" s="1950"/>
      <c r="F23" s="1950"/>
      <c r="G23" s="457"/>
      <c r="Q23" s="457"/>
      <c r="R23" s="457"/>
      <c r="T23" s="1910"/>
      <c r="U23" s="50" t="s">
        <v>61</v>
      </c>
      <c r="V23" s="1920">
        <v>405000</v>
      </c>
      <c r="W23" s="1920"/>
      <c r="X23" s="1920"/>
      <c r="Y23" s="1927"/>
    </row>
    <row r="24" spans="1:25" ht="48" customHeight="1" x14ac:dyDescent="0.25">
      <c r="A24" s="457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1893" t="s">
        <v>47</v>
      </c>
      <c r="U24" s="51" t="s">
        <v>62</v>
      </c>
      <c r="V24" s="1921">
        <f>V14+V16+V17-V18-V19-V20-V22+V23-V21</f>
        <v>77557.650000000023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40814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457"/>
      <c r="J33" s="457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900" t="s">
        <v>341</v>
      </c>
      <c r="U3" s="1900"/>
      <c r="V3" s="1900"/>
      <c r="W3" s="1900"/>
      <c r="X3" s="1900"/>
      <c r="Y3" s="1900"/>
    </row>
    <row r="4" spans="1:25" s="45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458" customFormat="1" ht="25.5" customHeight="1" x14ac:dyDescent="0.25">
      <c r="A5" s="1901"/>
      <c r="B5" s="1901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930"/>
      <c r="R14" s="1930"/>
      <c r="S14" s="467"/>
      <c r="T14" s="1893" t="s">
        <v>46</v>
      </c>
      <c r="U14" s="459" t="s">
        <v>176</v>
      </c>
      <c r="V14" s="1918">
        <v>77558</v>
      </c>
      <c r="W14" s="1926"/>
      <c r="X14" s="1919"/>
    </row>
    <row r="15" spans="1:25" ht="22.5" customHeight="1" x14ac:dyDescent="0.25">
      <c r="A15" s="100" t="s">
        <v>38</v>
      </c>
      <c r="B15" s="1918">
        <v>307287</v>
      </c>
      <c r="C15" s="1919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920"/>
      <c r="R15" s="1920"/>
      <c r="S15" s="459">
        <v>0</v>
      </c>
      <c r="T15" s="1893"/>
      <c r="U15" s="459" t="s">
        <v>64</v>
      </c>
      <c r="V15" s="1920">
        <v>40814</v>
      </c>
      <c r="W15" s="1920"/>
      <c r="X15" s="1920"/>
    </row>
    <row r="16" spans="1:25" ht="24.75" customHeight="1" x14ac:dyDescent="0.25">
      <c r="A16" s="100" t="s">
        <v>39</v>
      </c>
      <c r="B16" s="1918">
        <v>103896</v>
      </c>
      <c r="C16" s="1919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1883"/>
      <c r="R16" s="1883"/>
      <c r="S16" s="464"/>
      <c r="T16" s="1912" t="s">
        <v>55</v>
      </c>
      <c r="U16" s="1912"/>
      <c r="V16" s="1925">
        <f>Y12</f>
        <v>262566.27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883"/>
      <c r="R17" s="1883"/>
      <c r="S17" s="461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98572</v>
      </c>
      <c r="C18" s="1919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920"/>
      <c r="R18" s="1920"/>
      <c r="S18" s="459"/>
      <c r="T18" s="1912" t="s">
        <v>57</v>
      </c>
      <c r="U18" s="1912"/>
      <c r="V18" s="1920">
        <v>570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312611</v>
      </c>
      <c r="C19" s="1919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918">
        <f t="shared" ref="Q19" si="14">Q15+Q16+Q17-Q18</f>
        <v>0</v>
      </c>
      <c r="R19" s="1919"/>
      <c r="S19" s="459">
        <f>S15+S16-S17-S18</f>
        <v>0</v>
      </c>
      <c r="T19" s="1914" t="s">
        <v>48</v>
      </c>
      <c r="U19" s="49" t="s">
        <v>58</v>
      </c>
      <c r="V19" s="1920">
        <v>201241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300888.08750000002</v>
      </c>
      <c r="C20" s="1945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1374487.6875</v>
      </c>
      <c r="C21" s="1951"/>
      <c r="O21" s="468"/>
      <c r="P21" s="468"/>
      <c r="Q21" s="468"/>
      <c r="R21" s="468"/>
      <c r="T21" s="1952"/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1243626</v>
      </c>
      <c r="D22" s="1949">
        <v>201241</v>
      </c>
      <c r="E22" s="1949">
        <v>173051</v>
      </c>
      <c r="F22" s="1949">
        <f>C22-D22+E22</f>
        <v>1215436</v>
      </c>
      <c r="G22" s="468"/>
      <c r="Q22" s="468"/>
      <c r="R22" s="468"/>
      <c r="T22" s="1909" t="s">
        <v>83</v>
      </c>
      <c r="U22" s="50" t="s">
        <v>60</v>
      </c>
      <c r="V22" s="1920">
        <v>282090</v>
      </c>
      <c r="W22" s="1920"/>
      <c r="X22" s="1920"/>
      <c r="Y22" s="1927"/>
    </row>
    <row r="23" spans="1:25" ht="39.75" customHeight="1" x14ac:dyDescent="0.25">
      <c r="A23" s="468"/>
      <c r="B23" s="1947"/>
      <c r="C23" s="1950"/>
      <c r="D23" s="1950"/>
      <c r="E23" s="1950"/>
      <c r="F23" s="1950"/>
      <c r="G23" s="468"/>
      <c r="Q23" s="468"/>
      <c r="R23" s="468"/>
      <c r="T23" s="1910"/>
      <c r="U23" s="50" t="s">
        <v>61</v>
      </c>
      <c r="V23" s="1920">
        <v>201241</v>
      </c>
      <c r="W23" s="1920"/>
      <c r="X23" s="1920"/>
      <c r="Y23" s="1927"/>
    </row>
    <row r="24" spans="1:25" ht="48" customHeight="1" x14ac:dyDescent="0.25">
      <c r="A24" s="468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893" t="s">
        <v>47</v>
      </c>
      <c r="U24" s="51" t="s">
        <v>62</v>
      </c>
      <c r="V24" s="1921">
        <f>V14+V16+V17-V18-V19-V20-V22+V23-V21</f>
        <v>57464.270000000019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121663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468"/>
      <c r="J33" s="468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900" t="s">
        <v>343</v>
      </c>
      <c r="U3" s="1900"/>
      <c r="V3" s="1900"/>
      <c r="W3" s="1900"/>
      <c r="X3" s="1900"/>
      <c r="Y3" s="1900"/>
    </row>
    <row r="4" spans="1:25" s="45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458" customFormat="1" ht="25.5" customHeight="1" x14ac:dyDescent="0.25">
      <c r="A5" s="1901"/>
      <c r="B5" s="1901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930"/>
      <c r="R14" s="1930"/>
      <c r="S14" s="467"/>
      <c r="T14" s="1893" t="s">
        <v>46</v>
      </c>
      <c r="U14" s="459" t="s">
        <v>176</v>
      </c>
      <c r="V14" s="1918">
        <v>57464</v>
      </c>
      <c r="W14" s="1926"/>
      <c r="X14" s="1919"/>
    </row>
    <row r="15" spans="1:25" ht="22.5" customHeight="1" x14ac:dyDescent="0.25">
      <c r="A15" s="100" t="s">
        <v>38</v>
      </c>
      <c r="B15" s="1918">
        <v>312611</v>
      </c>
      <c r="C15" s="1919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920"/>
      <c r="R15" s="1920"/>
      <c r="S15" s="459">
        <v>0</v>
      </c>
      <c r="T15" s="1893"/>
      <c r="U15" s="459" t="s">
        <v>64</v>
      </c>
      <c r="V15" s="1920">
        <v>121663</v>
      </c>
      <c r="W15" s="1920"/>
      <c r="X15" s="1920"/>
    </row>
    <row r="16" spans="1:25" ht="24.75" customHeight="1" x14ac:dyDescent="0.25">
      <c r="A16" s="100" t="s">
        <v>39</v>
      </c>
      <c r="B16" s="1918">
        <v>119480</v>
      </c>
      <c r="C16" s="1919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1883"/>
      <c r="R16" s="1883"/>
      <c r="S16" s="464"/>
      <c r="T16" s="1912" t="s">
        <v>55</v>
      </c>
      <c r="U16" s="1912"/>
      <c r="V16" s="1925">
        <f>Y12</f>
        <v>224811.44750000004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883"/>
      <c r="R17" s="1883"/>
      <c r="S17" s="461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99511</v>
      </c>
      <c r="C18" s="1919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920"/>
      <c r="R18" s="1920"/>
      <c r="S18" s="459"/>
      <c r="T18" s="1912" t="s">
        <v>57</v>
      </c>
      <c r="U18" s="1912"/>
      <c r="V18" s="1920">
        <f>620+1155</f>
        <v>1775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332580</v>
      </c>
      <c r="C19" s="1919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918">
        <f t="shared" ref="Q19" si="14">Q15+Q16+Q17-Q18</f>
        <v>0</v>
      </c>
      <c r="R19" s="1919"/>
      <c r="S19" s="459">
        <f>S15+S16-S17-S18</f>
        <v>0</v>
      </c>
      <c r="T19" s="1914" t="s">
        <v>48</v>
      </c>
      <c r="U19" s="49" t="s">
        <v>58</v>
      </c>
      <c r="V19" s="1920">
        <v>173051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320108.25</v>
      </c>
      <c r="C20" s="1945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1340678.45</v>
      </c>
      <c r="C21" s="1951"/>
      <c r="O21" s="468"/>
      <c r="P21" s="468"/>
      <c r="Q21" s="468"/>
      <c r="R21" s="468"/>
      <c r="T21" s="1952"/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1215436</v>
      </c>
      <c r="D22" s="1949">
        <v>173051</v>
      </c>
      <c r="E22" s="1949">
        <v>188240</v>
      </c>
      <c r="F22" s="1949">
        <f>C22-D22+E22</f>
        <v>1230625</v>
      </c>
      <c r="G22" s="468"/>
      <c r="Q22" s="468"/>
      <c r="R22" s="468"/>
      <c r="T22" s="1909" t="s">
        <v>83</v>
      </c>
      <c r="U22" s="50" t="s">
        <v>60</v>
      </c>
      <c r="V22" s="1920">
        <v>222440</v>
      </c>
      <c r="W22" s="1920"/>
      <c r="X22" s="1920"/>
      <c r="Y22" s="1927"/>
    </row>
    <row r="23" spans="1:25" ht="39.75" customHeight="1" x14ac:dyDescent="0.25">
      <c r="A23" s="468"/>
      <c r="B23" s="1947"/>
      <c r="C23" s="1950"/>
      <c r="D23" s="1950"/>
      <c r="E23" s="1950"/>
      <c r="F23" s="1950"/>
      <c r="G23" s="468"/>
      <c r="Q23" s="468"/>
      <c r="R23" s="468"/>
      <c r="T23" s="1910"/>
      <c r="U23" s="50" t="s">
        <v>61</v>
      </c>
      <c r="V23" s="1920">
        <v>173051</v>
      </c>
      <c r="W23" s="1920"/>
      <c r="X23" s="1920"/>
      <c r="Y23" s="1927"/>
    </row>
    <row r="24" spans="1:25" ht="48" customHeight="1" x14ac:dyDescent="0.25">
      <c r="A24" s="468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893" t="s">
        <v>47</v>
      </c>
      <c r="U24" s="51" t="s">
        <v>62</v>
      </c>
      <c r="V24" s="1921">
        <f>V14+V16+V17-V18-V19-V20-V22+V23-V21</f>
        <v>58060.447500000009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171052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468"/>
      <c r="J33" s="468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1900" t="s">
        <v>344</v>
      </c>
      <c r="U3" s="1900"/>
      <c r="V3" s="1900"/>
      <c r="W3" s="1900"/>
      <c r="X3" s="1900"/>
      <c r="Y3" s="1900"/>
    </row>
    <row r="4" spans="1:25" s="47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475" customFormat="1" ht="25.5" customHeight="1" x14ac:dyDescent="0.25">
      <c r="A5" s="1901"/>
      <c r="B5" s="1901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1930"/>
      <c r="R14" s="1930"/>
      <c r="S14" s="479"/>
      <c r="T14" s="1893" t="s">
        <v>46</v>
      </c>
      <c r="U14" s="473" t="s">
        <v>176</v>
      </c>
      <c r="V14" s="1918">
        <v>58060</v>
      </c>
      <c r="W14" s="1926"/>
      <c r="X14" s="1919"/>
    </row>
    <row r="15" spans="1:25" ht="22.5" customHeight="1" x14ac:dyDescent="0.25">
      <c r="A15" s="100" t="s">
        <v>38</v>
      </c>
      <c r="B15" s="1918">
        <v>332580</v>
      </c>
      <c r="C15" s="1919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1920"/>
      <c r="R15" s="1920"/>
      <c r="S15" s="473">
        <v>0</v>
      </c>
      <c r="T15" s="1893"/>
      <c r="U15" s="473" t="s">
        <v>64</v>
      </c>
      <c r="V15" s="1920">
        <v>171052</v>
      </c>
      <c r="W15" s="1920"/>
      <c r="X15" s="1920"/>
    </row>
    <row r="16" spans="1:25" ht="24.75" customHeight="1" x14ac:dyDescent="0.25">
      <c r="A16" s="100" t="s">
        <v>39</v>
      </c>
      <c r="B16" s="1918">
        <v>311688</v>
      </c>
      <c r="C16" s="1919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1883"/>
      <c r="R16" s="1883"/>
      <c r="S16" s="476"/>
      <c r="T16" s="1912" t="s">
        <v>55</v>
      </c>
      <c r="U16" s="1912"/>
      <c r="V16" s="1925">
        <f>Y12</f>
        <v>246647.0925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1883"/>
      <c r="R17" s="1883"/>
      <c r="S17" s="472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186433</v>
      </c>
      <c r="C18" s="1919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1920"/>
      <c r="R18" s="1920"/>
      <c r="S18" s="473"/>
      <c r="T18" s="1912" t="s">
        <v>57</v>
      </c>
      <c r="U18" s="1912"/>
      <c r="V18" s="1920">
        <v>2050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457835</v>
      </c>
      <c r="C19" s="1919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1918">
        <f t="shared" ref="Q19" si="14">Q15+Q16+Q17-Q18</f>
        <v>0</v>
      </c>
      <c r="R19" s="1919"/>
      <c r="S19" s="473">
        <f>S15+S16-S17-S18</f>
        <v>0</v>
      </c>
      <c r="T19" s="1914" t="s">
        <v>48</v>
      </c>
      <c r="U19" s="49" t="s">
        <v>58</v>
      </c>
      <c r="V19" s="1920">
        <v>188240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440666.1875</v>
      </c>
      <c r="C20" s="1945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1825675.7875000001</v>
      </c>
      <c r="C21" s="1951"/>
      <c r="O21" s="480"/>
      <c r="P21" s="480"/>
      <c r="Q21" s="480"/>
      <c r="R21" s="480"/>
      <c r="T21" s="1952"/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1230625</v>
      </c>
      <c r="D22" s="1949">
        <v>188240</v>
      </c>
      <c r="E22" s="1949">
        <v>728400</v>
      </c>
      <c r="F22" s="1949">
        <f>C22-D22+E22</f>
        <v>1770785</v>
      </c>
      <c r="G22" s="480"/>
      <c r="Q22" s="480"/>
      <c r="R22" s="480"/>
      <c r="T22" s="1909" t="s">
        <v>83</v>
      </c>
      <c r="U22" s="50" t="s">
        <v>60</v>
      </c>
      <c r="V22" s="1920">
        <v>218530</v>
      </c>
      <c r="W22" s="1920"/>
      <c r="X22" s="1920"/>
      <c r="Y22" s="1927"/>
    </row>
    <row r="23" spans="1:25" ht="39.75" customHeight="1" x14ac:dyDescent="0.25">
      <c r="A23" s="480"/>
      <c r="B23" s="1947"/>
      <c r="C23" s="1950"/>
      <c r="D23" s="1950"/>
      <c r="E23" s="1950"/>
      <c r="F23" s="1950"/>
      <c r="G23" s="480"/>
      <c r="Q23" s="480"/>
      <c r="R23" s="480"/>
      <c r="T23" s="1910"/>
      <c r="U23" s="50" t="s">
        <v>61</v>
      </c>
      <c r="V23" s="1920">
        <v>188240</v>
      </c>
      <c r="W23" s="1920"/>
      <c r="X23" s="1920"/>
      <c r="Y23" s="1927"/>
    </row>
    <row r="24" spans="1:25" ht="48" customHeight="1" x14ac:dyDescent="0.25">
      <c r="A24" s="480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1893" t="s">
        <v>47</v>
      </c>
      <c r="U24" s="51" t="s">
        <v>62</v>
      </c>
      <c r="V24" s="1921">
        <f>V14+V16+V17-V18-V19-V20-V22+V23-V21</f>
        <v>84127.092500000028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201342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480"/>
      <c r="J33" s="480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900" t="s">
        <v>345</v>
      </c>
      <c r="U3" s="1900"/>
      <c r="V3" s="1900"/>
      <c r="W3" s="1900"/>
      <c r="X3" s="1900"/>
      <c r="Y3" s="1900"/>
    </row>
    <row r="4" spans="1:25" s="481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481" customFormat="1" ht="25.5" customHeight="1" x14ac:dyDescent="0.25">
      <c r="A5" s="1901"/>
      <c r="B5" s="1901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930"/>
      <c r="R14" s="1930"/>
      <c r="S14" s="490"/>
      <c r="T14" s="1893" t="s">
        <v>46</v>
      </c>
      <c r="U14" s="482" t="s">
        <v>176</v>
      </c>
      <c r="V14" s="1918">
        <v>84127</v>
      </c>
      <c r="W14" s="1926"/>
      <c r="X14" s="1919"/>
    </row>
    <row r="15" spans="1:25" ht="22.5" customHeight="1" x14ac:dyDescent="0.25">
      <c r="A15" s="100" t="s">
        <v>38</v>
      </c>
      <c r="B15" s="1918">
        <v>457835</v>
      </c>
      <c r="C15" s="1919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920"/>
      <c r="R15" s="1920"/>
      <c r="S15" s="482">
        <v>0</v>
      </c>
      <c r="T15" s="1893"/>
      <c r="U15" s="482" t="s">
        <v>64</v>
      </c>
      <c r="V15" s="1920">
        <v>201342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883"/>
      <c r="R16" s="1883"/>
      <c r="S16" s="487"/>
      <c r="T16" s="1912" t="s">
        <v>55</v>
      </c>
      <c r="U16" s="1912"/>
      <c r="V16" s="1925">
        <f>Y12</f>
        <v>147165.7525</v>
      </c>
      <c r="W16" s="1925"/>
      <c r="X16" s="1920"/>
    </row>
    <row r="17" spans="1:25" ht="28.5" customHeight="1" x14ac:dyDescent="0.25">
      <c r="A17" s="101" t="s">
        <v>44</v>
      </c>
      <c r="B17" s="1918">
        <v>39746</v>
      </c>
      <c r="C17" s="1919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883"/>
      <c r="R17" s="1883"/>
      <c r="S17" s="484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89609</v>
      </c>
      <c r="C18" s="1919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920"/>
      <c r="R18" s="1920"/>
      <c r="S18" s="482"/>
      <c r="T18" s="1912" t="s">
        <v>57</v>
      </c>
      <c r="U18" s="1912"/>
      <c r="V18" s="1920">
        <v>620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407972</v>
      </c>
      <c r="C19" s="1919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918">
        <f t="shared" ref="Q19" si="14">Q15+Q16+Q17-Q18</f>
        <v>0</v>
      </c>
      <c r="R19" s="1919"/>
      <c r="S19" s="482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392673.05</v>
      </c>
      <c r="C20" s="1945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1718799.5499999998</v>
      </c>
      <c r="C21" s="1951"/>
      <c r="O21" s="491"/>
      <c r="P21" s="491"/>
      <c r="Q21" s="491"/>
      <c r="R21" s="491"/>
      <c r="T21" s="1952"/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1770785</v>
      </c>
      <c r="D22" s="1949"/>
      <c r="E22" s="1949"/>
      <c r="F22" s="1949">
        <f>C22-D22+E22</f>
        <v>1770785</v>
      </c>
      <c r="G22" s="491"/>
      <c r="Q22" s="491"/>
      <c r="R22" s="491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491"/>
      <c r="B23" s="1947"/>
      <c r="C23" s="1950"/>
      <c r="D23" s="1950"/>
      <c r="E23" s="1950"/>
      <c r="F23" s="1950"/>
      <c r="G23" s="491"/>
      <c r="Q23" s="491"/>
      <c r="R23" s="491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491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893" t="s">
        <v>47</v>
      </c>
      <c r="U24" s="51" t="s">
        <v>62</v>
      </c>
      <c r="V24" s="1921">
        <f>V14+V16+V17-V18-V19-V20-V22+V23-V21</f>
        <v>230672.7525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201342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491"/>
      <c r="J33" s="491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900" t="s">
        <v>346</v>
      </c>
      <c r="U3" s="1900"/>
      <c r="V3" s="1900"/>
      <c r="W3" s="1900"/>
      <c r="X3" s="1900"/>
      <c r="Y3" s="1900"/>
    </row>
    <row r="4" spans="1:25" s="481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481" customFormat="1" ht="25.5" customHeight="1" x14ac:dyDescent="0.25">
      <c r="A5" s="1901"/>
      <c r="B5" s="1901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930"/>
      <c r="R14" s="1930"/>
      <c r="S14" s="490"/>
      <c r="T14" s="1893" t="s">
        <v>46</v>
      </c>
      <c r="U14" s="482" t="s">
        <v>176</v>
      </c>
      <c r="V14" s="1918">
        <v>230673</v>
      </c>
      <c r="W14" s="1926"/>
      <c r="X14" s="1919"/>
    </row>
    <row r="15" spans="1:25" ht="22.5" customHeight="1" x14ac:dyDescent="0.25">
      <c r="A15" s="100" t="s">
        <v>38</v>
      </c>
      <c r="B15" s="1918">
        <v>407972</v>
      </c>
      <c r="C15" s="1919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920"/>
      <c r="R15" s="1920"/>
      <c r="S15" s="482">
        <v>0</v>
      </c>
      <c r="T15" s="1893"/>
      <c r="U15" s="482" t="s">
        <v>64</v>
      </c>
      <c r="V15" s="1920">
        <v>201342</v>
      </c>
      <c r="W15" s="1920"/>
      <c r="X15" s="1920"/>
    </row>
    <row r="16" spans="1:25" ht="24.75" customHeight="1" x14ac:dyDescent="0.25">
      <c r="A16" s="100" t="s">
        <v>39</v>
      </c>
      <c r="B16" s="1918">
        <v>25974</v>
      </c>
      <c r="C16" s="1919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883"/>
      <c r="R16" s="1883"/>
      <c r="S16" s="487"/>
      <c r="T16" s="1912" t="s">
        <v>55</v>
      </c>
      <c r="U16" s="1912"/>
      <c r="V16" s="1925">
        <f>Y12</f>
        <v>187196.94750000001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883"/>
      <c r="R17" s="1883"/>
      <c r="S17" s="484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117711</v>
      </c>
      <c r="C18" s="1919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920"/>
      <c r="R18" s="1920"/>
      <c r="S18" s="482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316235</v>
      </c>
      <c r="C19" s="1919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918">
        <f t="shared" ref="Q19" si="14">Q15+Q16+Q17-Q18</f>
        <v>0</v>
      </c>
      <c r="R19" s="1919"/>
      <c r="S19" s="482">
        <f>S15+S16-S17-S18</f>
        <v>0</v>
      </c>
      <c r="T19" s="1914" t="s">
        <v>48</v>
      </c>
      <c r="U19" s="49" t="s">
        <v>58</v>
      </c>
      <c r="V19" s="1920">
        <v>300000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304376.1875</v>
      </c>
      <c r="C20" s="1945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1559437.4875</v>
      </c>
      <c r="C21" s="1951"/>
      <c r="O21" s="491"/>
      <c r="P21" s="491"/>
      <c r="Q21" s="491"/>
      <c r="R21" s="491"/>
      <c r="T21" s="1952"/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1770785</v>
      </c>
      <c r="D22" s="1949">
        <v>300000</v>
      </c>
      <c r="E22" s="1949">
        <v>25000</v>
      </c>
      <c r="F22" s="1949">
        <f>C22-D22+E22</f>
        <v>1495785</v>
      </c>
      <c r="G22" s="491"/>
      <c r="Q22" s="491"/>
      <c r="R22" s="491"/>
      <c r="T22" s="1909" t="s">
        <v>83</v>
      </c>
      <c r="U22" s="50" t="s">
        <v>60</v>
      </c>
      <c r="V22" s="1920">
        <v>378970</v>
      </c>
      <c r="W22" s="1920"/>
      <c r="X22" s="1920"/>
      <c r="Y22" s="1927"/>
    </row>
    <row r="23" spans="1:25" ht="39.75" customHeight="1" x14ac:dyDescent="0.25">
      <c r="A23" s="491"/>
      <c r="B23" s="1947"/>
      <c r="C23" s="1950"/>
      <c r="D23" s="1950"/>
      <c r="E23" s="1950"/>
      <c r="F23" s="1950"/>
      <c r="G23" s="491"/>
      <c r="Q23" s="491"/>
      <c r="R23" s="491"/>
      <c r="T23" s="1910"/>
      <c r="U23" s="50" t="s">
        <v>61</v>
      </c>
      <c r="V23" s="1920">
        <v>300000</v>
      </c>
      <c r="W23" s="1920"/>
      <c r="X23" s="1920"/>
      <c r="Y23" s="1927"/>
    </row>
    <row r="24" spans="1:25" ht="48" customHeight="1" x14ac:dyDescent="0.25">
      <c r="A24" s="491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893" t="s">
        <v>47</v>
      </c>
      <c r="U24" s="51" t="s">
        <v>62</v>
      </c>
      <c r="V24" s="1921">
        <f>V14+V16+V17-V18-V19-V20-V22+V23-V21</f>
        <v>38379.947500000009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280312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491"/>
      <c r="J33" s="491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1900" t="s">
        <v>347</v>
      </c>
      <c r="U3" s="1900"/>
      <c r="V3" s="1900"/>
      <c r="W3" s="1900"/>
      <c r="X3" s="1900"/>
      <c r="Y3" s="1900"/>
    </row>
    <row r="4" spans="1:25" s="49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497" customFormat="1" ht="25.5" customHeight="1" x14ac:dyDescent="0.25">
      <c r="A5" s="1901"/>
      <c r="B5" s="1901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1930"/>
      <c r="R14" s="1930"/>
      <c r="S14" s="501"/>
      <c r="T14" s="1893" t="s">
        <v>46</v>
      </c>
      <c r="U14" s="495" t="s">
        <v>176</v>
      </c>
      <c r="V14" s="1918">
        <v>38695</v>
      </c>
      <c r="W14" s="1926"/>
      <c r="X14" s="1919"/>
    </row>
    <row r="15" spans="1:25" ht="22.5" customHeight="1" x14ac:dyDescent="0.25">
      <c r="A15" s="100" t="s">
        <v>38</v>
      </c>
      <c r="B15" s="1918">
        <v>316235</v>
      </c>
      <c r="C15" s="1919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1920"/>
      <c r="R15" s="1920"/>
      <c r="S15" s="495">
        <v>0</v>
      </c>
      <c r="T15" s="1893"/>
      <c r="U15" s="495" t="s">
        <v>64</v>
      </c>
      <c r="V15" s="1920">
        <v>280312</v>
      </c>
      <c r="W15" s="1920"/>
      <c r="X15" s="1920"/>
    </row>
    <row r="16" spans="1:25" ht="24.75" customHeight="1" x14ac:dyDescent="0.25">
      <c r="A16" s="100" t="s">
        <v>39</v>
      </c>
      <c r="B16" s="1918">
        <v>415584</v>
      </c>
      <c r="C16" s="1919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1883"/>
      <c r="R16" s="1883"/>
      <c r="S16" s="498"/>
      <c r="T16" s="1912" t="s">
        <v>55</v>
      </c>
      <c r="U16" s="1912"/>
      <c r="V16" s="1925">
        <f>Y12</f>
        <v>380904.40249999997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1883"/>
      <c r="R17" s="1883"/>
      <c r="S17" s="494"/>
      <c r="T17" s="1952" t="s">
        <v>296</v>
      </c>
      <c r="U17" s="1953"/>
      <c r="V17" s="1954">
        <v>200000</v>
      </c>
      <c r="W17" s="1954"/>
      <c r="X17" s="1954"/>
    </row>
    <row r="18" spans="1:25" ht="27" customHeight="1" x14ac:dyDescent="0.25">
      <c r="A18" s="100" t="s">
        <v>40</v>
      </c>
      <c r="B18" s="1922">
        <f>C12</f>
        <v>231549</v>
      </c>
      <c r="C18" s="1919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1920"/>
      <c r="R18" s="1920"/>
      <c r="S18" s="495"/>
      <c r="T18" s="1912" t="s">
        <v>57</v>
      </c>
      <c r="U18" s="1912"/>
      <c r="V18" s="1920">
        <v>720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500270</v>
      </c>
      <c r="C19" s="1919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1918">
        <f t="shared" ref="Q19" si="14">Q15+Q16+Q17-Q18</f>
        <v>0</v>
      </c>
      <c r="R19" s="1919"/>
      <c r="S19" s="495">
        <f>S15+S16-S17-S18</f>
        <v>0</v>
      </c>
      <c r="T19" s="1914" t="s">
        <v>48</v>
      </c>
      <c r="U19" s="49" t="s">
        <v>58</v>
      </c>
      <c r="V19" s="1920">
        <v>884685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481509.875</v>
      </c>
      <c r="C20" s="1945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1582395.375</v>
      </c>
      <c r="C21" s="1951"/>
      <c r="O21" s="502"/>
      <c r="P21" s="502"/>
      <c r="Q21" s="502"/>
      <c r="R21" s="502"/>
      <c r="T21" s="1952"/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1495785</v>
      </c>
      <c r="D22" s="1949">
        <v>884685</v>
      </c>
      <c r="E22" s="1949">
        <v>400000</v>
      </c>
      <c r="F22" s="1949">
        <f>C22-D22+E22</f>
        <v>1011100</v>
      </c>
      <c r="G22" s="502"/>
      <c r="Q22" s="502"/>
      <c r="R22" s="502"/>
      <c r="T22" s="1909" t="s">
        <v>83</v>
      </c>
      <c r="U22" s="50" t="s">
        <v>60</v>
      </c>
      <c r="V22" s="1920">
        <v>613700</v>
      </c>
      <c r="W22" s="1920"/>
      <c r="X22" s="1920"/>
      <c r="Y22" s="1927"/>
    </row>
    <row r="23" spans="1:25" ht="39.75" customHeight="1" x14ac:dyDescent="0.25">
      <c r="A23" s="502"/>
      <c r="B23" s="1947"/>
      <c r="C23" s="1950"/>
      <c r="D23" s="1950"/>
      <c r="E23" s="1950"/>
      <c r="F23" s="1950"/>
      <c r="G23" s="502"/>
      <c r="Q23" s="502"/>
      <c r="R23" s="502"/>
      <c r="T23" s="1910"/>
      <c r="U23" s="50" t="s">
        <v>61</v>
      </c>
      <c r="V23" s="1920">
        <v>884685</v>
      </c>
      <c r="W23" s="1920"/>
      <c r="X23" s="1920"/>
      <c r="Y23" s="1927"/>
    </row>
    <row r="24" spans="1:25" ht="48" customHeight="1" x14ac:dyDescent="0.25">
      <c r="A24" s="502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1893" t="s">
        <v>47</v>
      </c>
      <c r="U24" s="51" t="s">
        <v>62</v>
      </c>
      <c r="V24" s="1921">
        <f>V14+V16+V17-V18-V19-V20-V22+V23-V21</f>
        <v>5179.4024999999674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9327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502"/>
      <c r="J33" s="502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900" t="s">
        <v>348</v>
      </c>
      <c r="U3" s="1900"/>
      <c r="V3" s="1900"/>
      <c r="W3" s="1900"/>
      <c r="X3" s="1900"/>
      <c r="Y3" s="1900"/>
    </row>
    <row r="4" spans="1:25" s="50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503" customFormat="1" ht="25.5" customHeight="1" x14ac:dyDescent="0.25">
      <c r="A5" s="1901"/>
      <c r="B5" s="1901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930"/>
      <c r="R14" s="1930"/>
      <c r="S14" s="512"/>
      <c r="T14" s="1893" t="s">
        <v>46</v>
      </c>
      <c r="U14" s="504" t="s">
        <v>176</v>
      </c>
      <c r="V14" s="1918">
        <v>5179</v>
      </c>
      <c r="W14" s="1926"/>
      <c r="X14" s="1919"/>
    </row>
    <row r="15" spans="1:25" ht="22.5" customHeight="1" x14ac:dyDescent="0.25">
      <c r="A15" s="100" t="s">
        <v>38</v>
      </c>
      <c r="B15" s="1918">
        <v>500270</v>
      </c>
      <c r="C15" s="1919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920"/>
      <c r="R15" s="1920"/>
      <c r="S15" s="504">
        <v>0</v>
      </c>
      <c r="T15" s="1893"/>
      <c r="U15" s="504" t="s">
        <v>64</v>
      </c>
      <c r="V15" s="1920">
        <v>9327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883"/>
      <c r="R16" s="1883"/>
      <c r="S16" s="509"/>
      <c r="T16" s="1912" t="s">
        <v>55</v>
      </c>
      <c r="U16" s="1912"/>
      <c r="V16" s="1925">
        <f>Y12</f>
        <v>142789.71</v>
      </c>
      <c r="W16" s="1925"/>
      <c r="X16" s="1920"/>
    </row>
    <row r="17" spans="1:25" ht="28.5" customHeight="1" x14ac:dyDescent="0.25">
      <c r="A17" s="101" t="s">
        <v>44</v>
      </c>
      <c r="B17" s="1918">
        <v>126589</v>
      </c>
      <c r="C17" s="1919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883"/>
      <c r="R17" s="1883"/>
      <c r="S17" s="506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119756</v>
      </c>
      <c r="C18" s="1919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920"/>
      <c r="R18" s="1920"/>
      <c r="S18" s="504"/>
      <c r="T18" s="1912" t="s">
        <v>57</v>
      </c>
      <c r="U18" s="1912"/>
      <c r="V18" s="1920">
        <v>620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507103</v>
      </c>
      <c r="C19" s="1919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918">
        <f t="shared" ref="Q19" si="14">Q15+Q16+Q17-Q18</f>
        <v>0</v>
      </c>
      <c r="R19" s="1919"/>
      <c r="S19" s="504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488086.63750000001</v>
      </c>
      <c r="C20" s="1945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1563005.4375</v>
      </c>
      <c r="C21" s="1951"/>
      <c r="O21" s="513"/>
      <c r="P21" s="513"/>
      <c r="Q21" s="513"/>
      <c r="R21" s="513"/>
      <c r="T21" s="1952" t="s">
        <v>340</v>
      </c>
      <c r="U21" s="1953"/>
      <c r="V21" s="1955">
        <v>150000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1011100</v>
      </c>
      <c r="D22" s="1949"/>
      <c r="E22" s="1949"/>
      <c r="F22" s="1949">
        <f>C22-D22+E22</f>
        <v>1011100</v>
      </c>
      <c r="G22" s="513"/>
      <c r="Q22" s="513"/>
      <c r="R22" s="513"/>
      <c r="T22" s="1909" t="s">
        <v>83</v>
      </c>
      <c r="U22" s="50" t="s">
        <v>60</v>
      </c>
      <c r="V22" s="1920">
        <v>145680</v>
      </c>
      <c r="W22" s="1920"/>
      <c r="X22" s="1920"/>
      <c r="Y22" s="1927"/>
    </row>
    <row r="23" spans="1:25" ht="39.75" customHeight="1" x14ac:dyDescent="0.25">
      <c r="A23" s="513"/>
      <c r="B23" s="1947"/>
      <c r="C23" s="1950"/>
      <c r="D23" s="1950"/>
      <c r="E23" s="1950"/>
      <c r="F23" s="1950"/>
      <c r="G23" s="513"/>
      <c r="Q23" s="513"/>
      <c r="R23" s="513"/>
      <c r="T23" s="1910"/>
      <c r="U23" s="50" t="s">
        <v>61</v>
      </c>
      <c r="V23" s="1920">
        <v>150000</v>
      </c>
      <c r="W23" s="1920"/>
      <c r="X23" s="1920"/>
      <c r="Y23" s="1927"/>
    </row>
    <row r="24" spans="1:25" ht="48" customHeight="1" x14ac:dyDescent="0.25">
      <c r="A24" s="513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893" t="s">
        <v>47</v>
      </c>
      <c r="U24" s="51" t="s">
        <v>62</v>
      </c>
      <c r="V24" s="1921">
        <f>V14+V16+V17-V18-V19-V20-V22+V23-V21</f>
        <v>1668.7099999999919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5007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513"/>
      <c r="J33" s="513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900" t="s">
        <v>349</v>
      </c>
      <c r="U3" s="1900"/>
      <c r="V3" s="1900"/>
      <c r="W3" s="1900"/>
      <c r="X3" s="1900"/>
      <c r="Y3" s="1900"/>
    </row>
    <row r="4" spans="1:25" s="50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503" customFormat="1" ht="25.5" customHeight="1" x14ac:dyDescent="0.25">
      <c r="A5" s="1901"/>
      <c r="B5" s="1901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930"/>
      <c r="R14" s="1930"/>
      <c r="S14" s="512"/>
      <c r="T14" s="1893" t="s">
        <v>46</v>
      </c>
      <c r="U14" s="504" t="s">
        <v>176</v>
      </c>
      <c r="V14" s="1918">
        <v>1669</v>
      </c>
      <c r="W14" s="1926"/>
      <c r="X14" s="1919"/>
    </row>
    <row r="15" spans="1:25" ht="22.5" customHeight="1" x14ac:dyDescent="0.25">
      <c r="A15" s="100" t="s">
        <v>38</v>
      </c>
      <c r="B15" s="1918">
        <v>507103</v>
      </c>
      <c r="C15" s="1919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920"/>
      <c r="R15" s="1920"/>
      <c r="S15" s="504">
        <v>0</v>
      </c>
      <c r="T15" s="1893"/>
      <c r="U15" s="504" t="s">
        <v>64</v>
      </c>
      <c r="V15" s="1920">
        <v>5007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883"/>
      <c r="R16" s="1883"/>
      <c r="S16" s="509"/>
      <c r="T16" s="1912" t="s">
        <v>55</v>
      </c>
      <c r="U16" s="1912"/>
      <c r="V16" s="1925">
        <f>Y12</f>
        <v>155877.995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883"/>
      <c r="R17" s="1883"/>
      <c r="S17" s="506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117782</v>
      </c>
      <c r="C18" s="1919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920"/>
      <c r="R18" s="1920"/>
      <c r="S18" s="504"/>
      <c r="T18" s="1912" t="s">
        <v>57</v>
      </c>
      <c r="U18" s="1912"/>
      <c r="V18" s="1920">
        <f>620+2824</f>
        <v>3444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389321</v>
      </c>
      <c r="C19" s="1919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918">
        <f t="shared" ref="Q19" si="14">Q15+Q16+Q17-Q18</f>
        <v>0</v>
      </c>
      <c r="R19" s="1919"/>
      <c r="S19" s="504">
        <f>S15+S16-S17-S18</f>
        <v>0</v>
      </c>
      <c r="T19" s="1914" t="s">
        <v>48</v>
      </c>
      <c r="U19" s="49" t="s">
        <v>58</v>
      </c>
      <c r="V19" s="1920">
        <v>76000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374721.46250000002</v>
      </c>
      <c r="C20" s="1945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1408899.7625</v>
      </c>
      <c r="C21" s="1951"/>
      <c r="O21" s="513"/>
      <c r="P21" s="513"/>
      <c r="Q21" s="513"/>
      <c r="R21" s="513"/>
      <c r="T21" s="1952" t="s">
        <v>340</v>
      </c>
      <c r="U21" s="1953"/>
      <c r="V21" s="1955">
        <v>74000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1011100</v>
      </c>
      <c r="D22" s="1949">
        <v>76000</v>
      </c>
      <c r="E22" s="1949"/>
      <c r="F22" s="1949">
        <f>C22-D22+E22</f>
        <v>935100</v>
      </c>
      <c r="G22" s="513"/>
      <c r="Q22" s="513"/>
      <c r="R22" s="513"/>
      <c r="T22" s="1909" t="s">
        <v>83</v>
      </c>
      <c r="U22" s="50" t="s">
        <v>60</v>
      </c>
      <c r="V22" s="1920">
        <v>150240</v>
      </c>
      <c r="W22" s="1920"/>
      <c r="X22" s="1920"/>
      <c r="Y22" s="1927"/>
    </row>
    <row r="23" spans="1:25" ht="39.75" customHeight="1" x14ac:dyDescent="0.25">
      <c r="A23" s="513"/>
      <c r="B23" s="1947"/>
      <c r="C23" s="1950"/>
      <c r="D23" s="1950"/>
      <c r="E23" s="1950"/>
      <c r="F23" s="1950"/>
      <c r="G23" s="513"/>
      <c r="Q23" s="513"/>
      <c r="R23" s="513"/>
      <c r="T23" s="1910"/>
      <c r="U23" s="50" t="s">
        <v>61</v>
      </c>
      <c r="V23" s="1920">
        <v>150000</v>
      </c>
      <c r="W23" s="1920"/>
      <c r="X23" s="1920"/>
      <c r="Y23" s="1927"/>
    </row>
    <row r="24" spans="1:25" ht="48" customHeight="1" x14ac:dyDescent="0.25">
      <c r="A24" s="513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893" t="s">
        <v>47</v>
      </c>
      <c r="U24" s="51" t="s">
        <v>62</v>
      </c>
      <c r="V24" s="1921">
        <f>V14+V16+V17-V18-V19-V20-V22+V23-V21</f>
        <v>3862.9949999999953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5247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513"/>
      <c r="J33" s="513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1900" t="s">
        <v>350</v>
      </c>
      <c r="U3" s="1900"/>
      <c r="V3" s="1900"/>
      <c r="W3" s="1900"/>
      <c r="X3" s="1900"/>
      <c r="Y3" s="1900"/>
    </row>
    <row r="4" spans="1:25" s="51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519" customFormat="1" ht="25.5" customHeight="1" x14ac:dyDescent="0.25">
      <c r="A5" s="1901"/>
      <c r="B5" s="1901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1930"/>
      <c r="R14" s="1930"/>
      <c r="S14" s="523"/>
      <c r="T14" s="1893" t="s">
        <v>46</v>
      </c>
      <c r="U14" s="517" t="s">
        <v>176</v>
      </c>
      <c r="V14" s="1918">
        <v>3863</v>
      </c>
      <c r="W14" s="1926"/>
      <c r="X14" s="1919"/>
    </row>
    <row r="15" spans="1:25" ht="22.5" customHeight="1" x14ac:dyDescent="0.25">
      <c r="A15" s="100" t="s">
        <v>38</v>
      </c>
      <c r="B15" s="1918">
        <v>389321</v>
      </c>
      <c r="C15" s="1919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1920"/>
      <c r="R15" s="1920"/>
      <c r="S15" s="517">
        <v>0</v>
      </c>
      <c r="T15" s="1893"/>
      <c r="U15" s="517" t="s">
        <v>64</v>
      </c>
      <c r="V15" s="1920">
        <v>5247</v>
      </c>
      <c r="W15" s="1920"/>
      <c r="X15" s="1920"/>
    </row>
    <row r="16" spans="1:25" ht="24.75" customHeight="1" x14ac:dyDescent="0.25">
      <c r="A16" s="100" t="s">
        <v>39</v>
      </c>
      <c r="B16" s="1918">
        <v>1038961</v>
      </c>
      <c r="C16" s="1919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1883"/>
      <c r="R16" s="1883"/>
      <c r="S16" s="520"/>
      <c r="T16" s="1912" t="s">
        <v>55</v>
      </c>
      <c r="U16" s="1912"/>
      <c r="V16" s="1925">
        <f>Y12</f>
        <v>624380.50750000007</v>
      </c>
      <c r="W16" s="1925"/>
      <c r="X16" s="1920"/>
    </row>
    <row r="17" spans="1:25" ht="28.5" customHeight="1" x14ac:dyDescent="0.25">
      <c r="A17" s="101" t="s">
        <v>44</v>
      </c>
      <c r="B17" s="1918">
        <v>150345</v>
      </c>
      <c r="C17" s="1919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1883"/>
      <c r="R17" s="1883"/>
      <c r="S17" s="516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350527</v>
      </c>
      <c r="C18" s="1919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1920"/>
      <c r="R18" s="1920"/>
      <c r="S18" s="517"/>
      <c r="T18" s="1912" t="s">
        <v>57</v>
      </c>
      <c r="U18" s="1912"/>
      <c r="V18" s="1920">
        <f>43141+159827</f>
        <v>202968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1228100</v>
      </c>
      <c r="C19" s="1919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1918">
        <f t="shared" ref="Q19" si="14">Q15+Q16+Q17-Q18</f>
        <v>0</v>
      </c>
      <c r="R19" s="1919"/>
      <c r="S19" s="517">
        <f>S15+S16-S17-S18</f>
        <v>0</v>
      </c>
      <c r="T19" s="1914" t="s">
        <v>48</v>
      </c>
      <c r="U19" s="49" t="s">
        <v>58</v>
      </c>
      <c r="V19" s="1920">
        <v>418500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1182046.25</v>
      </c>
      <c r="C20" s="1945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2025332.25</v>
      </c>
      <c r="C21" s="1951"/>
      <c r="O21" s="524"/>
      <c r="P21" s="524"/>
      <c r="Q21" s="524"/>
      <c r="R21" s="524"/>
      <c r="T21" s="1952"/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935100</v>
      </c>
      <c r="D22" s="1949">
        <v>418500</v>
      </c>
      <c r="E22" s="1949">
        <v>1092500</v>
      </c>
      <c r="F22" s="1949">
        <f>C22-D22+E22</f>
        <v>1609100</v>
      </c>
      <c r="G22" s="524"/>
      <c r="Q22" s="524"/>
      <c r="R22" s="524"/>
      <c r="T22" s="1909" t="s">
        <v>83</v>
      </c>
      <c r="U22" s="50" t="s">
        <v>60</v>
      </c>
      <c r="V22" s="1920">
        <v>423140</v>
      </c>
      <c r="W22" s="1920"/>
      <c r="X22" s="1920"/>
      <c r="Y22" s="1927"/>
    </row>
    <row r="23" spans="1:25" ht="39.75" customHeight="1" x14ac:dyDescent="0.25">
      <c r="A23" s="524"/>
      <c r="B23" s="1947"/>
      <c r="C23" s="1950"/>
      <c r="D23" s="1950"/>
      <c r="E23" s="1950"/>
      <c r="F23" s="1950"/>
      <c r="G23" s="524"/>
      <c r="Q23" s="524"/>
      <c r="R23" s="524"/>
      <c r="T23" s="1910"/>
      <c r="U23" s="50" t="s">
        <v>61</v>
      </c>
      <c r="V23" s="1920">
        <v>418500</v>
      </c>
      <c r="W23" s="1920"/>
      <c r="X23" s="1920"/>
      <c r="Y23" s="1927"/>
    </row>
    <row r="24" spans="1:25" ht="48" customHeight="1" x14ac:dyDescent="0.25">
      <c r="A24" s="524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1893" t="s">
        <v>47</v>
      </c>
      <c r="U24" s="51" t="s">
        <v>62</v>
      </c>
      <c r="V24" s="1921">
        <f>V14+V16+V17-V18-V19-V20-V22+V23-V21</f>
        <v>2135.5075000000652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9887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524"/>
      <c r="J33" s="524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1900" t="s">
        <v>351</v>
      </c>
      <c r="U3" s="1900"/>
      <c r="V3" s="1900"/>
      <c r="W3" s="1900"/>
      <c r="X3" s="1900"/>
      <c r="Y3" s="1900"/>
    </row>
    <row r="4" spans="1:25" s="52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525" customFormat="1" ht="25.5" customHeight="1" x14ac:dyDescent="0.25">
      <c r="A5" s="1901"/>
      <c r="B5" s="1901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1930"/>
      <c r="R14" s="1930"/>
      <c r="S14" s="534"/>
      <c r="T14" s="1893" t="s">
        <v>46</v>
      </c>
      <c r="U14" s="526" t="s">
        <v>176</v>
      </c>
      <c r="V14" s="1918">
        <v>2136</v>
      </c>
      <c r="W14" s="1926"/>
      <c r="X14" s="1919"/>
    </row>
    <row r="15" spans="1:25" ht="22.5" customHeight="1" x14ac:dyDescent="0.25">
      <c r="A15" s="100" t="s">
        <v>38</v>
      </c>
      <c r="B15" s="1918">
        <v>1228100</v>
      </c>
      <c r="C15" s="1919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1920"/>
      <c r="R15" s="1920"/>
      <c r="S15" s="526">
        <v>0</v>
      </c>
      <c r="T15" s="1893"/>
      <c r="U15" s="526" t="s">
        <v>64</v>
      </c>
      <c r="V15" s="1920">
        <v>9887</v>
      </c>
      <c r="W15" s="1920"/>
      <c r="X15" s="1920"/>
    </row>
    <row r="16" spans="1:25" ht="24.75" customHeight="1" x14ac:dyDescent="0.25">
      <c r="A16" s="100" t="s">
        <v>39</v>
      </c>
      <c r="B16" s="1918">
        <v>311688</v>
      </c>
      <c r="C16" s="1919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1883"/>
      <c r="R16" s="1883"/>
      <c r="S16" s="531"/>
      <c r="T16" s="1912" t="s">
        <v>55</v>
      </c>
      <c r="U16" s="1912"/>
      <c r="V16" s="1925">
        <f>Y12</f>
        <v>702927.82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1883"/>
      <c r="R17" s="1883"/>
      <c r="S17" s="528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664152</v>
      </c>
      <c r="C18" s="1919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1920"/>
      <c r="R18" s="1920"/>
      <c r="S18" s="526"/>
      <c r="T18" s="1912" t="s">
        <v>57</v>
      </c>
      <c r="U18" s="1912"/>
      <c r="V18" s="1920">
        <v>98711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875636</v>
      </c>
      <c r="C19" s="1919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1918">
        <f t="shared" ref="Q19" si="14">Q15+Q16+Q17-Q18</f>
        <v>0</v>
      </c>
      <c r="R19" s="1919"/>
      <c r="S19" s="526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842799.65</v>
      </c>
      <c r="C20" s="1945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1629045.65</v>
      </c>
      <c r="C21" s="1951"/>
      <c r="O21" s="535"/>
      <c r="P21" s="535"/>
      <c r="Q21" s="535"/>
      <c r="R21" s="535"/>
      <c r="T21" s="1952" t="s">
        <v>352</v>
      </c>
      <c r="U21" s="1953"/>
      <c r="V21" s="1955">
        <v>36000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1609100</v>
      </c>
      <c r="D22" s="1949"/>
      <c r="E22" s="1949">
        <v>300000</v>
      </c>
      <c r="F22" s="1949">
        <f>C22-D22+E22</f>
        <v>1909100</v>
      </c>
      <c r="G22" s="535"/>
      <c r="Q22" s="535"/>
      <c r="R22" s="535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535"/>
      <c r="B23" s="1947"/>
      <c r="C23" s="1950"/>
      <c r="D23" s="1950"/>
      <c r="E23" s="1950"/>
      <c r="F23" s="1950"/>
      <c r="G23" s="535"/>
      <c r="Q23" s="535"/>
      <c r="R23" s="535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535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1893" t="s">
        <v>47</v>
      </c>
      <c r="U24" s="51" t="s">
        <v>62</v>
      </c>
      <c r="V24" s="1921">
        <f>V14+V16+V17-V18-V19-V20-V22+V23-V21</f>
        <v>570352.81999999995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9887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535"/>
      <c r="J33" s="535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1900" t="s">
        <v>353</v>
      </c>
      <c r="U3" s="1900"/>
      <c r="V3" s="1900"/>
      <c r="W3" s="1900"/>
      <c r="X3" s="1900"/>
      <c r="Y3" s="1900"/>
    </row>
    <row r="4" spans="1:25" s="541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541" customFormat="1" ht="25.5" customHeight="1" x14ac:dyDescent="0.25">
      <c r="A5" s="1901"/>
      <c r="B5" s="1901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1930"/>
      <c r="R14" s="1930"/>
      <c r="S14" s="545"/>
      <c r="T14" s="1893" t="s">
        <v>46</v>
      </c>
      <c r="U14" s="539" t="s">
        <v>176</v>
      </c>
      <c r="V14" s="1918">
        <v>570353</v>
      </c>
      <c r="W14" s="1926"/>
      <c r="X14" s="1919"/>
    </row>
    <row r="15" spans="1:25" ht="22.5" customHeight="1" x14ac:dyDescent="0.25">
      <c r="A15" s="100" t="s">
        <v>38</v>
      </c>
      <c r="B15" s="1918">
        <v>875636</v>
      </c>
      <c r="C15" s="1919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1920"/>
      <c r="R15" s="1920"/>
      <c r="S15" s="539">
        <v>0</v>
      </c>
      <c r="T15" s="1893"/>
      <c r="U15" s="539" t="s">
        <v>64</v>
      </c>
      <c r="V15" s="1920">
        <v>9887</v>
      </c>
      <c r="W15" s="1920"/>
      <c r="X15" s="1920"/>
    </row>
    <row r="16" spans="1:25" ht="24.75" customHeight="1" x14ac:dyDescent="0.25">
      <c r="A16" s="100" t="s">
        <v>39</v>
      </c>
      <c r="B16" s="1918">
        <v>238961</v>
      </c>
      <c r="C16" s="1919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1883"/>
      <c r="R16" s="1883"/>
      <c r="S16" s="542"/>
      <c r="T16" s="1912" t="s">
        <v>55</v>
      </c>
      <c r="U16" s="1912"/>
      <c r="V16" s="1925">
        <f>Y12</f>
        <v>778747.80750000011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1883"/>
      <c r="R17" s="1883"/>
      <c r="S17" s="538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776807</v>
      </c>
      <c r="C18" s="1919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1920"/>
      <c r="R18" s="1920"/>
      <c r="S18" s="539"/>
      <c r="T18" s="1912" t="s">
        <v>57</v>
      </c>
      <c r="U18" s="1912"/>
      <c r="V18" s="1920">
        <v>6466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337790</v>
      </c>
      <c r="C19" s="1919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1918">
        <f t="shared" ref="Q19" si="14">Q15+Q16+Q17-Q18</f>
        <v>0</v>
      </c>
      <c r="R19" s="1919"/>
      <c r="S19" s="539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325122.875</v>
      </c>
      <c r="C20" s="1945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1088250.1749999998</v>
      </c>
      <c r="C21" s="1951"/>
      <c r="O21" s="546"/>
      <c r="P21" s="546"/>
      <c r="Q21" s="546"/>
      <c r="R21" s="546"/>
      <c r="T21" s="1952"/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1909100</v>
      </c>
      <c r="D22" s="1949"/>
      <c r="E22" s="1949">
        <v>230000</v>
      </c>
      <c r="F22" s="1949">
        <f>C22-D22+E22</f>
        <v>2139100</v>
      </c>
      <c r="G22" s="546"/>
      <c r="Q22" s="546"/>
      <c r="R22" s="546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546"/>
      <c r="B23" s="1947"/>
      <c r="C23" s="1950"/>
      <c r="D23" s="1950"/>
      <c r="E23" s="1950"/>
      <c r="F23" s="1950"/>
      <c r="G23" s="546"/>
      <c r="Q23" s="546"/>
      <c r="R23" s="546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546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1893" t="s">
        <v>47</v>
      </c>
      <c r="U24" s="51" t="s">
        <v>62</v>
      </c>
      <c r="V24" s="1921">
        <f>V14+V16+V17-V18-V19-V20-V22+V23-V21</f>
        <v>1342634.8075000001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9887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546"/>
      <c r="J33" s="546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1900" t="s">
        <v>354</v>
      </c>
      <c r="U3" s="1900"/>
      <c r="V3" s="1900"/>
      <c r="W3" s="1900"/>
      <c r="X3" s="1900"/>
      <c r="Y3" s="1900"/>
    </row>
    <row r="4" spans="1:25" s="55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552" customFormat="1" ht="25.5" customHeight="1" x14ac:dyDescent="0.25">
      <c r="A5" s="1901"/>
      <c r="B5" s="1901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1930"/>
      <c r="R14" s="1930"/>
      <c r="S14" s="556"/>
      <c r="T14" s="1893" t="s">
        <v>46</v>
      </c>
      <c r="U14" s="550" t="s">
        <v>176</v>
      </c>
      <c r="V14" s="1918">
        <v>1342635</v>
      </c>
      <c r="W14" s="1926"/>
      <c r="X14" s="1919"/>
    </row>
    <row r="15" spans="1:25" ht="22.5" customHeight="1" x14ac:dyDescent="0.25">
      <c r="A15" s="100" t="s">
        <v>38</v>
      </c>
      <c r="B15" s="1918">
        <v>337790</v>
      </c>
      <c r="C15" s="1919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1920"/>
      <c r="R15" s="1920"/>
      <c r="S15" s="550">
        <v>0</v>
      </c>
      <c r="T15" s="1893"/>
      <c r="U15" s="550" t="s">
        <v>64</v>
      </c>
      <c r="V15" s="1920">
        <v>9887</v>
      </c>
      <c r="W15" s="1920"/>
      <c r="X15" s="1920"/>
    </row>
    <row r="16" spans="1:25" ht="24.75" customHeight="1" x14ac:dyDescent="0.25">
      <c r="A16" s="100" t="s">
        <v>39</v>
      </c>
      <c r="B16" s="1918">
        <v>124675</v>
      </c>
      <c r="C16" s="1919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1883"/>
      <c r="R16" s="1883"/>
      <c r="S16" s="553"/>
      <c r="T16" s="1912" t="s">
        <v>55</v>
      </c>
      <c r="U16" s="1912"/>
      <c r="V16" s="1925">
        <f>Y12</f>
        <v>187977.2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1883"/>
      <c r="R17" s="1883"/>
      <c r="S17" s="549"/>
      <c r="T17" s="1952" t="s">
        <v>296</v>
      </c>
      <c r="U17" s="1953"/>
      <c r="V17" s="1954">
        <v>211090</v>
      </c>
      <c r="W17" s="1954"/>
      <c r="X17" s="1954"/>
    </row>
    <row r="18" spans="1:25" ht="27" customHeight="1" x14ac:dyDescent="0.25">
      <c r="A18" s="100" t="s">
        <v>40</v>
      </c>
      <c r="B18" s="1922">
        <f>C12</f>
        <v>118320</v>
      </c>
      <c r="C18" s="1919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1920"/>
      <c r="R18" s="1920"/>
      <c r="S18" s="550"/>
      <c r="T18" s="1912" t="s">
        <v>57</v>
      </c>
      <c r="U18" s="1912"/>
      <c r="V18" s="1920">
        <v>720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344145</v>
      </c>
      <c r="C19" s="1919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1918">
        <f t="shared" ref="Q19" si="14">Q15+Q16+Q17-Q18</f>
        <v>0</v>
      </c>
      <c r="R19" s="1919"/>
      <c r="S19" s="550">
        <f>S15+S16-S17-S18</f>
        <v>0</v>
      </c>
      <c r="T19" s="1914" t="s">
        <v>48</v>
      </c>
      <c r="U19" s="49" t="s">
        <v>58</v>
      </c>
      <c r="V19" s="1920">
        <v>1530000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331239.5625</v>
      </c>
      <c r="C20" s="1945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1159471.7625</v>
      </c>
      <c r="C21" s="1951"/>
      <c r="O21" s="557"/>
      <c r="P21" s="557"/>
      <c r="Q21" s="557"/>
      <c r="R21" s="557"/>
      <c r="T21" s="1952"/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2139100</v>
      </c>
      <c r="D22" s="1949">
        <v>1530000</v>
      </c>
      <c r="E22" s="1949">
        <v>257325</v>
      </c>
      <c r="F22" s="1949">
        <f>C22-D22+E22</f>
        <v>866425</v>
      </c>
      <c r="G22" s="557"/>
      <c r="Q22" s="557"/>
      <c r="R22" s="557"/>
      <c r="T22" s="1909" t="s">
        <v>83</v>
      </c>
      <c r="U22" s="50" t="s">
        <v>60</v>
      </c>
      <c r="V22" s="1920">
        <v>1530000</v>
      </c>
      <c r="W22" s="1920"/>
      <c r="X22" s="1920"/>
      <c r="Y22" s="1927"/>
    </row>
    <row r="23" spans="1:25" ht="39.75" customHeight="1" x14ac:dyDescent="0.25">
      <c r="A23" s="557"/>
      <c r="B23" s="1947"/>
      <c r="C23" s="1950"/>
      <c r="D23" s="1950"/>
      <c r="E23" s="1950"/>
      <c r="F23" s="1950"/>
      <c r="G23" s="557"/>
      <c r="Q23" s="557"/>
      <c r="R23" s="557"/>
      <c r="T23" s="1910"/>
      <c r="U23" s="50" t="s">
        <v>61</v>
      </c>
      <c r="V23" s="1920">
        <v>1530000</v>
      </c>
      <c r="W23" s="1920"/>
      <c r="X23" s="1920"/>
      <c r="Y23" s="1927"/>
    </row>
    <row r="24" spans="1:25" ht="48" customHeight="1" x14ac:dyDescent="0.25">
      <c r="A24" s="557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1893" t="s">
        <v>47</v>
      </c>
      <c r="U24" s="51" t="s">
        <v>62</v>
      </c>
      <c r="V24" s="1921">
        <f>V14+V16+V17-V18-V19-V20-V22+V23-V21</f>
        <v>210982.19999999995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9887</v>
      </c>
      <c r="W25" s="1920"/>
      <c r="X25" s="1920"/>
    </row>
    <row r="26" spans="1:25" ht="36" customHeight="1" x14ac:dyDescent="0.25">
      <c r="K26" s="314"/>
    </row>
    <row r="32" spans="1:25" x14ac:dyDescent="0.25">
      <c r="I32" s="1938"/>
      <c r="J32" s="1938"/>
      <c r="K32" s="1938"/>
      <c r="L32" s="1938"/>
    </row>
    <row r="33" spans="9:12" x14ac:dyDescent="0.25">
      <c r="I33" s="557"/>
      <c r="J33" s="557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1900" t="s">
        <v>355</v>
      </c>
      <c r="U3" s="1900"/>
      <c r="V3" s="1900"/>
      <c r="W3" s="1900"/>
      <c r="X3" s="1900"/>
      <c r="Y3" s="1900"/>
    </row>
    <row r="4" spans="1:25" s="55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558" customFormat="1" ht="25.5" customHeight="1" x14ac:dyDescent="0.25">
      <c r="A5" s="1901"/>
      <c r="B5" s="1901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1930"/>
      <c r="R14" s="1930"/>
      <c r="S14" s="567"/>
      <c r="T14" s="1893" t="s">
        <v>46</v>
      </c>
      <c r="U14" s="559" t="s">
        <v>176</v>
      </c>
      <c r="V14" s="1918">
        <v>210982</v>
      </c>
      <c r="W14" s="1926"/>
      <c r="X14" s="1919"/>
    </row>
    <row r="15" spans="1:25" ht="22.5" customHeight="1" x14ac:dyDescent="0.25">
      <c r="A15" s="100" t="s">
        <v>38</v>
      </c>
      <c r="B15" s="1918">
        <v>344145</v>
      </c>
      <c r="C15" s="1919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1920"/>
      <c r="R15" s="1920"/>
      <c r="S15" s="559">
        <v>0</v>
      </c>
      <c r="T15" s="1893"/>
      <c r="U15" s="559" t="s">
        <v>64</v>
      </c>
      <c r="V15" s="1920">
        <v>9887</v>
      </c>
      <c r="W15" s="1920"/>
      <c r="X15" s="1920"/>
    </row>
    <row r="16" spans="1:25" ht="24.75" customHeight="1" x14ac:dyDescent="0.25">
      <c r="A16" s="100" t="s">
        <v>39</v>
      </c>
      <c r="B16" s="1918">
        <v>62337</v>
      </c>
      <c r="C16" s="1919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1883"/>
      <c r="R16" s="1883"/>
      <c r="S16" s="564"/>
      <c r="T16" s="1912" t="s">
        <v>55</v>
      </c>
      <c r="U16" s="1912"/>
      <c r="V16" s="1925">
        <f>Y12</f>
        <v>212229.55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1883"/>
      <c r="R17" s="1883"/>
      <c r="S17" s="561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112380</v>
      </c>
      <c r="C18" s="1919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1920"/>
      <c r="R18" s="1920"/>
      <c r="S18" s="559"/>
      <c r="T18" s="1912" t="s">
        <v>57</v>
      </c>
      <c r="U18" s="1912"/>
      <c r="V18" s="1920">
        <v>1572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294102</v>
      </c>
      <c r="C19" s="1919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1918">
        <f t="shared" ref="Q19" si="14">Q15+Q16+Q17-Q18</f>
        <v>0</v>
      </c>
      <c r="R19" s="1919"/>
      <c r="S19" s="559">
        <f>S15+S16-S17-S18</f>
        <v>0</v>
      </c>
      <c r="T19" s="1914" t="s">
        <v>48</v>
      </c>
      <c r="U19" s="49" t="s">
        <v>58</v>
      </c>
      <c r="V19" s="1920">
        <v>257325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283073.17499999999</v>
      </c>
      <c r="C20" s="1945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1240153.7749999999</v>
      </c>
      <c r="C21" s="1951"/>
      <c r="O21" s="568"/>
      <c r="P21" s="568"/>
      <c r="Q21" s="568"/>
      <c r="R21" s="568"/>
      <c r="T21" s="1952" t="s">
        <v>356</v>
      </c>
      <c r="U21" s="1953"/>
      <c r="V21" s="1955">
        <v>120000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866425</v>
      </c>
      <c r="D22" s="1949">
        <v>257325</v>
      </c>
      <c r="E22" s="1949">
        <v>290884</v>
      </c>
      <c r="F22" s="1949">
        <f>C22-D22+E22</f>
        <v>899984</v>
      </c>
      <c r="G22" s="568"/>
      <c r="Q22" s="568"/>
      <c r="R22" s="568"/>
      <c r="T22" s="1909" t="s">
        <v>83</v>
      </c>
      <c r="U22" s="50" t="s">
        <v>60</v>
      </c>
      <c r="V22" s="1920">
        <v>258120</v>
      </c>
      <c r="W22" s="1920"/>
      <c r="X22" s="1920"/>
      <c r="Y22" s="1927"/>
    </row>
    <row r="23" spans="1:25" ht="39.75" customHeight="1" x14ac:dyDescent="0.25">
      <c r="A23" s="568"/>
      <c r="B23" s="1947"/>
      <c r="C23" s="1950"/>
      <c r="D23" s="1950"/>
      <c r="E23" s="1950"/>
      <c r="F23" s="1950"/>
      <c r="G23" s="568"/>
      <c r="Q23" s="568"/>
      <c r="R23" s="568"/>
      <c r="T23" s="1910"/>
      <c r="U23" s="50" t="s">
        <v>61</v>
      </c>
      <c r="V23" s="1920">
        <v>257325</v>
      </c>
      <c r="W23" s="1920"/>
      <c r="X23" s="1920"/>
      <c r="Y23" s="1927"/>
    </row>
    <row r="24" spans="1:25" ht="48" customHeight="1" x14ac:dyDescent="0.25">
      <c r="A24" s="568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1893" t="s">
        <v>47</v>
      </c>
      <c r="U24" s="51" t="s">
        <v>62</v>
      </c>
      <c r="V24" s="1921">
        <f>V14+V16+V17-V18-V19-V20-V22+V23-V21</f>
        <v>43519.549999999988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10682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568"/>
      <c r="J33" s="568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900" t="s">
        <v>357</v>
      </c>
      <c r="U3" s="1900"/>
      <c r="V3" s="1900"/>
      <c r="W3" s="1900"/>
      <c r="X3" s="1900"/>
      <c r="Y3" s="1900"/>
    </row>
    <row r="4" spans="1:25" s="574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574" customFormat="1" ht="25.5" customHeight="1" x14ac:dyDescent="0.25">
      <c r="A5" s="1901"/>
      <c r="B5" s="1901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930"/>
      <c r="R14" s="1930"/>
      <c r="S14" s="578"/>
      <c r="T14" s="1893" t="s">
        <v>46</v>
      </c>
      <c r="U14" s="572" t="s">
        <v>176</v>
      </c>
      <c r="V14" s="1918">
        <v>43520</v>
      </c>
      <c r="W14" s="1926"/>
      <c r="X14" s="1919"/>
    </row>
    <row r="15" spans="1:25" ht="22.5" customHeight="1" x14ac:dyDescent="0.25">
      <c r="A15" s="100" t="s">
        <v>38</v>
      </c>
      <c r="B15" s="1918">
        <v>294102</v>
      </c>
      <c r="C15" s="1919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1920"/>
      <c r="R15" s="1920"/>
      <c r="S15" s="572">
        <v>0</v>
      </c>
      <c r="T15" s="1893"/>
      <c r="U15" s="572" t="s">
        <v>64</v>
      </c>
      <c r="V15" s="1920">
        <v>10682</v>
      </c>
      <c r="W15" s="1920"/>
      <c r="X15" s="1920"/>
    </row>
    <row r="16" spans="1:25" ht="24.75" customHeight="1" x14ac:dyDescent="0.25">
      <c r="A16" s="100" t="s">
        <v>39</v>
      </c>
      <c r="B16" s="1918">
        <v>119480</v>
      </c>
      <c r="C16" s="1919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1883"/>
      <c r="R16" s="1883"/>
      <c r="S16" s="575"/>
      <c r="T16" s="1912" t="s">
        <v>55</v>
      </c>
      <c r="U16" s="1912"/>
      <c r="V16" s="1925">
        <f>Y12</f>
        <v>168000.0925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883"/>
      <c r="R17" s="1883"/>
      <c r="S17" s="571"/>
      <c r="T17" s="1952"/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121233</v>
      </c>
      <c r="C18" s="1919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920"/>
      <c r="R18" s="1920"/>
      <c r="S18" s="572"/>
      <c r="T18" s="1912" t="s">
        <v>57</v>
      </c>
      <c r="U18" s="1912"/>
      <c r="V18" s="1920">
        <v>12376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292349</v>
      </c>
      <c r="C19" s="1919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918">
        <f t="shared" ref="Q19" si="14">Q15+Q16+Q17-Q18</f>
        <v>0</v>
      </c>
      <c r="R19" s="1919"/>
      <c r="S19" s="572">
        <f>S15+S16-S17-S18</f>
        <v>0</v>
      </c>
      <c r="T19" s="1914" t="s">
        <v>48</v>
      </c>
      <c r="U19" s="49" t="s">
        <v>58</v>
      </c>
      <c r="V19" s="1920">
        <v>60000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281385.91250000003</v>
      </c>
      <c r="C20" s="1945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1191110.5125</v>
      </c>
      <c r="C21" s="1951"/>
      <c r="O21" s="579"/>
      <c r="P21" s="579"/>
      <c r="Q21" s="579"/>
      <c r="R21" s="579"/>
      <c r="T21" s="1952" t="s">
        <v>356</v>
      </c>
      <c r="U21" s="1953"/>
      <c r="V21" s="1955">
        <v>91090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899984</v>
      </c>
      <c r="D22" s="1949">
        <v>60000</v>
      </c>
      <c r="E22" s="1949">
        <v>117500</v>
      </c>
      <c r="F22" s="1949">
        <f>C22-D22+E22</f>
        <v>957484</v>
      </c>
      <c r="G22" s="579"/>
      <c r="Q22" s="579"/>
      <c r="R22" s="579"/>
      <c r="T22" s="1909" t="s">
        <v>83</v>
      </c>
      <c r="U22" s="50" t="s">
        <v>60</v>
      </c>
      <c r="V22" s="1920">
        <v>172910</v>
      </c>
      <c r="W22" s="1920"/>
      <c r="X22" s="1920"/>
      <c r="Y22" s="1927"/>
    </row>
    <row r="23" spans="1:25" ht="39.75" customHeight="1" x14ac:dyDescent="0.25">
      <c r="A23" s="579"/>
      <c r="B23" s="1947"/>
      <c r="C23" s="1950"/>
      <c r="D23" s="1950"/>
      <c r="E23" s="1950"/>
      <c r="F23" s="1950"/>
      <c r="G23" s="579"/>
      <c r="Q23" s="579"/>
      <c r="R23" s="579"/>
      <c r="T23" s="1910"/>
      <c r="U23" s="50" t="s">
        <v>61</v>
      </c>
      <c r="V23" s="1920">
        <v>151090</v>
      </c>
      <c r="W23" s="1920"/>
      <c r="X23" s="1920"/>
      <c r="Y23" s="1927"/>
    </row>
    <row r="24" spans="1:25" ht="48" customHeight="1" x14ac:dyDescent="0.25">
      <c r="A24" s="579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893" t="s">
        <v>47</v>
      </c>
      <c r="U24" s="51" t="s">
        <v>62</v>
      </c>
      <c r="V24" s="1921">
        <f>V14+V16+V17-V18-V19-V20-V22+V23-V21</f>
        <v>26234.092499999999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32502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579"/>
      <c r="J33" s="579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900" t="s">
        <v>358</v>
      </c>
      <c r="U3" s="1900"/>
      <c r="V3" s="1900"/>
      <c r="W3" s="1900"/>
      <c r="X3" s="1900"/>
      <c r="Y3" s="1900"/>
    </row>
    <row r="4" spans="1:25" s="574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574" customFormat="1" ht="25.5" customHeight="1" x14ac:dyDescent="0.25">
      <c r="A5" s="1901"/>
      <c r="B5" s="1901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930"/>
      <c r="R14" s="1930"/>
      <c r="S14" s="578"/>
      <c r="T14" s="1893" t="s">
        <v>46</v>
      </c>
      <c r="U14" s="572" t="s">
        <v>176</v>
      </c>
      <c r="V14" s="1918">
        <v>26234</v>
      </c>
      <c r="W14" s="1926"/>
      <c r="X14" s="1919"/>
    </row>
    <row r="15" spans="1:25" ht="22.5" customHeight="1" x14ac:dyDescent="0.25">
      <c r="A15" s="100" t="s">
        <v>38</v>
      </c>
      <c r="B15" s="1918">
        <v>292349</v>
      </c>
      <c r="C15" s="1919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1920"/>
      <c r="R15" s="1920"/>
      <c r="S15" s="572">
        <v>0</v>
      </c>
      <c r="T15" s="1893"/>
      <c r="U15" s="572" t="s">
        <v>64</v>
      </c>
      <c r="V15" s="1920">
        <v>32502</v>
      </c>
      <c r="W15" s="1920"/>
      <c r="X15" s="1920"/>
    </row>
    <row r="16" spans="1:25" ht="24.75" customHeight="1" x14ac:dyDescent="0.25">
      <c r="A16" s="100" t="s">
        <v>39</v>
      </c>
      <c r="B16" s="1918">
        <v>103896</v>
      </c>
      <c r="C16" s="1919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1883"/>
      <c r="R16" s="1883"/>
      <c r="S16" s="575"/>
      <c r="T16" s="1912" t="s">
        <v>55</v>
      </c>
      <c r="U16" s="1912"/>
      <c r="V16" s="1925">
        <f>Y12</f>
        <v>74889.452499999999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883"/>
      <c r="R17" s="1883"/>
      <c r="S17" s="571"/>
      <c r="T17" s="1952" t="s">
        <v>324</v>
      </c>
      <c r="U17" s="1953"/>
      <c r="V17" s="1954">
        <v>7960</v>
      </c>
      <c r="W17" s="1954"/>
      <c r="X17" s="1954"/>
    </row>
    <row r="18" spans="1:25" ht="27" customHeight="1" x14ac:dyDescent="0.25">
      <c r="A18" s="100" t="s">
        <v>40</v>
      </c>
      <c r="B18" s="1922">
        <f>C12</f>
        <v>74529</v>
      </c>
      <c r="C18" s="1919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920"/>
      <c r="R18" s="1920"/>
      <c r="S18" s="572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321716</v>
      </c>
      <c r="C19" s="1919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918">
        <f t="shared" ref="Q19" si="14">Q15+Q16+Q17-Q18</f>
        <v>0</v>
      </c>
      <c r="R19" s="1919"/>
      <c r="S19" s="572">
        <f>S15+S16-S17-S18</f>
        <v>0</v>
      </c>
      <c r="T19" s="1914" t="s">
        <v>48</v>
      </c>
      <c r="U19" s="49" t="s">
        <v>58</v>
      </c>
      <c r="V19" s="1920">
        <v>115000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309651.65000000002</v>
      </c>
      <c r="C20" s="1945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1216966.25</v>
      </c>
      <c r="C21" s="1951"/>
      <c r="O21" s="579"/>
      <c r="P21" s="579"/>
      <c r="Q21" s="579"/>
      <c r="R21" s="579"/>
      <c r="T21" s="1952" t="s">
        <v>359</v>
      </c>
      <c r="U21" s="1953"/>
      <c r="V21" s="1955">
        <v>7960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957484</v>
      </c>
      <c r="D22" s="1949">
        <v>115000</v>
      </c>
      <c r="E22" s="1949">
        <v>100000</v>
      </c>
      <c r="F22" s="1949">
        <f>C22-D22+E22</f>
        <v>942484</v>
      </c>
      <c r="G22" s="579"/>
      <c r="Q22" s="579"/>
      <c r="R22" s="579"/>
      <c r="T22" s="1909" t="s">
        <v>83</v>
      </c>
      <c r="U22" s="50" t="s">
        <v>60</v>
      </c>
      <c r="V22" s="1920">
        <v>89410</v>
      </c>
      <c r="W22" s="1920"/>
      <c r="X22" s="1920"/>
      <c r="Y22" s="1927"/>
    </row>
    <row r="23" spans="1:25" ht="39.75" customHeight="1" x14ac:dyDescent="0.25">
      <c r="A23" s="579"/>
      <c r="B23" s="1947"/>
      <c r="C23" s="1950"/>
      <c r="D23" s="1950"/>
      <c r="E23" s="1950"/>
      <c r="F23" s="1950"/>
      <c r="G23" s="579"/>
      <c r="Q23" s="579"/>
      <c r="R23" s="579"/>
      <c r="T23" s="1910"/>
      <c r="U23" s="50" t="s">
        <v>61</v>
      </c>
      <c r="V23" s="1920">
        <v>115000</v>
      </c>
      <c r="W23" s="1920"/>
      <c r="X23" s="1920"/>
      <c r="Y23" s="1927"/>
    </row>
    <row r="24" spans="1:25" ht="48" customHeight="1" x14ac:dyDescent="0.25">
      <c r="A24" s="579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893" t="s">
        <v>47</v>
      </c>
      <c r="U24" s="51" t="s">
        <v>62</v>
      </c>
      <c r="V24" s="1921">
        <f>V14+V16+V17-V18-V19-V20-V22+V23-V21</f>
        <v>11193.452499999999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6912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579"/>
      <c r="J33" s="579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1900" t="s">
        <v>360</v>
      </c>
      <c r="U3" s="1900"/>
      <c r="V3" s="1900"/>
      <c r="W3" s="1900"/>
      <c r="X3" s="1900"/>
      <c r="Y3" s="1900"/>
    </row>
    <row r="4" spans="1:25" s="580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580" customFormat="1" ht="25.5" customHeight="1" x14ac:dyDescent="0.25">
      <c r="A5" s="1901"/>
      <c r="B5" s="1901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1930"/>
      <c r="R14" s="1930"/>
      <c r="S14" s="589"/>
      <c r="T14" s="1893" t="s">
        <v>46</v>
      </c>
      <c r="U14" s="581" t="s">
        <v>176</v>
      </c>
      <c r="V14" s="1918">
        <v>11193</v>
      </c>
      <c r="W14" s="1926"/>
      <c r="X14" s="1919"/>
    </row>
    <row r="15" spans="1:25" ht="22.5" customHeight="1" x14ac:dyDescent="0.25">
      <c r="A15" s="100" t="s">
        <v>38</v>
      </c>
      <c r="B15" s="1918">
        <v>321716</v>
      </c>
      <c r="C15" s="1919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1920"/>
      <c r="R15" s="1920"/>
      <c r="S15" s="581">
        <v>0</v>
      </c>
      <c r="T15" s="1893"/>
      <c r="U15" s="581" t="s">
        <v>64</v>
      </c>
      <c r="V15" s="1920">
        <v>6912</v>
      </c>
      <c r="W15" s="1920"/>
      <c r="X15" s="1920"/>
    </row>
    <row r="16" spans="1:25" ht="24.75" customHeight="1" x14ac:dyDescent="0.25">
      <c r="A16" s="100" t="s">
        <v>39</v>
      </c>
      <c r="B16" s="1918">
        <v>20779</v>
      </c>
      <c r="C16" s="1919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1883"/>
      <c r="R16" s="1883"/>
      <c r="S16" s="586"/>
      <c r="T16" s="1912" t="s">
        <v>55</v>
      </c>
      <c r="U16" s="1912"/>
      <c r="V16" s="1925">
        <f>Y12</f>
        <v>227924.4075</v>
      </c>
      <c r="W16" s="1925"/>
      <c r="X16" s="1920"/>
    </row>
    <row r="17" spans="1:25" ht="28.5" customHeight="1" x14ac:dyDescent="0.25">
      <c r="A17" s="101" t="s">
        <v>44</v>
      </c>
      <c r="B17" s="1918">
        <v>85933</v>
      </c>
      <c r="C17" s="1919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1883"/>
      <c r="R17" s="1883"/>
      <c r="S17" s="583"/>
      <c r="T17" s="1952" t="s">
        <v>362</v>
      </c>
      <c r="U17" s="1953"/>
      <c r="V17" s="1954">
        <v>450000</v>
      </c>
      <c r="W17" s="1954"/>
      <c r="X17" s="1954"/>
    </row>
    <row r="18" spans="1:25" ht="27" customHeight="1" x14ac:dyDescent="0.25">
      <c r="A18" s="100" t="s">
        <v>40</v>
      </c>
      <c r="B18" s="1922">
        <f>C12</f>
        <v>111767</v>
      </c>
      <c r="C18" s="1919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1920"/>
      <c r="R18" s="1920"/>
      <c r="S18" s="581"/>
      <c r="T18" s="1912" t="s">
        <v>57</v>
      </c>
      <c r="U18" s="1912"/>
      <c r="V18" s="1920">
        <v>620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316661</v>
      </c>
      <c r="C19" s="1919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1918">
        <f t="shared" ref="Q19" si="14">Q15+Q16+Q17-Q18</f>
        <v>0</v>
      </c>
      <c r="R19" s="1919"/>
      <c r="S19" s="581">
        <f>S15+S16-S17-S18</f>
        <v>0</v>
      </c>
      <c r="T19" s="1914" t="s">
        <v>48</v>
      </c>
      <c r="U19" s="49" t="s">
        <v>58</v>
      </c>
      <c r="V19" s="1920">
        <v>602050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304786.21250000002</v>
      </c>
      <c r="C20" s="1945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1093924.3125</v>
      </c>
      <c r="C21" s="1951"/>
      <c r="O21" s="590"/>
      <c r="P21" s="590"/>
      <c r="Q21" s="590"/>
      <c r="R21" s="590"/>
      <c r="T21" s="1952" t="s">
        <v>361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942484</v>
      </c>
      <c r="D22" s="1949">
        <v>602050</v>
      </c>
      <c r="E22" s="1949">
        <v>20000</v>
      </c>
      <c r="F22" s="1949">
        <f>C22-D22+E22</f>
        <v>360434</v>
      </c>
      <c r="G22" s="590"/>
      <c r="Q22" s="590"/>
      <c r="R22" s="590"/>
      <c r="T22" s="1909" t="s">
        <v>83</v>
      </c>
      <c r="U22" s="50" t="s">
        <v>60</v>
      </c>
      <c r="V22" s="1920">
        <v>680820</v>
      </c>
      <c r="W22" s="1920"/>
      <c r="X22" s="1920"/>
      <c r="Y22" s="1927"/>
    </row>
    <row r="23" spans="1:25" ht="39.75" customHeight="1" x14ac:dyDescent="0.25">
      <c r="A23" s="590"/>
      <c r="B23" s="1947"/>
      <c r="C23" s="1950"/>
      <c r="D23" s="1950"/>
      <c r="E23" s="1950"/>
      <c r="F23" s="1950"/>
      <c r="G23" s="590"/>
      <c r="Q23" s="590"/>
      <c r="R23" s="590"/>
      <c r="T23" s="1910"/>
      <c r="U23" s="50" t="s">
        <v>61</v>
      </c>
      <c r="V23" s="1920">
        <v>602050</v>
      </c>
      <c r="W23" s="1920"/>
      <c r="X23" s="1920"/>
      <c r="Y23" s="1927"/>
    </row>
    <row r="24" spans="1:25" ht="48" customHeight="1" x14ac:dyDescent="0.25">
      <c r="A24" s="590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1893" t="s">
        <v>47</v>
      </c>
      <c r="U24" s="51" t="s">
        <v>62</v>
      </c>
      <c r="V24" s="1921">
        <f>V14+V16+V17-V18-V19-V20-V22+V23-V21</f>
        <v>7677.4074999999721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85682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590"/>
      <c r="J33" s="590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1900" t="s">
        <v>363</v>
      </c>
      <c r="U3" s="1900"/>
      <c r="V3" s="1900"/>
      <c r="W3" s="1900"/>
      <c r="X3" s="1900"/>
      <c r="Y3" s="1900"/>
    </row>
    <row r="4" spans="1:25" s="59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596" customFormat="1" ht="25.5" customHeight="1" x14ac:dyDescent="0.25">
      <c r="A5" s="1901"/>
      <c r="B5" s="1901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1930"/>
      <c r="R14" s="1930"/>
      <c r="S14" s="600"/>
      <c r="T14" s="1893" t="s">
        <v>46</v>
      </c>
      <c r="U14" s="594" t="s">
        <v>176</v>
      </c>
      <c r="V14" s="1918">
        <v>7677</v>
      </c>
      <c r="W14" s="1926"/>
      <c r="X14" s="1919"/>
    </row>
    <row r="15" spans="1:25" ht="22.5" customHeight="1" x14ac:dyDescent="0.25">
      <c r="A15" s="100" t="s">
        <v>38</v>
      </c>
      <c r="B15" s="1918">
        <v>316661</v>
      </c>
      <c r="C15" s="1919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1920"/>
      <c r="R15" s="1920"/>
      <c r="S15" s="594">
        <v>0</v>
      </c>
      <c r="T15" s="1893"/>
      <c r="U15" s="594" t="s">
        <v>64</v>
      </c>
      <c r="V15" s="1920">
        <v>85682</v>
      </c>
      <c r="W15" s="1920"/>
      <c r="X15" s="1920"/>
    </row>
    <row r="16" spans="1:25" ht="24.75" customHeight="1" x14ac:dyDescent="0.25">
      <c r="A16" s="100" t="s">
        <v>39</v>
      </c>
      <c r="B16" s="1918">
        <v>464971</v>
      </c>
      <c r="C16" s="1919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1883"/>
      <c r="R16" s="1883"/>
      <c r="S16" s="597"/>
      <c r="T16" s="1912" t="s">
        <v>55</v>
      </c>
      <c r="U16" s="1912"/>
      <c r="V16" s="1925">
        <f>Y12</f>
        <v>252137.91999999998</v>
      </c>
      <c r="W16" s="1925"/>
      <c r="X16" s="1920"/>
    </row>
    <row r="17" spans="1:25" ht="28.5" customHeight="1" x14ac:dyDescent="0.25">
      <c r="A17" s="101" t="s">
        <v>44</v>
      </c>
      <c r="B17" s="1918">
        <v>15804</v>
      </c>
      <c r="C17" s="1919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1883"/>
      <c r="R17" s="1883"/>
      <c r="S17" s="593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164912</v>
      </c>
      <c r="C18" s="1919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1920"/>
      <c r="R18" s="1920"/>
      <c r="S18" s="594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632524</v>
      </c>
      <c r="C19" s="1919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1918">
        <f t="shared" ref="Q19" si="14">Q15+Q16+Q17-Q18</f>
        <v>0</v>
      </c>
      <c r="R19" s="1919"/>
      <c r="S19" s="594">
        <f>S15+S16-S17-S18</f>
        <v>0</v>
      </c>
      <c r="T19" s="1914" t="s">
        <v>48</v>
      </c>
      <c r="U19" s="49" t="s">
        <v>58</v>
      </c>
      <c r="V19" s="1920">
        <v>250834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608804.35</v>
      </c>
      <c r="C20" s="1945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>
        <v>75000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1334383.6499999999</v>
      </c>
      <c r="C21" s="1951"/>
      <c r="O21" s="601"/>
      <c r="P21" s="601"/>
      <c r="Q21" s="601"/>
      <c r="R21" s="601"/>
      <c r="T21" s="1952" t="s">
        <v>361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360434</v>
      </c>
      <c r="D22" s="1949">
        <v>250834</v>
      </c>
      <c r="E22" s="1949">
        <v>400000</v>
      </c>
      <c r="F22" s="1949">
        <f>C22-D22+E22</f>
        <v>509600</v>
      </c>
      <c r="G22" s="601"/>
      <c r="Q22" s="601"/>
      <c r="R22" s="601"/>
      <c r="T22" s="1909" t="s">
        <v>83</v>
      </c>
      <c r="U22" s="50" t="s">
        <v>60</v>
      </c>
      <c r="V22" s="1920">
        <v>251110</v>
      </c>
      <c r="W22" s="1920"/>
      <c r="X22" s="1920"/>
      <c r="Y22" s="1927"/>
    </row>
    <row r="23" spans="1:25" ht="39.75" customHeight="1" x14ac:dyDescent="0.25">
      <c r="A23" s="601"/>
      <c r="B23" s="1947"/>
      <c r="C23" s="1950"/>
      <c r="D23" s="1950"/>
      <c r="E23" s="1950"/>
      <c r="F23" s="1950"/>
      <c r="G23" s="601"/>
      <c r="Q23" s="601"/>
      <c r="R23" s="601"/>
      <c r="T23" s="1910"/>
      <c r="U23" s="50" t="s">
        <v>61</v>
      </c>
      <c r="V23" s="1920">
        <v>325834</v>
      </c>
      <c r="W23" s="1920"/>
      <c r="X23" s="1920"/>
      <c r="Y23" s="1927"/>
    </row>
    <row r="24" spans="1:25" ht="48" customHeight="1" x14ac:dyDescent="0.25">
      <c r="A24" s="601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1893" t="s">
        <v>47</v>
      </c>
      <c r="U24" s="51" t="s">
        <v>62</v>
      </c>
      <c r="V24" s="1921">
        <f>V14+V16+V17-V18-V19-V20-V22+V23-V21</f>
        <v>8184.9199999999837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10958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601"/>
      <c r="J33" s="601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900" t="s">
        <v>364</v>
      </c>
      <c r="U3" s="1900"/>
      <c r="V3" s="1900"/>
      <c r="W3" s="1900"/>
      <c r="X3" s="1900"/>
      <c r="Y3" s="1900"/>
    </row>
    <row r="4" spans="1:25" s="60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607" customFormat="1" ht="25.5" customHeight="1" x14ac:dyDescent="0.25">
      <c r="A5" s="1901"/>
      <c r="B5" s="1901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930"/>
      <c r="R14" s="1930"/>
      <c r="S14" s="611"/>
      <c r="T14" s="1893" t="s">
        <v>46</v>
      </c>
      <c r="U14" s="605" t="s">
        <v>176</v>
      </c>
      <c r="V14" s="1918">
        <v>8185</v>
      </c>
      <c r="W14" s="1926"/>
      <c r="X14" s="1919"/>
    </row>
    <row r="15" spans="1:25" ht="22.5" customHeight="1" x14ac:dyDescent="0.25">
      <c r="A15" s="100" t="s">
        <v>38</v>
      </c>
      <c r="B15" s="1918">
        <v>632524</v>
      </c>
      <c r="C15" s="1919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1920"/>
      <c r="R15" s="1920"/>
      <c r="S15" s="605">
        <v>0</v>
      </c>
      <c r="T15" s="1893"/>
      <c r="U15" s="605" t="s">
        <v>64</v>
      </c>
      <c r="V15" s="1920">
        <v>10958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1883"/>
      <c r="R16" s="1883"/>
      <c r="S16" s="608"/>
      <c r="T16" s="1912" t="s">
        <v>55</v>
      </c>
      <c r="U16" s="1912"/>
      <c r="V16" s="1925">
        <f>Y12</f>
        <v>335093.33000000007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883"/>
      <c r="R17" s="1883"/>
      <c r="S17" s="604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207588</v>
      </c>
      <c r="C18" s="1919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1920"/>
      <c r="R18" s="1920"/>
      <c r="S18" s="605"/>
      <c r="T18" s="1912" t="s">
        <v>57</v>
      </c>
      <c r="U18" s="1912"/>
      <c r="V18" s="1920">
        <v>84827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424936</v>
      </c>
      <c r="C19" s="1919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918">
        <f t="shared" ref="Q19" si="14">Q15+Q16+Q17-Q18</f>
        <v>0</v>
      </c>
      <c r="R19" s="1919"/>
      <c r="S19" s="605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409000.9</v>
      </c>
      <c r="C20" s="1945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1001870.8999999999</v>
      </c>
      <c r="C21" s="1951"/>
      <c r="O21" s="612"/>
      <c r="P21" s="612"/>
      <c r="Q21" s="612"/>
      <c r="R21" s="612"/>
      <c r="T21" s="1952" t="s">
        <v>361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509600</v>
      </c>
      <c r="D22" s="1949"/>
      <c r="E22" s="1949"/>
      <c r="F22" s="1949">
        <f>C22-D22+E22</f>
        <v>509600</v>
      </c>
      <c r="G22" s="612"/>
      <c r="Q22" s="612"/>
      <c r="R22" s="612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612"/>
      <c r="B23" s="1947"/>
      <c r="C23" s="1950"/>
      <c r="D23" s="1950"/>
      <c r="E23" s="1950"/>
      <c r="F23" s="1950"/>
      <c r="G23" s="612"/>
      <c r="Q23" s="612"/>
      <c r="R23" s="612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612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893" t="s">
        <v>47</v>
      </c>
      <c r="U24" s="51" t="s">
        <v>62</v>
      </c>
      <c r="V24" s="1921">
        <f>V14+V16+V17-V18-V19-V20-V22+V23-V21</f>
        <v>258451.33000000007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10958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612"/>
      <c r="J33" s="612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900" t="s">
        <v>365</v>
      </c>
      <c r="U3" s="1900"/>
      <c r="V3" s="1900"/>
      <c r="W3" s="1900"/>
      <c r="X3" s="1900"/>
      <c r="Y3" s="1900"/>
    </row>
    <row r="4" spans="1:25" s="60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607" customFormat="1" ht="25.5" customHeight="1" x14ac:dyDescent="0.25">
      <c r="A5" s="1901"/>
      <c r="B5" s="1901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930"/>
      <c r="R14" s="1930"/>
      <c r="S14" s="611"/>
      <c r="T14" s="1893" t="s">
        <v>46</v>
      </c>
      <c r="U14" s="605" t="s">
        <v>176</v>
      </c>
      <c r="V14" s="1918">
        <v>258451</v>
      </c>
      <c r="W14" s="1926"/>
      <c r="X14" s="1919"/>
    </row>
    <row r="15" spans="1:25" ht="22.5" customHeight="1" x14ac:dyDescent="0.25">
      <c r="A15" s="100" t="s">
        <v>38</v>
      </c>
      <c r="B15" s="1918">
        <v>424936</v>
      </c>
      <c r="C15" s="1919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1920"/>
      <c r="R15" s="1920"/>
      <c r="S15" s="605">
        <v>0</v>
      </c>
      <c r="T15" s="1893"/>
      <c r="U15" s="605" t="s">
        <v>64</v>
      </c>
      <c r="V15" s="1920">
        <v>10958</v>
      </c>
      <c r="W15" s="1920"/>
      <c r="X15" s="1920"/>
    </row>
    <row r="16" spans="1:25" ht="24.75" customHeight="1" x14ac:dyDescent="0.25">
      <c r="A16" s="100" t="s">
        <v>39</v>
      </c>
      <c r="B16" s="1918">
        <v>374025</v>
      </c>
      <c r="C16" s="1919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1883"/>
      <c r="R16" s="1883"/>
      <c r="S16" s="608"/>
      <c r="T16" s="1912" t="s">
        <v>55</v>
      </c>
      <c r="U16" s="1912"/>
      <c r="V16" s="1925">
        <f>Y12</f>
        <v>417145.85000000003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883"/>
      <c r="R17" s="1883"/>
      <c r="S17" s="604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407060</v>
      </c>
      <c r="C18" s="1919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1920"/>
      <c r="R18" s="1920"/>
      <c r="S18" s="605"/>
      <c r="T18" s="1912" t="s">
        <v>57</v>
      </c>
      <c r="U18" s="1912"/>
      <c r="V18" s="1920">
        <v>5377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391901</v>
      </c>
      <c r="C19" s="1919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918">
        <f t="shared" ref="Q19" si="14">Q15+Q16+Q17-Q18</f>
        <v>0</v>
      </c>
      <c r="R19" s="1919"/>
      <c r="S19" s="605">
        <f>S15+S16-S17-S18</f>
        <v>0</v>
      </c>
      <c r="T19" s="1914" t="s">
        <v>48</v>
      </c>
      <c r="U19" s="49" t="s">
        <v>58</v>
      </c>
      <c r="V19" s="1920">
        <v>400000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377204.71250000002</v>
      </c>
      <c r="C20" s="1945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948965.71249999991</v>
      </c>
      <c r="C21" s="1951"/>
      <c r="O21" s="612"/>
      <c r="P21" s="612"/>
      <c r="Q21" s="612"/>
      <c r="R21" s="612"/>
      <c r="T21" s="1952" t="s">
        <v>366</v>
      </c>
      <c r="U21" s="1953"/>
      <c r="V21" s="1955">
        <v>235000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509600</v>
      </c>
      <c r="D22" s="1949">
        <v>400000</v>
      </c>
      <c r="E22" s="1949">
        <v>360000</v>
      </c>
      <c r="F22" s="1949">
        <f>C22-D22+E22</f>
        <v>469600</v>
      </c>
      <c r="G22" s="612"/>
      <c r="Q22" s="612"/>
      <c r="R22" s="612"/>
      <c r="T22" s="1909" t="s">
        <v>83</v>
      </c>
      <c r="U22" s="50" t="s">
        <v>60</v>
      </c>
      <c r="V22" s="1920">
        <v>400000</v>
      </c>
      <c r="W22" s="1920"/>
      <c r="X22" s="1920"/>
      <c r="Y22" s="1927"/>
    </row>
    <row r="23" spans="1:25" ht="39.75" customHeight="1" x14ac:dyDescent="0.25">
      <c r="A23" s="612"/>
      <c r="B23" s="1947"/>
      <c r="C23" s="1950"/>
      <c r="D23" s="1950"/>
      <c r="E23" s="1950"/>
      <c r="F23" s="1950"/>
      <c r="G23" s="612"/>
      <c r="Q23" s="612"/>
      <c r="R23" s="612"/>
      <c r="T23" s="1910"/>
      <c r="U23" s="50" t="s">
        <v>61</v>
      </c>
      <c r="V23" s="1920">
        <v>400000</v>
      </c>
      <c r="W23" s="1920"/>
      <c r="X23" s="1920"/>
      <c r="Y23" s="1927"/>
    </row>
    <row r="24" spans="1:25" ht="48" customHeight="1" x14ac:dyDescent="0.25">
      <c r="A24" s="612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893" t="s">
        <v>47</v>
      </c>
      <c r="U24" s="51" t="s">
        <v>62</v>
      </c>
      <c r="V24" s="1921">
        <f>V14+V16+V17-V18-V19-V20-V22+V23-V21</f>
        <v>35219.850000000093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10958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612"/>
      <c r="J33" s="612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900" t="s">
        <v>367</v>
      </c>
      <c r="U3" s="1900"/>
      <c r="V3" s="1900"/>
      <c r="W3" s="1900"/>
      <c r="X3" s="1900"/>
      <c r="Y3" s="1900"/>
    </row>
    <row r="4" spans="1:25" s="60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607" customFormat="1" ht="25.5" customHeight="1" x14ac:dyDescent="0.25">
      <c r="A5" s="1901"/>
      <c r="B5" s="1901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1958" t="s">
        <v>339</v>
      </c>
      <c r="R14" s="1959"/>
      <c r="S14" s="611"/>
      <c r="T14" s="1893" t="s">
        <v>46</v>
      </c>
      <c r="U14" s="605" t="s">
        <v>176</v>
      </c>
      <c r="V14" s="1918">
        <v>35220</v>
      </c>
      <c r="W14" s="1926"/>
      <c r="X14" s="1919"/>
    </row>
    <row r="15" spans="1:25" ht="22.5" customHeight="1" x14ac:dyDescent="0.25">
      <c r="A15" s="100" t="s">
        <v>38</v>
      </c>
      <c r="B15" s="1918">
        <v>391901</v>
      </c>
      <c r="C15" s="1919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1918">
        <v>47</v>
      </c>
      <c r="R15" s="1919"/>
      <c r="S15" s="605">
        <v>0</v>
      </c>
      <c r="T15" s="1893"/>
      <c r="U15" s="605" t="s">
        <v>64</v>
      </c>
      <c r="V15" s="1920">
        <v>10958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1883"/>
      <c r="R16" s="1883"/>
      <c r="S16" s="608"/>
      <c r="T16" s="1912" t="s">
        <v>55</v>
      </c>
      <c r="U16" s="1912"/>
      <c r="V16" s="1925">
        <f>Y12</f>
        <v>116597.7375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883"/>
      <c r="R17" s="1883"/>
      <c r="S17" s="604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73355</v>
      </c>
      <c r="C18" s="1919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1920"/>
      <c r="R18" s="1920"/>
      <c r="S18" s="605"/>
      <c r="T18" s="1912" t="s">
        <v>57</v>
      </c>
      <c r="U18" s="1912"/>
      <c r="V18" s="1920">
        <v>1385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318546</v>
      </c>
      <c r="C19" s="1919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1918">
        <f t="shared" ref="Q19" si="14">Q15+Q16+Q17-Q18</f>
        <v>47</v>
      </c>
      <c r="R19" s="1919"/>
      <c r="S19" s="605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306600.52500000002</v>
      </c>
      <c r="C20" s="1945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1944">
        <f>241*Q19</f>
        <v>11327</v>
      </c>
      <c r="R20" s="1945"/>
      <c r="S20" s="290">
        <f>241*S19</f>
        <v>0</v>
      </c>
      <c r="T20" s="1915"/>
      <c r="U20" s="49" t="s">
        <v>59</v>
      </c>
      <c r="V20" s="1920">
        <v>26028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859218.82499999995</v>
      </c>
      <c r="C21" s="1951"/>
      <c r="O21" s="612"/>
      <c r="P21" s="612"/>
      <c r="Q21" s="612"/>
      <c r="R21" s="612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469600</v>
      </c>
      <c r="D22" s="1949"/>
      <c r="E22" s="1949"/>
      <c r="F22" s="1949">
        <f>C22-D22+E22</f>
        <v>469600</v>
      </c>
      <c r="G22" s="612"/>
      <c r="Q22" s="612"/>
      <c r="R22" s="612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612"/>
      <c r="B23" s="1947"/>
      <c r="C23" s="1950"/>
      <c r="D23" s="1950"/>
      <c r="E23" s="1950"/>
      <c r="F23" s="1950"/>
      <c r="G23" s="612"/>
      <c r="Q23" s="612"/>
      <c r="R23" s="612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612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893" t="s">
        <v>47</v>
      </c>
      <c r="U24" s="51" t="s">
        <v>62</v>
      </c>
      <c r="V24" s="1921">
        <f>V14+V16+V17-V18-V19-V20-V22+V23-V21</f>
        <v>124404.73749999999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10958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612"/>
      <c r="J33" s="612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1900" t="s">
        <v>369</v>
      </c>
      <c r="U3" s="1900"/>
      <c r="V3" s="1900"/>
      <c r="W3" s="1900"/>
      <c r="X3" s="1900"/>
      <c r="Y3" s="1900"/>
    </row>
    <row r="4" spans="1:25" s="61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613" customFormat="1" ht="25.5" customHeight="1" x14ac:dyDescent="0.25">
      <c r="A5" s="1901"/>
      <c r="B5" s="1901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1958" t="s">
        <v>339</v>
      </c>
      <c r="R14" s="1959"/>
      <c r="S14" s="622"/>
      <c r="T14" s="1893" t="s">
        <v>46</v>
      </c>
      <c r="U14" s="614" t="s">
        <v>176</v>
      </c>
      <c r="V14" s="1918">
        <v>124405</v>
      </c>
      <c r="W14" s="1926"/>
      <c r="X14" s="1919"/>
    </row>
    <row r="15" spans="1:25" ht="22.5" customHeight="1" x14ac:dyDescent="0.25">
      <c r="A15" s="100" t="s">
        <v>38</v>
      </c>
      <c r="B15" s="1918">
        <v>318546</v>
      </c>
      <c r="C15" s="1919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1918">
        <v>47</v>
      </c>
      <c r="R15" s="1919"/>
      <c r="S15" s="614">
        <v>0</v>
      </c>
      <c r="T15" s="1893"/>
      <c r="U15" s="614" t="s">
        <v>64</v>
      </c>
      <c r="V15" s="1920">
        <v>10958</v>
      </c>
      <c r="W15" s="1920"/>
      <c r="X15" s="1920"/>
    </row>
    <row r="16" spans="1:25" ht="24.75" customHeight="1" x14ac:dyDescent="0.25">
      <c r="A16" s="100" t="s">
        <v>39</v>
      </c>
      <c r="B16" s="1918">
        <v>103896</v>
      </c>
      <c r="C16" s="1919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1883"/>
      <c r="R16" s="1883"/>
      <c r="S16" s="619"/>
      <c r="T16" s="1912" t="s">
        <v>55</v>
      </c>
      <c r="U16" s="1912"/>
      <c r="V16" s="1925">
        <f>Y12</f>
        <v>82856.165000000008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1883"/>
      <c r="R17" s="1883"/>
      <c r="S17" s="616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76394</v>
      </c>
      <c r="C18" s="1919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1920">
        <v>25</v>
      </c>
      <c r="R18" s="1920"/>
      <c r="S18" s="614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346048</v>
      </c>
      <c r="C19" s="1919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1918">
        <f t="shared" ref="Q19" si="14">Q15+Q16+Q17-Q18</f>
        <v>22</v>
      </c>
      <c r="R19" s="1919"/>
      <c r="S19" s="614">
        <f>S15+S16-S17-S18</f>
        <v>0</v>
      </c>
      <c r="T19" s="1914" t="s">
        <v>48</v>
      </c>
      <c r="U19" s="49" t="s">
        <v>58</v>
      </c>
      <c r="V19" s="1920">
        <v>197000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333071.2</v>
      </c>
      <c r="C20" s="1945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944">
        <f>241*Q19</f>
        <v>5302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1286201.5</v>
      </c>
      <c r="C21" s="1951"/>
      <c r="O21" s="623"/>
      <c r="P21" s="623"/>
      <c r="Q21" s="623"/>
      <c r="R21" s="623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469600</v>
      </c>
      <c r="D22" s="1949">
        <v>197000</v>
      </c>
      <c r="E22" s="1949">
        <v>508874</v>
      </c>
      <c r="F22" s="1949">
        <f>C22-D22+E22</f>
        <v>781474</v>
      </c>
      <c r="G22" s="623"/>
      <c r="Q22" s="623"/>
      <c r="R22" s="623"/>
      <c r="T22" s="1909" t="s">
        <v>83</v>
      </c>
      <c r="U22" s="50" t="s">
        <v>60</v>
      </c>
      <c r="V22" s="1920">
        <v>196510</v>
      </c>
      <c r="W22" s="1920"/>
      <c r="X22" s="1920"/>
      <c r="Y22" s="1927"/>
    </row>
    <row r="23" spans="1:25" ht="39.75" customHeight="1" x14ac:dyDescent="0.25">
      <c r="A23" s="623"/>
      <c r="B23" s="1947"/>
      <c r="C23" s="1950"/>
      <c r="D23" s="1950"/>
      <c r="E23" s="1950"/>
      <c r="F23" s="1950"/>
      <c r="G23" s="623"/>
      <c r="Q23" s="623"/>
      <c r="R23" s="623"/>
      <c r="T23" s="1910"/>
      <c r="U23" s="50" t="s">
        <v>61</v>
      </c>
      <c r="V23" s="1920">
        <v>197000</v>
      </c>
      <c r="W23" s="1920"/>
      <c r="X23" s="1920"/>
      <c r="Y23" s="1927"/>
    </row>
    <row r="24" spans="1:25" ht="48" customHeight="1" x14ac:dyDescent="0.25">
      <c r="A24" s="623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1893" t="s">
        <v>47</v>
      </c>
      <c r="U24" s="51" t="s">
        <v>62</v>
      </c>
      <c r="V24" s="1921">
        <f>V14+V16+V17-V18-V19-V20-V22+V23-V21</f>
        <v>10231.165000000008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10468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623"/>
      <c r="J33" s="623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1900" t="s">
        <v>370</v>
      </c>
      <c r="U3" s="1900"/>
      <c r="V3" s="1900"/>
      <c r="W3" s="1900"/>
      <c r="X3" s="1900"/>
      <c r="Y3" s="1900"/>
    </row>
    <row r="4" spans="1:25" s="62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629" customFormat="1" ht="25.5" customHeight="1" x14ac:dyDescent="0.25">
      <c r="A5" s="1901"/>
      <c r="B5" s="1901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1958" t="s">
        <v>339</v>
      </c>
      <c r="R14" s="1959"/>
      <c r="S14" s="633"/>
      <c r="T14" s="1893" t="s">
        <v>46</v>
      </c>
      <c r="U14" s="627" t="s">
        <v>176</v>
      </c>
      <c r="V14" s="1918">
        <v>10231</v>
      </c>
      <c r="W14" s="1926"/>
      <c r="X14" s="1919"/>
    </row>
    <row r="15" spans="1:25" ht="22.5" customHeight="1" x14ac:dyDescent="0.25">
      <c r="A15" s="100" t="s">
        <v>38</v>
      </c>
      <c r="B15" s="1918">
        <v>346048</v>
      </c>
      <c r="C15" s="1919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1918">
        <v>22</v>
      </c>
      <c r="R15" s="1919"/>
      <c r="S15" s="627">
        <v>0</v>
      </c>
      <c r="T15" s="1893"/>
      <c r="U15" s="627" t="s">
        <v>64</v>
      </c>
      <c r="V15" s="1920">
        <v>10468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1883"/>
      <c r="R16" s="1883"/>
      <c r="S16" s="630"/>
      <c r="T16" s="1912" t="s">
        <v>55</v>
      </c>
      <c r="U16" s="1912"/>
      <c r="V16" s="1925">
        <f>Y12</f>
        <v>109912.9225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1883"/>
      <c r="R17" s="1883"/>
      <c r="S17" s="626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113021</v>
      </c>
      <c r="C18" s="1919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1920"/>
      <c r="R18" s="1920"/>
      <c r="S18" s="627"/>
      <c r="T18" s="1912" t="s">
        <v>57</v>
      </c>
      <c r="U18" s="1912"/>
      <c r="V18" s="1920">
        <v>2470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233027</v>
      </c>
      <c r="C19" s="1919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1918">
        <f t="shared" ref="Q19" si="14">Q15+Q16+Q17-Q18</f>
        <v>22</v>
      </c>
      <c r="R19" s="1919"/>
      <c r="S19" s="627">
        <f>S15+S16-S17-S18</f>
        <v>0</v>
      </c>
      <c r="T19" s="1914" t="s">
        <v>48</v>
      </c>
      <c r="U19" s="49" t="s">
        <v>58</v>
      </c>
      <c r="V19" s="1920">
        <v>115000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224288.48750000002</v>
      </c>
      <c r="C20" s="1945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944">
        <f>241*Q19</f>
        <v>5302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1177418.7875000001</v>
      </c>
      <c r="C21" s="1951"/>
      <c r="O21" s="634"/>
      <c r="P21" s="634"/>
      <c r="Q21" s="634"/>
      <c r="R21" s="634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781474</v>
      </c>
      <c r="D22" s="1949">
        <v>115000</v>
      </c>
      <c r="E22" s="1949"/>
      <c r="F22" s="1949">
        <f>C22-D22+E22</f>
        <v>666474</v>
      </c>
      <c r="G22" s="634"/>
      <c r="Q22" s="634"/>
      <c r="R22" s="634"/>
      <c r="T22" s="1909" t="s">
        <v>83</v>
      </c>
      <c r="U22" s="50" t="s">
        <v>60</v>
      </c>
      <c r="V22" s="1920">
        <v>114500</v>
      </c>
      <c r="W22" s="1920"/>
      <c r="X22" s="1920"/>
      <c r="Y22" s="1927"/>
    </row>
    <row r="23" spans="1:25" ht="39.75" customHeight="1" x14ac:dyDescent="0.25">
      <c r="A23" s="634"/>
      <c r="B23" s="1947"/>
      <c r="C23" s="1950"/>
      <c r="D23" s="1950"/>
      <c r="E23" s="1950"/>
      <c r="F23" s="1950"/>
      <c r="G23" s="634"/>
      <c r="Q23" s="634"/>
      <c r="R23" s="634"/>
      <c r="T23" s="1910"/>
      <c r="U23" s="50" t="s">
        <v>61</v>
      </c>
      <c r="V23" s="1920">
        <v>115000</v>
      </c>
      <c r="W23" s="1920"/>
      <c r="X23" s="1920"/>
      <c r="Y23" s="1927"/>
    </row>
    <row r="24" spans="1:25" ht="48" customHeight="1" x14ac:dyDescent="0.25">
      <c r="A24" s="634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1893" t="s">
        <v>47</v>
      </c>
      <c r="U24" s="51" t="s">
        <v>62</v>
      </c>
      <c r="V24" s="1921">
        <f>V14+V16+V17-V18-V19-V20-V22+V23-V21</f>
        <v>3173.9225000000006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9968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634"/>
      <c r="J33" s="634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900" t="s">
        <v>371</v>
      </c>
      <c r="U3" s="1900"/>
      <c r="V3" s="1900"/>
      <c r="W3" s="1900"/>
      <c r="X3" s="1900"/>
      <c r="Y3" s="1900"/>
    </row>
    <row r="4" spans="1:25" s="63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635" customFormat="1" ht="25.5" customHeight="1" x14ac:dyDescent="0.25">
      <c r="A5" s="1901"/>
      <c r="B5" s="1901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958" t="s">
        <v>339</v>
      </c>
      <c r="R14" s="1959"/>
      <c r="S14" s="644"/>
      <c r="T14" s="1893" t="s">
        <v>46</v>
      </c>
      <c r="U14" s="636" t="s">
        <v>176</v>
      </c>
      <c r="V14" s="1918">
        <v>3174</v>
      </c>
      <c r="W14" s="1926"/>
      <c r="X14" s="1919"/>
    </row>
    <row r="15" spans="1:25" ht="22.5" customHeight="1" x14ac:dyDescent="0.25">
      <c r="A15" s="100" t="s">
        <v>38</v>
      </c>
      <c r="B15" s="1918">
        <v>233027</v>
      </c>
      <c r="C15" s="1919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1918">
        <v>22</v>
      </c>
      <c r="R15" s="1919"/>
      <c r="S15" s="636">
        <v>0</v>
      </c>
      <c r="T15" s="1893"/>
      <c r="U15" s="636" t="s">
        <v>64</v>
      </c>
      <c r="V15" s="1920">
        <v>9968</v>
      </c>
      <c r="W15" s="1920"/>
      <c r="X15" s="1920"/>
    </row>
    <row r="16" spans="1:25" ht="24.75" customHeight="1" x14ac:dyDescent="0.25">
      <c r="A16" s="100" t="s">
        <v>39</v>
      </c>
      <c r="B16" s="1918">
        <v>362649</v>
      </c>
      <c r="C16" s="1919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1883"/>
      <c r="R16" s="1883"/>
      <c r="S16" s="641"/>
      <c r="T16" s="1912" t="s">
        <v>55</v>
      </c>
      <c r="U16" s="1912"/>
      <c r="V16" s="1925">
        <f>Y12</f>
        <v>328559.70500000002</v>
      </c>
      <c r="W16" s="1925"/>
      <c r="X16" s="1920"/>
    </row>
    <row r="17" spans="1:25" ht="28.5" customHeight="1" x14ac:dyDescent="0.25">
      <c r="A17" s="101" t="s">
        <v>44</v>
      </c>
      <c r="B17" s="1918">
        <v>90537</v>
      </c>
      <c r="C17" s="1919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883"/>
      <c r="R17" s="1883"/>
      <c r="S17" s="638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162338</v>
      </c>
      <c r="C18" s="1919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920">
        <v>22</v>
      </c>
      <c r="R18" s="1920"/>
      <c r="S18" s="636"/>
      <c r="T18" s="1912" t="s">
        <v>57</v>
      </c>
      <c r="U18" s="1912"/>
      <c r="V18" s="1920">
        <v>580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523875</v>
      </c>
      <c r="C19" s="1919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1918">
        <f t="shared" ref="Q19" si="14">Q15+Q16+Q17-Q18</f>
        <v>0</v>
      </c>
      <c r="R19" s="1919"/>
      <c r="S19" s="636">
        <f>S15+S16-S17-S18</f>
        <v>0</v>
      </c>
      <c r="T19" s="1914" t="s">
        <v>48</v>
      </c>
      <c r="U19" s="49" t="s">
        <v>58</v>
      </c>
      <c r="V19" s="1920">
        <v>148000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504229.6875</v>
      </c>
      <c r="C20" s="1945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1336466.6875</v>
      </c>
      <c r="C21" s="1951"/>
      <c r="O21" s="645"/>
      <c r="P21" s="645"/>
      <c r="Q21" s="645"/>
      <c r="R21" s="645"/>
      <c r="T21" s="1952" t="s">
        <v>366</v>
      </c>
      <c r="U21" s="1953"/>
      <c r="V21" s="1955">
        <v>176000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666474</v>
      </c>
      <c r="D22" s="1949">
        <v>148000</v>
      </c>
      <c r="E22" s="1949">
        <v>397500</v>
      </c>
      <c r="F22" s="1949">
        <f>C22-D22+E22</f>
        <v>915974</v>
      </c>
      <c r="G22" s="645"/>
      <c r="Q22" s="645"/>
      <c r="R22" s="645"/>
      <c r="T22" s="1909" t="s">
        <v>83</v>
      </c>
      <c r="U22" s="50" t="s">
        <v>60</v>
      </c>
      <c r="V22" s="1920">
        <v>145930</v>
      </c>
      <c r="W22" s="1920"/>
      <c r="X22" s="1920"/>
      <c r="Y22" s="1927"/>
    </row>
    <row r="23" spans="1:25" ht="39.75" customHeight="1" x14ac:dyDescent="0.25">
      <c r="A23" s="645"/>
      <c r="B23" s="1947"/>
      <c r="C23" s="1950"/>
      <c r="D23" s="1950"/>
      <c r="E23" s="1950"/>
      <c r="F23" s="1950"/>
      <c r="G23" s="645"/>
      <c r="Q23" s="645"/>
      <c r="R23" s="645"/>
      <c r="T23" s="1910"/>
      <c r="U23" s="50" t="s">
        <v>61</v>
      </c>
      <c r="V23" s="1920">
        <v>148000</v>
      </c>
      <c r="W23" s="1920"/>
      <c r="X23" s="1920"/>
      <c r="Y23" s="1927"/>
    </row>
    <row r="24" spans="1:25" ht="48" customHeight="1" x14ac:dyDescent="0.25">
      <c r="A24" s="645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893" t="s">
        <v>47</v>
      </c>
      <c r="U24" s="51" t="s">
        <v>62</v>
      </c>
      <c r="V24" s="1921">
        <f>V14+V16+V17-V18-V19-V20-V22+V23-V21</f>
        <v>9223.7050000000163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7898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645"/>
      <c r="J33" s="645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900" t="s">
        <v>372</v>
      </c>
      <c r="U3" s="1900"/>
      <c r="V3" s="1900"/>
      <c r="W3" s="1900"/>
      <c r="X3" s="1900"/>
      <c r="Y3" s="1900"/>
    </row>
    <row r="4" spans="1:25" s="63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635" customFormat="1" ht="25.5" customHeight="1" x14ac:dyDescent="0.25">
      <c r="A5" s="1901"/>
      <c r="B5" s="1901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958"/>
      <c r="R14" s="1959"/>
      <c r="S14" s="644"/>
      <c r="T14" s="1893" t="s">
        <v>46</v>
      </c>
      <c r="U14" s="636" t="s">
        <v>176</v>
      </c>
      <c r="V14" s="1918">
        <v>9224</v>
      </c>
      <c r="W14" s="1926"/>
      <c r="X14" s="1919"/>
    </row>
    <row r="15" spans="1:25" ht="22.5" customHeight="1" x14ac:dyDescent="0.25">
      <c r="A15" s="100" t="s">
        <v>38</v>
      </c>
      <c r="B15" s="1918">
        <v>523875</v>
      </c>
      <c r="C15" s="1919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1918"/>
      <c r="R15" s="1919"/>
      <c r="S15" s="636"/>
      <c r="T15" s="1893"/>
      <c r="U15" s="636" t="s">
        <v>64</v>
      </c>
      <c r="V15" s="1920">
        <v>7898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883"/>
      <c r="R16" s="1883"/>
      <c r="S16" s="641"/>
      <c r="T16" s="1912" t="s">
        <v>55</v>
      </c>
      <c r="U16" s="1912"/>
      <c r="V16" s="1925">
        <f>Y12</f>
        <v>212285.09000000003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883"/>
      <c r="R17" s="1883"/>
      <c r="S17" s="638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119124</v>
      </c>
      <c r="C18" s="1919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920"/>
      <c r="R18" s="1920"/>
      <c r="S18" s="636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404751</v>
      </c>
      <c r="C19" s="1919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1918">
        <f t="shared" ref="Q19" si="14">Q15+Q16+Q17-Q18</f>
        <v>0</v>
      </c>
      <c r="R19" s="1919"/>
      <c r="S19" s="636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389572.83750000002</v>
      </c>
      <c r="C20" s="1945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1126222.1375</v>
      </c>
      <c r="C21" s="1951"/>
      <c r="O21" s="645"/>
      <c r="P21" s="645"/>
      <c r="Q21" s="645"/>
      <c r="R21" s="645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915974</v>
      </c>
      <c r="D22" s="1949"/>
      <c r="E22" s="1949"/>
      <c r="F22" s="1949">
        <f>C22-D22+E22</f>
        <v>915974</v>
      </c>
      <c r="G22" s="645"/>
      <c r="Q22" s="645"/>
      <c r="R22" s="645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645"/>
      <c r="B23" s="1947"/>
      <c r="C23" s="1950"/>
      <c r="D23" s="1950"/>
      <c r="E23" s="1950"/>
      <c r="F23" s="1950"/>
      <c r="G23" s="645"/>
      <c r="Q23" s="645"/>
      <c r="R23" s="645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645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893" t="s">
        <v>47</v>
      </c>
      <c r="U24" s="51" t="s">
        <v>62</v>
      </c>
      <c r="V24" s="1921">
        <f>V14+V16+V17-V18-V19-V20-V22+V23-V21</f>
        <v>220989.09000000003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7898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645"/>
      <c r="J33" s="645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900" t="s">
        <v>373</v>
      </c>
      <c r="U3" s="1900"/>
      <c r="V3" s="1900"/>
      <c r="W3" s="1900"/>
      <c r="X3" s="1900"/>
      <c r="Y3" s="1900"/>
    </row>
    <row r="4" spans="1:25" s="63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635" customFormat="1" ht="25.5" customHeight="1" x14ac:dyDescent="0.25">
      <c r="A5" s="1901"/>
      <c r="B5" s="1901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958"/>
      <c r="R14" s="1959"/>
      <c r="S14" s="644"/>
      <c r="T14" s="1893" t="s">
        <v>46</v>
      </c>
      <c r="U14" s="636" t="s">
        <v>176</v>
      </c>
      <c r="V14" s="1918">
        <v>220989</v>
      </c>
      <c r="W14" s="1926"/>
      <c r="X14" s="1919"/>
    </row>
    <row r="15" spans="1:25" ht="22.5" customHeight="1" x14ac:dyDescent="0.25">
      <c r="A15" s="100" t="s">
        <v>38</v>
      </c>
      <c r="B15" s="1918">
        <v>404751</v>
      </c>
      <c r="C15" s="1919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1918"/>
      <c r="R15" s="1919"/>
      <c r="S15" s="636"/>
      <c r="T15" s="1893"/>
      <c r="U15" s="636" t="s">
        <v>64</v>
      </c>
      <c r="V15" s="1920">
        <v>7898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883"/>
      <c r="R16" s="1883"/>
      <c r="S16" s="641"/>
      <c r="T16" s="1912" t="s">
        <v>55</v>
      </c>
      <c r="U16" s="1912"/>
      <c r="V16" s="1925">
        <f>Y12</f>
        <v>310838.07750000001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883"/>
      <c r="R17" s="1883"/>
      <c r="S17" s="638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110579</v>
      </c>
      <c r="C18" s="1919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1920"/>
      <c r="R18" s="1920"/>
      <c r="S18" s="636"/>
      <c r="T18" s="1912" t="s">
        <v>57</v>
      </c>
      <c r="U18" s="1912"/>
      <c r="V18" s="1920">
        <v>88012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294172</v>
      </c>
      <c r="C19" s="1919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918">
        <f t="shared" ref="Q19" si="14">Q15+Q16+Q17-Q18</f>
        <v>0</v>
      </c>
      <c r="R19" s="1919"/>
      <c r="S19" s="636">
        <f>S15+S16-S17-S18</f>
        <v>0</v>
      </c>
      <c r="T19" s="1914" t="s">
        <v>48</v>
      </c>
      <c r="U19" s="49" t="s">
        <v>58</v>
      </c>
      <c r="V19" s="1920">
        <v>400000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283140.55</v>
      </c>
      <c r="C20" s="1945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817924.75</v>
      </c>
      <c r="C21" s="1951"/>
      <c r="O21" s="645"/>
      <c r="P21" s="645"/>
      <c r="Q21" s="645"/>
      <c r="R21" s="645"/>
      <c r="T21" s="1952" t="s">
        <v>366</v>
      </c>
      <c r="U21" s="1953"/>
      <c r="V21" s="1955">
        <v>39000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915974</v>
      </c>
      <c r="D22" s="1949">
        <v>400000</v>
      </c>
      <c r="E22" s="1949"/>
      <c r="F22" s="1949">
        <f>C22-D22+E22</f>
        <v>515974</v>
      </c>
      <c r="G22" s="645"/>
      <c r="Q22" s="645"/>
      <c r="R22" s="645"/>
      <c r="T22" s="1909" t="s">
        <v>83</v>
      </c>
      <c r="U22" s="50" t="s">
        <v>60</v>
      </c>
      <c r="V22" s="1920">
        <v>402690</v>
      </c>
      <c r="W22" s="1920"/>
      <c r="X22" s="1920"/>
      <c r="Y22" s="1927"/>
    </row>
    <row r="23" spans="1:25" ht="39.75" customHeight="1" x14ac:dyDescent="0.25">
      <c r="A23" s="645"/>
      <c r="B23" s="1947"/>
      <c r="C23" s="1950"/>
      <c r="D23" s="1950"/>
      <c r="E23" s="1950"/>
      <c r="F23" s="1950"/>
      <c r="G23" s="645"/>
      <c r="Q23" s="645"/>
      <c r="R23" s="645"/>
      <c r="T23" s="1910"/>
      <c r="U23" s="50" t="s">
        <v>61</v>
      </c>
      <c r="V23" s="1920">
        <v>400000</v>
      </c>
      <c r="W23" s="1920"/>
      <c r="X23" s="1920"/>
      <c r="Y23" s="1927"/>
    </row>
    <row r="24" spans="1:25" ht="48" customHeight="1" x14ac:dyDescent="0.25">
      <c r="A24" s="645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893" t="s">
        <v>47</v>
      </c>
      <c r="U24" s="51" t="s">
        <v>62</v>
      </c>
      <c r="V24" s="1921">
        <f>V14+V16+V17-V18-V19-V20-V22+V23-V21</f>
        <v>2125.077500000014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10588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645"/>
      <c r="J33" s="645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900" t="s">
        <v>374</v>
      </c>
      <c r="U3" s="1900"/>
      <c r="V3" s="1900"/>
      <c r="W3" s="1900"/>
      <c r="X3" s="1900"/>
      <c r="Y3" s="1900"/>
    </row>
    <row r="4" spans="1:25" s="63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635" customFormat="1" ht="25.5" customHeight="1" x14ac:dyDescent="0.25">
      <c r="A5" s="1901"/>
      <c r="B5" s="1901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958"/>
      <c r="R14" s="1959"/>
      <c r="S14" s="644"/>
      <c r="T14" s="1893" t="s">
        <v>46</v>
      </c>
      <c r="U14" s="636" t="s">
        <v>176</v>
      </c>
      <c r="V14" s="1918">
        <v>2125</v>
      </c>
      <c r="W14" s="1926"/>
      <c r="X14" s="1919"/>
    </row>
    <row r="15" spans="1:25" ht="22.5" customHeight="1" x14ac:dyDescent="0.25">
      <c r="A15" s="100" t="s">
        <v>38</v>
      </c>
      <c r="B15" s="1918">
        <v>294172</v>
      </c>
      <c r="C15" s="1919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1918"/>
      <c r="R15" s="1919"/>
      <c r="S15" s="636"/>
      <c r="T15" s="1893"/>
      <c r="U15" s="636" t="s">
        <v>64</v>
      </c>
      <c r="V15" s="1920">
        <v>10588</v>
      </c>
      <c r="W15" s="1920"/>
      <c r="X15" s="1920"/>
    </row>
    <row r="16" spans="1:25" ht="24.75" customHeight="1" x14ac:dyDescent="0.25">
      <c r="A16" s="100" t="s">
        <v>39</v>
      </c>
      <c r="B16" s="1918">
        <v>124675</v>
      </c>
      <c r="C16" s="1919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883"/>
      <c r="R16" s="1883"/>
      <c r="S16" s="641"/>
      <c r="T16" s="1912" t="s">
        <v>55</v>
      </c>
      <c r="U16" s="1912"/>
      <c r="V16" s="1925">
        <f>Y12</f>
        <v>206899.86250000002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883"/>
      <c r="R17" s="1883"/>
      <c r="S17" s="638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120005</v>
      </c>
      <c r="C18" s="1919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1920"/>
      <c r="R18" s="1920"/>
      <c r="S18" s="636"/>
      <c r="T18" s="1912" t="s">
        <v>57</v>
      </c>
      <c r="U18" s="1912"/>
      <c r="V18" s="1920">
        <v>38720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298842</v>
      </c>
      <c r="C19" s="1919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918">
        <f t="shared" ref="Q19" si="14">Q15+Q16+Q17-Q18</f>
        <v>0</v>
      </c>
      <c r="R19" s="1919"/>
      <c r="S19" s="636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287635.42499999999</v>
      </c>
      <c r="C20" s="1945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733465.72499999998</v>
      </c>
      <c r="C21" s="1951"/>
      <c r="O21" s="645"/>
      <c r="P21" s="645"/>
      <c r="Q21" s="645"/>
      <c r="R21" s="645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515974</v>
      </c>
      <c r="D22" s="1949"/>
      <c r="E22" s="1949">
        <v>120000</v>
      </c>
      <c r="F22" s="1949">
        <f>C22-D22+E22</f>
        <v>635974</v>
      </c>
      <c r="G22" s="645"/>
      <c r="Q22" s="645"/>
      <c r="R22" s="645"/>
      <c r="T22" s="1909" t="s">
        <v>83</v>
      </c>
      <c r="U22" s="50" t="s">
        <v>60</v>
      </c>
      <c r="V22" s="1920">
        <v>169680</v>
      </c>
      <c r="W22" s="1920"/>
      <c r="X22" s="1920"/>
      <c r="Y22" s="1927"/>
    </row>
    <row r="23" spans="1:25" ht="39.75" customHeight="1" x14ac:dyDescent="0.25">
      <c r="A23" s="645"/>
      <c r="B23" s="1947"/>
      <c r="C23" s="1950"/>
      <c r="D23" s="1950"/>
      <c r="E23" s="1950"/>
      <c r="F23" s="1950"/>
      <c r="G23" s="645"/>
      <c r="Q23" s="645"/>
      <c r="R23" s="645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645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893" t="s">
        <v>47</v>
      </c>
      <c r="U24" s="51" t="s">
        <v>62</v>
      </c>
      <c r="V24" s="1921">
        <f>V14+V16+V17-V18-V19-V20-V22+V23-V21</f>
        <v>624.86250000001746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180268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645"/>
      <c r="J33" s="645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1900" t="s">
        <v>375</v>
      </c>
      <c r="U3" s="1900"/>
      <c r="V3" s="1900"/>
      <c r="W3" s="1900"/>
      <c r="X3" s="1900"/>
      <c r="Y3" s="1900"/>
    </row>
    <row r="4" spans="1:25" s="64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646" customFormat="1" ht="25.5" customHeight="1" x14ac:dyDescent="0.25">
      <c r="A5" s="1901"/>
      <c r="B5" s="1901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1958"/>
      <c r="R14" s="1959"/>
      <c r="S14" s="655"/>
      <c r="T14" s="1893" t="s">
        <v>46</v>
      </c>
      <c r="U14" s="647" t="s">
        <v>176</v>
      </c>
      <c r="V14" s="1918">
        <v>625</v>
      </c>
      <c r="W14" s="1926"/>
      <c r="X14" s="1919"/>
    </row>
    <row r="15" spans="1:25" ht="22.5" customHeight="1" x14ac:dyDescent="0.25">
      <c r="A15" s="100" t="s">
        <v>38</v>
      </c>
      <c r="B15" s="1918">
        <v>298842</v>
      </c>
      <c r="C15" s="1919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1918"/>
      <c r="R15" s="1919"/>
      <c r="S15" s="647"/>
      <c r="T15" s="1893"/>
      <c r="U15" s="647" t="s">
        <v>64</v>
      </c>
      <c r="V15" s="1920">
        <v>180268</v>
      </c>
      <c r="W15" s="1920"/>
      <c r="X15" s="1920"/>
    </row>
    <row r="16" spans="1:25" ht="24.75" customHeight="1" x14ac:dyDescent="0.25">
      <c r="A16" s="100" t="s">
        <v>39</v>
      </c>
      <c r="B16" s="1918">
        <v>135064</v>
      </c>
      <c r="C16" s="1919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1883"/>
      <c r="R16" s="1883"/>
      <c r="S16" s="652"/>
      <c r="T16" s="1912" t="s">
        <v>55</v>
      </c>
      <c r="U16" s="1912"/>
      <c r="V16" s="1925">
        <f>Y12</f>
        <v>196645.065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1883"/>
      <c r="R17" s="1883"/>
      <c r="S17" s="649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135634</v>
      </c>
      <c r="C18" s="1919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1920"/>
      <c r="R18" s="1920"/>
      <c r="S18" s="647"/>
      <c r="T18" s="1912" t="s">
        <v>57</v>
      </c>
      <c r="U18" s="1912"/>
      <c r="V18" s="1920">
        <v>2370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298272</v>
      </c>
      <c r="C19" s="1919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1918">
        <f t="shared" ref="Q19" si="14">Q15+Q16+Q17-Q18</f>
        <v>0</v>
      </c>
      <c r="R19" s="1919"/>
      <c r="S19" s="647">
        <f>S15+S16-S17-S18</f>
        <v>0</v>
      </c>
      <c r="T19" s="1914" t="s">
        <v>48</v>
      </c>
      <c r="U19" s="49" t="s">
        <v>58</v>
      </c>
      <c r="V19" s="1920">
        <v>120000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287086.8</v>
      </c>
      <c r="C20" s="1945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668585.69999999995</v>
      </c>
      <c r="C21" s="1951"/>
      <c r="O21" s="656"/>
      <c r="P21" s="656"/>
      <c r="Q21" s="656"/>
      <c r="R21" s="656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635974</v>
      </c>
      <c r="D22" s="1949">
        <v>120000</v>
      </c>
      <c r="E22" s="1949">
        <v>130000</v>
      </c>
      <c r="F22" s="1949">
        <f>C22-D22+E22</f>
        <v>645974</v>
      </c>
      <c r="G22" s="656"/>
      <c r="Q22" s="656"/>
      <c r="R22" s="656"/>
      <c r="T22" s="1909" t="s">
        <v>83</v>
      </c>
      <c r="U22" s="50" t="s">
        <v>60</v>
      </c>
      <c r="V22" s="1920">
        <v>193570</v>
      </c>
      <c r="W22" s="1920"/>
      <c r="X22" s="1920"/>
      <c r="Y22" s="1927"/>
    </row>
    <row r="23" spans="1:25" ht="39.75" customHeight="1" x14ac:dyDescent="0.25">
      <c r="A23" s="656"/>
      <c r="B23" s="1947"/>
      <c r="C23" s="1950"/>
      <c r="D23" s="1950"/>
      <c r="E23" s="1950"/>
      <c r="F23" s="1950"/>
      <c r="G23" s="656"/>
      <c r="Q23" s="656"/>
      <c r="R23" s="656"/>
      <c r="T23" s="1910"/>
      <c r="U23" s="50" t="s">
        <v>61</v>
      </c>
      <c r="V23" s="1920">
        <v>120000</v>
      </c>
      <c r="W23" s="1920"/>
      <c r="X23" s="1920"/>
      <c r="Y23" s="1927"/>
    </row>
    <row r="24" spans="1:25" ht="48" customHeight="1" x14ac:dyDescent="0.25">
      <c r="A24" s="656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1893" t="s">
        <v>47</v>
      </c>
      <c r="U24" s="51" t="s">
        <v>62</v>
      </c>
      <c r="V24" s="1921">
        <f>V14+V16+V17-V18-V19-V20-V22+V23-V21</f>
        <v>1330.0650000000023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253838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656"/>
      <c r="J33" s="656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1900" t="s">
        <v>376</v>
      </c>
      <c r="U3" s="1900"/>
      <c r="V3" s="1900"/>
      <c r="W3" s="1900"/>
      <c r="X3" s="1900"/>
      <c r="Y3" s="1900"/>
    </row>
    <row r="4" spans="1:25" s="66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662" customFormat="1" ht="25.5" customHeight="1" x14ac:dyDescent="0.25">
      <c r="A5" s="1901"/>
      <c r="B5" s="1901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1958"/>
      <c r="R14" s="1959"/>
      <c r="S14" s="666"/>
      <c r="T14" s="1893" t="s">
        <v>46</v>
      </c>
      <c r="U14" s="660" t="s">
        <v>176</v>
      </c>
      <c r="V14" s="1918">
        <v>1330</v>
      </c>
      <c r="W14" s="1926"/>
      <c r="X14" s="1919"/>
    </row>
    <row r="15" spans="1:25" ht="22.5" customHeight="1" x14ac:dyDescent="0.25">
      <c r="A15" s="100" t="s">
        <v>38</v>
      </c>
      <c r="B15" s="1918">
        <v>298272</v>
      </c>
      <c r="C15" s="1919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1918"/>
      <c r="R15" s="1919"/>
      <c r="S15" s="660"/>
      <c r="T15" s="1893"/>
      <c r="U15" s="660" t="s">
        <v>64</v>
      </c>
      <c r="V15" s="1920">
        <v>253838</v>
      </c>
      <c r="W15" s="1920"/>
      <c r="X15" s="1920"/>
    </row>
    <row r="16" spans="1:25" ht="24.75" customHeight="1" x14ac:dyDescent="0.25">
      <c r="A16" s="100" t="s">
        <v>39</v>
      </c>
      <c r="B16" s="1918">
        <v>155844</v>
      </c>
      <c r="C16" s="1919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1883"/>
      <c r="R16" s="1883"/>
      <c r="S16" s="663"/>
      <c r="T16" s="1912" t="s">
        <v>55</v>
      </c>
      <c r="U16" s="1912"/>
      <c r="V16" s="1925">
        <f>Y12</f>
        <v>182810.08249999999</v>
      </c>
      <c r="W16" s="1925"/>
      <c r="X16" s="1920"/>
    </row>
    <row r="17" spans="1:25" ht="28.5" customHeight="1" x14ac:dyDescent="0.25">
      <c r="A17" s="101" t="s">
        <v>44</v>
      </c>
      <c r="B17" s="1918">
        <v>14663</v>
      </c>
      <c r="C17" s="1919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1883"/>
      <c r="R17" s="1883"/>
      <c r="S17" s="659"/>
      <c r="T17" s="1952" t="s">
        <v>362</v>
      </c>
      <c r="U17" s="1953"/>
      <c r="V17" s="1954">
        <v>125000</v>
      </c>
      <c r="W17" s="1954"/>
      <c r="X17" s="1954"/>
    </row>
    <row r="18" spans="1:25" ht="27" customHeight="1" x14ac:dyDescent="0.25">
      <c r="A18" s="100" t="s">
        <v>40</v>
      </c>
      <c r="B18" s="1922">
        <f>C12</f>
        <v>154837</v>
      </c>
      <c r="C18" s="1919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1920"/>
      <c r="R18" s="1920"/>
      <c r="S18" s="660"/>
      <c r="T18" s="1912" t="s">
        <v>57</v>
      </c>
      <c r="U18" s="1912"/>
      <c r="V18" s="1920">
        <v>915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313942</v>
      </c>
      <c r="C19" s="1919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1918">
        <f t="shared" ref="Q19" si="14">Q15+Q16+Q17-Q18</f>
        <v>0</v>
      </c>
      <c r="R19" s="1919"/>
      <c r="S19" s="660">
        <f>S15+S16-S17-S18</f>
        <v>0</v>
      </c>
      <c r="T19" s="1914" t="s">
        <v>48</v>
      </c>
      <c r="U19" s="49" t="s">
        <v>58</v>
      </c>
      <c r="V19" s="1920">
        <v>538874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302169.17499999999</v>
      </c>
      <c r="C20" s="1945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944">
        <f>241*Q19</f>
        <v>0</v>
      </c>
      <c r="R20" s="1945"/>
      <c r="S20" s="290">
        <f>241*S19</f>
        <v>0</v>
      </c>
      <c r="T20" s="1915"/>
      <c r="U20" s="49" t="s">
        <v>59</v>
      </c>
      <c r="V20" s="1920">
        <v>9881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682160.36499999999</v>
      </c>
      <c r="C21" s="1951"/>
      <c r="O21" s="667"/>
      <c r="P21" s="667"/>
      <c r="Q21" s="667"/>
      <c r="R21" s="667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645974</v>
      </c>
      <c r="D22" s="1949">
        <v>538874</v>
      </c>
      <c r="E22" s="1949">
        <v>170597</v>
      </c>
      <c r="F22" s="1949">
        <f>C22-D22+E22</f>
        <v>277697</v>
      </c>
      <c r="G22" s="667"/>
      <c r="Q22" s="667"/>
      <c r="R22" s="667"/>
      <c r="T22" s="1909" t="s">
        <v>83</v>
      </c>
      <c r="U22" s="50" t="s">
        <v>60</v>
      </c>
      <c r="V22" s="1920">
        <v>297350</v>
      </c>
      <c r="W22" s="1920"/>
      <c r="X22" s="1920"/>
      <c r="Y22" s="1927"/>
    </row>
    <row r="23" spans="1:25" ht="39.75" customHeight="1" x14ac:dyDescent="0.25">
      <c r="A23" s="667"/>
      <c r="B23" s="1947"/>
      <c r="C23" s="1950"/>
      <c r="D23" s="1950"/>
      <c r="E23" s="1950"/>
      <c r="F23" s="1950"/>
      <c r="G23" s="667"/>
      <c r="Q23" s="667"/>
      <c r="R23" s="667"/>
      <c r="T23" s="1910"/>
      <c r="U23" s="50" t="s">
        <v>61</v>
      </c>
      <c r="V23" s="1920">
        <v>538874</v>
      </c>
      <c r="W23" s="1920"/>
      <c r="X23" s="1920"/>
      <c r="Y23" s="1927"/>
    </row>
    <row r="24" spans="1:25" ht="48" customHeight="1" x14ac:dyDescent="0.25">
      <c r="A24" s="667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1893" t="s">
        <v>47</v>
      </c>
      <c r="U24" s="51" t="s">
        <v>62</v>
      </c>
      <c r="V24" s="1921">
        <f>V14+V16+V17-V18-V19-V20-V22+V23-V21</f>
        <v>994.08250000001863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12314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667"/>
      <c r="J33" s="667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1900" t="s">
        <v>377</v>
      </c>
      <c r="U3" s="1900"/>
      <c r="V3" s="1900"/>
      <c r="W3" s="1900"/>
      <c r="X3" s="1900"/>
      <c r="Y3" s="1900"/>
    </row>
    <row r="4" spans="1:25" s="67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13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673" customFormat="1" ht="25.5" customHeight="1" x14ac:dyDescent="0.25">
      <c r="A5" s="1901"/>
      <c r="B5" s="1901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1958" t="s">
        <v>378</v>
      </c>
      <c r="R14" s="1959"/>
      <c r="S14" s="677"/>
      <c r="T14" s="1893" t="s">
        <v>46</v>
      </c>
      <c r="U14" s="671" t="s">
        <v>176</v>
      </c>
      <c r="V14" s="1918">
        <v>994</v>
      </c>
      <c r="W14" s="1926"/>
      <c r="X14" s="1919"/>
    </row>
    <row r="15" spans="1:25" ht="22.5" customHeight="1" x14ac:dyDescent="0.25">
      <c r="A15" s="100" t="s">
        <v>38</v>
      </c>
      <c r="B15" s="1918">
        <v>313942</v>
      </c>
      <c r="C15" s="1919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1918"/>
      <c r="R15" s="1919"/>
      <c r="S15" s="671"/>
      <c r="T15" s="1893"/>
      <c r="U15" s="671" t="s">
        <v>64</v>
      </c>
      <c r="V15" s="1920">
        <v>12314</v>
      </c>
      <c r="W15" s="1920"/>
      <c r="X15" s="1920"/>
    </row>
    <row r="16" spans="1:25" ht="24.75" customHeight="1" x14ac:dyDescent="0.25">
      <c r="A16" s="100" t="s">
        <v>39</v>
      </c>
      <c r="B16" s="1918">
        <v>256379</v>
      </c>
      <c r="C16" s="1919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1883">
        <v>100</v>
      </c>
      <c r="R16" s="1883"/>
      <c r="S16" s="674"/>
      <c r="T16" s="1912" t="s">
        <v>55</v>
      </c>
      <c r="U16" s="1912"/>
      <c r="V16" s="1925">
        <f>Y12</f>
        <v>357148.92749999999</v>
      </c>
      <c r="W16" s="1925"/>
      <c r="X16" s="1920"/>
    </row>
    <row r="17" spans="1:25" ht="28.5" customHeight="1" x14ac:dyDescent="0.25">
      <c r="A17" s="101" t="s">
        <v>44</v>
      </c>
      <c r="B17" s="1918">
        <v>94221</v>
      </c>
      <c r="C17" s="1919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1883"/>
      <c r="R17" s="1883"/>
      <c r="S17" s="670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218439</v>
      </c>
      <c r="C18" s="1919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1920"/>
      <c r="R18" s="1920"/>
      <c r="S18" s="671"/>
      <c r="T18" s="1912" t="s">
        <v>57</v>
      </c>
      <c r="U18" s="1912"/>
      <c r="V18" s="1920">
        <v>105320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446103</v>
      </c>
      <c r="C19" s="1919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1918">
        <f t="shared" ref="Q19" si="14">Q15+Q16+Q17-Q18</f>
        <v>100</v>
      </c>
      <c r="R19" s="1919"/>
      <c r="S19" s="671">
        <f>S15+S16-S17-S18</f>
        <v>0</v>
      </c>
      <c r="T19" s="1914" t="s">
        <v>48</v>
      </c>
      <c r="U19" s="49" t="s">
        <v>58</v>
      </c>
      <c r="V19" s="1920">
        <v>170597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429374.13750000001</v>
      </c>
      <c r="C20" s="1945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944">
        <f>341*Q19</f>
        <v>34100</v>
      </c>
      <c r="R20" s="1945"/>
      <c r="S20" s="290">
        <f>241*S19</f>
        <v>0</v>
      </c>
      <c r="T20" s="1915"/>
      <c r="U20" s="49" t="s">
        <v>59</v>
      </c>
      <c r="V20" s="1920">
        <v>36500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854622.62749999994</v>
      </c>
      <c r="C21" s="1951"/>
      <c r="O21" s="678"/>
      <c r="P21" s="678"/>
      <c r="Q21" s="678"/>
      <c r="R21" s="678"/>
      <c r="T21" s="1952" t="s">
        <v>366</v>
      </c>
      <c r="U21" s="1953"/>
      <c r="V21" s="1955">
        <v>50000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277697</v>
      </c>
      <c r="D22" s="1949">
        <v>170597</v>
      </c>
      <c r="E22" s="1949">
        <v>400000</v>
      </c>
      <c r="F22" s="1949">
        <f>C22-D22+E22</f>
        <v>507100</v>
      </c>
      <c r="G22" s="678"/>
      <c r="Q22" s="678"/>
      <c r="R22" s="678"/>
      <c r="T22" s="1909" t="s">
        <v>83</v>
      </c>
      <c r="U22" s="50" t="s">
        <v>60</v>
      </c>
      <c r="V22" s="1920">
        <v>165940</v>
      </c>
      <c r="W22" s="1920"/>
      <c r="X22" s="1920"/>
      <c r="Y22" s="1927"/>
    </row>
    <row r="23" spans="1:25" ht="39.75" customHeight="1" x14ac:dyDescent="0.25">
      <c r="A23" s="678"/>
      <c r="B23" s="1947"/>
      <c r="C23" s="1950"/>
      <c r="D23" s="1950"/>
      <c r="E23" s="1950"/>
      <c r="F23" s="1950"/>
      <c r="G23" s="678"/>
      <c r="Q23" s="678"/>
      <c r="R23" s="678"/>
      <c r="T23" s="1910"/>
      <c r="U23" s="50" t="s">
        <v>61</v>
      </c>
      <c r="V23" s="1920">
        <v>170597</v>
      </c>
      <c r="W23" s="1920"/>
      <c r="X23" s="1920"/>
      <c r="Y23" s="1927"/>
    </row>
    <row r="24" spans="1:25" ht="48" customHeight="1" x14ac:dyDescent="0.25">
      <c r="A24" s="678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1893" t="s">
        <v>47</v>
      </c>
      <c r="U24" s="51" t="s">
        <v>62</v>
      </c>
      <c r="V24" s="1921">
        <f>V14+V16+V17-V18-V19-V20-V22+V23-V21</f>
        <v>382.92749999999069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7657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678"/>
      <c r="J33" s="678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1900" t="s">
        <v>379</v>
      </c>
      <c r="U3" s="1900"/>
      <c r="V3" s="1900"/>
      <c r="W3" s="1900"/>
      <c r="X3" s="1900"/>
      <c r="Y3" s="1900"/>
    </row>
    <row r="4" spans="1:25" s="67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679" customFormat="1" ht="25.5" customHeight="1" x14ac:dyDescent="0.25">
      <c r="A5" s="1901"/>
      <c r="B5" s="1901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1958" t="s">
        <v>378</v>
      </c>
      <c r="R14" s="1959"/>
      <c r="S14" s="688"/>
      <c r="T14" s="1893" t="s">
        <v>46</v>
      </c>
      <c r="U14" s="680" t="s">
        <v>176</v>
      </c>
      <c r="V14" s="1918">
        <v>383</v>
      </c>
      <c r="W14" s="1926"/>
      <c r="X14" s="1919"/>
    </row>
    <row r="15" spans="1:25" ht="22.5" customHeight="1" x14ac:dyDescent="0.25">
      <c r="A15" s="100" t="s">
        <v>38</v>
      </c>
      <c r="B15" s="1918">
        <v>446103</v>
      </c>
      <c r="C15" s="1919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1918">
        <v>100</v>
      </c>
      <c r="R15" s="1919"/>
      <c r="S15" s="680"/>
      <c r="T15" s="1893"/>
      <c r="U15" s="680" t="s">
        <v>64</v>
      </c>
      <c r="V15" s="1920">
        <v>7657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1883"/>
      <c r="R16" s="1883"/>
      <c r="S16" s="685"/>
      <c r="T16" s="1912" t="s">
        <v>55</v>
      </c>
      <c r="U16" s="1912"/>
      <c r="V16" s="1925">
        <f>Y12</f>
        <v>253468.66500000001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1883"/>
      <c r="R17" s="1883"/>
      <c r="S17" s="682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111202</v>
      </c>
      <c r="C18" s="1919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1920"/>
      <c r="R18" s="1920"/>
      <c r="S18" s="680"/>
      <c r="T18" s="1912" t="s">
        <v>57</v>
      </c>
      <c r="U18" s="1912"/>
      <c r="V18" s="1920">
        <v>852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334901</v>
      </c>
      <c r="C19" s="1919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1918">
        <f t="shared" ref="Q19" si="14">Q15+Q16+Q17-Q18</f>
        <v>100</v>
      </c>
      <c r="R19" s="1919"/>
      <c r="S19" s="680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322342.21250000002</v>
      </c>
      <c r="C20" s="1945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944">
        <f>341*Q19</f>
        <v>34100</v>
      </c>
      <c r="R20" s="1945"/>
      <c r="S20" s="290">
        <f>241*S19</f>
        <v>0</v>
      </c>
      <c r="T20" s="1915"/>
      <c r="U20" s="49" t="s">
        <v>59</v>
      </c>
      <c r="V20" s="1920">
        <v>13968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617610.38250000007</v>
      </c>
      <c r="C21" s="1951"/>
      <c r="O21" s="689"/>
      <c r="P21" s="689"/>
      <c r="Q21" s="689"/>
      <c r="R21" s="689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507100</v>
      </c>
      <c r="D22" s="1949"/>
      <c r="E22" s="1949">
        <v>13</v>
      </c>
      <c r="F22" s="1949">
        <f>C22-D22+E22</f>
        <v>507113</v>
      </c>
      <c r="G22" s="689"/>
      <c r="Q22" s="689"/>
      <c r="R22" s="689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689"/>
      <c r="B23" s="1947"/>
      <c r="C23" s="1950"/>
      <c r="D23" s="1950"/>
      <c r="E23" s="1950"/>
      <c r="F23" s="1950"/>
      <c r="G23" s="689"/>
      <c r="Q23" s="689"/>
      <c r="R23" s="689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689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1893" t="s">
        <v>47</v>
      </c>
      <c r="U24" s="51" t="s">
        <v>62</v>
      </c>
      <c r="V24" s="1921">
        <f>V14+V16+V17-V18-V19-V20-V22+V23-V21</f>
        <v>239031.66500000001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7657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689"/>
      <c r="J33" s="689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900" t="s">
        <v>380</v>
      </c>
      <c r="U3" s="1900"/>
      <c r="V3" s="1900"/>
      <c r="W3" s="1900"/>
      <c r="X3" s="1900"/>
      <c r="Y3" s="1900"/>
    </row>
    <row r="4" spans="1:25" s="69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695" customFormat="1" ht="25.5" customHeight="1" x14ac:dyDescent="0.25">
      <c r="A5" s="1901"/>
      <c r="B5" s="1901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958" t="s">
        <v>378</v>
      </c>
      <c r="R14" s="1959"/>
      <c r="S14" s="699"/>
      <c r="T14" s="1893" t="s">
        <v>46</v>
      </c>
      <c r="U14" s="693" t="s">
        <v>176</v>
      </c>
      <c r="V14" s="1918">
        <v>239032</v>
      </c>
      <c r="W14" s="1926"/>
      <c r="X14" s="1919"/>
    </row>
    <row r="15" spans="1:25" ht="22.5" customHeight="1" x14ac:dyDescent="0.25">
      <c r="A15" s="100" t="s">
        <v>38</v>
      </c>
      <c r="B15" s="1918">
        <v>334901</v>
      </c>
      <c r="C15" s="1919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918">
        <v>100</v>
      </c>
      <c r="R15" s="1919"/>
      <c r="S15" s="693"/>
      <c r="T15" s="1893"/>
      <c r="U15" s="693" t="s">
        <v>64</v>
      </c>
      <c r="V15" s="1920">
        <v>7657</v>
      </c>
      <c r="W15" s="1920"/>
      <c r="X15" s="1920"/>
    </row>
    <row r="16" spans="1:25" ht="24.75" customHeight="1" x14ac:dyDescent="0.25">
      <c r="A16" s="100" t="s">
        <v>39</v>
      </c>
      <c r="B16" s="1918">
        <v>88311</v>
      </c>
      <c r="C16" s="1919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883"/>
      <c r="R16" s="1883"/>
      <c r="S16" s="696"/>
      <c r="T16" s="1912" t="s">
        <v>55</v>
      </c>
      <c r="U16" s="1912"/>
      <c r="V16" s="1925">
        <f>Y12</f>
        <v>193802.3075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883"/>
      <c r="R17" s="1883"/>
      <c r="S17" s="692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130959</v>
      </c>
      <c r="C18" s="1919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920"/>
      <c r="R18" s="1920"/>
      <c r="S18" s="693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292253</v>
      </c>
      <c r="C19" s="1919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918">
        <f t="shared" ref="Q19" si="14">Q15+Q16+Q17-Q18</f>
        <v>100</v>
      </c>
      <c r="R19" s="1919"/>
      <c r="S19" s="693">
        <f>S15+S16-S17-S18</f>
        <v>0</v>
      </c>
      <c r="T19" s="1914" t="s">
        <v>48</v>
      </c>
      <c r="U19" s="49" t="s">
        <v>58</v>
      </c>
      <c r="V19" s="1920">
        <v>431250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281293.51250000001</v>
      </c>
      <c r="C20" s="1945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944">
        <f>341*Q19</f>
        <v>34100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936821.70250000001</v>
      </c>
      <c r="C21" s="1951"/>
      <c r="O21" s="700"/>
      <c r="P21" s="700"/>
      <c r="Q21" s="700"/>
      <c r="R21" s="700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507113</v>
      </c>
      <c r="D22" s="1949">
        <v>431250</v>
      </c>
      <c r="E22" s="1949">
        <v>510930</v>
      </c>
      <c r="F22" s="1949">
        <f>C22-D22+E22</f>
        <v>586793</v>
      </c>
      <c r="G22" s="700"/>
      <c r="Q22" s="700"/>
      <c r="R22" s="700"/>
      <c r="T22" s="1909" t="s">
        <v>83</v>
      </c>
      <c r="U22" s="50" t="s">
        <v>60</v>
      </c>
      <c r="V22" s="1920">
        <v>430870</v>
      </c>
      <c r="W22" s="1920"/>
      <c r="X22" s="1920"/>
      <c r="Y22" s="1927"/>
    </row>
    <row r="23" spans="1:25" ht="39.75" customHeight="1" x14ac:dyDescent="0.25">
      <c r="A23" s="700"/>
      <c r="B23" s="1947"/>
      <c r="C23" s="1950"/>
      <c r="D23" s="1950"/>
      <c r="E23" s="1950"/>
      <c r="F23" s="1950"/>
      <c r="G23" s="700"/>
      <c r="Q23" s="700"/>
      <c r="R23" s="700"/>
      <c r="T23" s="1910"/>
      <c r="U23" s="50" t="s">
        <v>61</v>
      </c>
      <c r="V23" s="1920">
        <v>431250</v>
      </c>
      <c r="W23" s="1920"/>
      <c r="X23" s="1920"/>
      <c r="Y23" s="1927"/>
    </row>
    <row r="24" spans="1:25" ht="48" customHeight="1" x14ac:dyDescent="0.25">
      <c r="A24" s="700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893" t="s">
        <v>47</v>
      </c>
      <c r="U24" s="51" t="s">
        <v>62</v>
      </c>
      <c r="V24" s="1921">
        <f>V14+V16+V17-V18-V19-V20-V22+V23-V21</f>
        <v>1444.3074999999953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7277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700"/>
      <c r="J33" s="700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77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900" t="s">
        <v>381</v>
      </c>
      <c r="U3" s="1900"/>
      <c r="V3" s="1900"/>
      <c r="W3" s="1900"/>
      <c r="X3" s="1900"/>
      <c r="Y3" s="1900"/>
    </row>
    <row r="4" spans="1:25" s="69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695" customFormat="1" ht="25.5" customHeight="1" x14ac:dyDescent="0.25">
      <c r="A5" s="1901"/>
      <c r="B5" s="1901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958" t="s">
        <v>378</v>
      </c>
      <c r="R14" s="1959"/>
      <c r="S14" s="699"/>
      <c r="T14" s="1893" t="s">
        <v>46</v>
      </c>
      <c r="U14" s="693" t="s">
        <v>176</v>
      </c>
      <c r="V14" s="1918">
        <v>1444</v>
      </c>
      <c r="W14" s="1926"/>
      <c r="X14" s="1919"/>
    </row>
    <row r="15" spans="1:25" ht="22.5" customHeight="1" x14ac:dyDescent="0.25">
      <c r="A15" s="100" t="s">
        <v>38</v>
      </c>
      <c r="B15" s="1918">
        <v>292253</v>
      </c>
      <c r="C15" s="1919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918">
        <v>100</v>
      </c>
      <c r="R15" s="1919"/>
      <c r="S15" s="693"/>
      <c r="T15" s="1893"/>
      <c r="U15" s="693" t="s">
        <v>64</v>
      </c>
      <c r="V15" s="1920">
        <v>7277</v>
      </c>
      <c r="W15" s="1920"/>
      <c r="X15" s="1920"/>
    </row>
    <row r="16" spans="1:25" ht="24.75" customHeight="1" x14ac:dyDescent="0.25">
      <c r="A16" s="100" t="s">
        <v>39</v>
      </c>
      <c r="B16" s="1918">
        <v>15584</v>
      </c>
      <c r="C16" s="1919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883"/>
      <c r="R16" s="1883"/>
      <c r="S16" s="696"/>
      <c r="T16" s="1912" t="s">
        <v>55</v>
      </c>
      <c r="U16" s="1912"/>
      <c r="V16" s="1925">
        <f>Y12</f>
        <v>140165.0275</v>
      </c>
      <c r="W16" s="1925"/>
      <c r="X16" s="1920"/>
    </row>
    <row r="17" spans="1:25" ht="28.5" customHeight="1" x14ac:dyDescent="0.25">
      <c r="A17" s="101" t="s">
        <v>44</v>
      </c>
      <c r="B17" s="1918">
        <v>113029</v>
      </c>
      <c r="C17" s="1919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883"/>
      <c r="R17" s="1883"/>
      <c r="S17" s="692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125999</v>
      </c>
      <c r="C18" s="1919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920"/>
      <c r="R18" s="1920"/>
      <c r="S18" s="693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294867</v>
      </c>
      <c r="C19" s="1919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918">
        <f t="shared" ref="Q19" si="14">Q15+Q16+Q17-Q18</f>
        <v>100</v>
      </c>
      <c r="R19" s="1919"/>
      <c r="S19" s="693">
        <f>S15+S16-S17-S18</f>
        <v>0</v>
      </c>
      <c r="T19" s="1914" t="s">
        <v>48</v>
      </c>
      <c r="U19" s="49" t="s">
        <v>58</v>
      </c>
      <c r="V19" s="1920">
        <v>138850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283809.48749999999</v>
      </c>
      <c r="C20" s="1945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944">
        <f>341*Q19</f>
        <v>34100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921753.47750000004</v>
      </c>
      <c r="C21" s="1951"/>
      <c r="O21" s="700"/>
      <c r="P21" s="700"/>
      <c r="Q21" s="700"/>
      <c r="R21" s="700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586793</v>
      </c>
      <c r="D22" s="1949">
        <v>138850</v>
      </c>
      <c r="E22" s="1949">
        <v>15000</v>
      </c>
      <c r="F22" s="1949">
        <f>C22-D22+E22</f>
        <v>462943</v>
      </c>
      <c r="G22" s="700"/>
      <c r="Q22" s="700"/>
      <c r="R22" s="700"/>
      <c r="T22" s="1909" t="s">
        <v>83</v>
      </c>
      <c r="U22" s="50" t="s">
        <v>60</v>
      </c>
      <c r="V22" s="1920">
        <v>137955</v>
      </c>
      <c r="W22" s="1920"/>
      <c r="X22" s="1920"/>
      <c r="Y22" s="1927"/>
    </row>
    <row r="23" spans="1:25" ht="39.75" customHeight="1" x14ac:dyDescent="0.25">
      <c r="A23" s="700"/>
      <c r="B23" s="1947"/>
      <c r="C23" s="1950"/>
      <c r="D23" s="1950"/>
      <c r="E23" s="1950"/>
      <c r="F23" s="1950"/>
      <c r="G23" s="700"/>
      <c r="Q23" s="700"/>
      <c r="R23" s="700"/>
      <c r="T23" s="1910"/>
      <c r="U23" s="50" t="s">
        <v>61</v>
      </c>
      <c r="V23" s="1920">
        <v>138850</v>
      </c>
      <c r="W23" s="1920"/>
      <c r="X23" s="1920"/>
      <c r="Y23" s="1927"/>
    </row>
    <row r="24" spans="1:25" ht="48" customHeight="1" x14ac:dyDescent="0.25">
      <c r="A24" s="700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893" t="s">
        <v>47</v>
      </c>
      <c r="U24" s="51" t="s">
        <v>62</v>
      </c>
      <c r="V24" s="1921">
        <f>V14+V16+V17-V18-V19-V20-V22+V23-V21</f>
        <v>3134.0274999999965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6382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700"/>
      <c r="J33" s="700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900" t="s">
        <v>382</v>
      </c>
      <c r="U3" s="1900"/>
      <c r="V3" s="1900"/>
      <c r="W3" s="1900"/>
      <c r="X3" s="1900"/>
      <c r="Y3" s="1900"/>
    </row>
    <row r="4" spans="1:25" s="69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695" customFormat="1" ht="25.5" customHeight="1" x14ac:dyDescent="0.25">
      <c r="A5" s="1901"/>
      <c r="B5" s="1901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958" t="s">
        <v>378</v>
      </c>
      <c r="R14" s="1959"/>
      <c r="S14" s="699"/>
      <c r="T14" s="1893" t="s">
        <v>46</v>
      </c>
      <c r="U14" s="693" t="s">
        <v>176</v>
      </c>
      <c r="V14" s="1918">
        <v>3134</v>
      </c>
      <c r="W14" s="1926"/>
      <c r="X14" s="1919"/>
    </row>
    <row r="15" spans="1:25" ht="22.5" customHeight="1" x14ac:dyDescent="0.25">
      <c r="A15" s="100" t="s">
        <v>38</v>
      </c>
      <c r="B15" s="1918">
        <v>294867</v>
      </c>
      <c r="C15" s="1919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918">
        <v>100</v>
      </c>
      <c r="R15" s="1919"/>
      <c r="S15" s="693"/>
      <c r="T15" s="1893"/>
      <c r="U15" s="693" t="s">
        <v>64</v>
      </c>
      <c r="V15" s="1920">
        <v>6382</v>
      </c>
      <c r="W15" s="1920"/>
      <c r="X15" s="1920"/>
    </row>
    <row r="16" spans="1:25" ht="24.75" customHeight="1" x14ac:dyDescent="0.25">
      <c r="A16" s="100" t="s">
        <v>39</v>
      </c>
      <c r="B16" s="1918">
        <v>311688</v>
      </c>
      <c r="C16" s="1919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1883"/>
      <c r="R16" s="1883"/>
      <c r="S16" s="696"/>
      <c r="T16" s="1912" t="s">
        <v>55</v>
      </c>
      <c r="U16" s="1912"/>
      <c r="V16" s="1925">
        <f>Y12</f>
        <v>272551.2525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883"/>
      <c r="R17" s="1883"/>
      <c r="S17" s="692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133209</v>
      </c>
      <c r="C18" s="1919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1920"/>
      <c r="R18" s="1920"/>
      <c r="S18" s="693"/>
      <c r="T18" s="1912" t="s">
        <v>57</v>
      </c>
      <c r="U18" s="1912"/>
      <c r="V18" s="1920">
        <v>91870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473346</v>
      </c>
      <c r="C19" s="1919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918">
        <f t="shared" ref="Q19" si="14">Q15+Q16+Q17-Q18</f>
        <v>100</v>
      </c>
      <c r="R19" s="1919"/>
      <c r="S19" s="693">
        <f>S15+S16-S17-S18</f>
        <v>0</v>
      </c>
      <c r="T19" s="1914" t="s">
        <v>48</v>
      </c>
      <c r="U19" s="49" t="s">
        <v>58</v>
      </c>
      <c r="V19" s="1920">
        <v>37000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455595.52500000002</v>
      </c>
      <c r="C20" s="1945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341*Q19</f>
        <v>34100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1021344.4650000001</v>
      </c>
      <c r="C21" s="1951"/>
      <c r="O21" s="700"/>
      <c r="P21" s="700"/>
      <c r="Q21" s="700"/>
      <c r="R21" s="700"/>
      <c r="T21" s="1952" t="s">
        <v>384</v>
      </c>
      <c r="U21" s="1953"/>
      <c r="V21" s="1955">
        <v>75000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462943</v>
      </c>
      <c r="D22" s="1949">
        <v>37000</v>
      </c>
      <c r="E22" s="1949">
        <v>369842</v>
      </c>
      <c r="F22" s="1949">
        <f>C22-D22+E22</f>
        <v>795785</v>
      </c>
      <c r="G22" s="700"/>
      <c r="Q22" s="700"/>
      <c r="R22" s="700"/>
      <c r="T22" s="1909" t="s">
        <v>83</v>
      </c>
      <c r="U22" s="50" t="s">
        <v>60</v>
      </c>
      <c r="V22" s="1920">
        <v>136740</v>
      </c>
      <c r="W22" s="1920"/>
      <c r="X22" s="1920"/>
      <c r="Y22" s="1927"/>
    </row>
    <row r="23" spans="1:25" ht="39.75" customHeight="1" x14ac:dyDescent="0.25">
      <c r="A23" s="700"/>
      <c r="B23" s="1947"/>
      <c r="C23" s="1950"/>
      <c r="D23" s="1950"/>
      <c r="E23" s="1950"/>
      <c r="F23" s="1950"/>
      <c r="G23" s="700"/>
      <c r="Q23" s="700"/>
      <c r="R23" s="700"/>
      <c r="T23" s="1910"/>
      <c r="U23" s="50" t="s">
        <v>61</v>
      </c>
      <c r="V23" s="1920">
        <v>130000</v>
      </c>
      <c r="W23" s="1920"/>
      <c r="X23" s="1920"/>
      <c r="Y23" s="1927"/>
    </row>
    <row r="24" spans="1:25" ht="48" customHeight="1" x14ac:dyDescent="0.25">
      <c r="A24" s="700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893" t="s">
        <v>47</v>
      </c>
      <c r="U24" s="51" t="s">
        <v>62</v>
      </c>
      <c r="V24" s="1921">
        <f>V14+V16+V17-V18-V19-V20-V22+V23-V21</f>
        <v>65075.252500000002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13122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700"/>
      <c r="J33" s="700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900" t="s">
        <v>385</v>
      </c>
      <c r="U3" s="1900"/>
      <c r="V3" s="1900"/>
      <c r="W3" s="1900"/>
      <c r="X3" s="1900"/>
      <c r="Y3" s="1900"/>
    </row>
    <row r="4" spans="1:25" s="69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695" customFormat="1" ht="25.5" customHeight="1" x14ac:dyDescent="0.25">
      <c r="A5" s="1901"/>
      <c r="B5" s="1901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958" t="s">
        <v>378</v>
      </c>
      <c r="R14" s="1959"/>
      <c r="S14" s="699"/>
      <c r="T14" s="1893" t="s">
        <v>46</v>
      </c>
      <c r="U14" s="693" t="s">
        <v>176</v>
      </c>
      <c r="V14" s="1918">
        <v>65075</v>
      </c>
      <c r="W14" s="1926"/>
      <c r="X14" s="1919"/>
    </row>
    <row r="15" spans="1:25" ht="22.5" customHeight="1" x14ac:dyDescent="0.25">
      <c r="A15" s="100" t="s">
        <v>38</v>
      </c>
      <c r="B15" s="1918">
        <v>473346</v>
      </c>
      <c r="C15" s="1919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1918">
        <v>100</v>
      </c>
      <c r="R15" s="1919"/>
      <c r="S15" s="693"/>
      <c r="T15" s="1893"/>
      <c r="U15" s="693" t="s">
        <v>64</v>
      </c>
      <c r="V15" s="1920">
        <v>13122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883"/>
      <c r="R16" s="1883"/>
      <c r="S16" s="696"/>
      <c r="T16" s="1912" t="s">
        <v>55</v>
      </c>
      <c r="U16" s="1912"/>
      <c r="V16" s="1925">
        <f>Y12</f>
        <v>385826.52250000008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883"/>
      <c r="R17" s="1883"/>
      <c r="S17" s="692"/>
      <c r="T17" s="1952" t="s">
        <v>387</v>
      </c>
      <c r="U17" s="1953"/>
      <c r="V17" s="1954">
        <v>6000</v>
      </c>
      <c r="W17" s="1954"/>
      <c r="X17" s="1954"/>
    </row>
    <row r="18" spans="1:25" ht="27" customHeight="1" x14ac:dyDescent="0.25">
      <c r="A18" s="100" t="s">
        <v>40</v>
      </c>
      <c r="B18" s="1922">
        <f>C12</f>
        <v>198061</v>
      </c>
      <c r="C18" s="1919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920"/>
      <c r="R18" s="1920"/>
      <c r="S18" s="693"/>
      <c r="T18" s="1912" t="s">
        <v>57</v>
      </c>
      <c r="U18" s="1912"/>
      <c r="V18" s="1920">
        <v>4390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275285</v>
      </c>
      <c r="C19" s="1919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918">
        <f t="shared" ref="Q19" si="14">Q15+Q16+Q17-Q18</f>
        <v>100</v>
      </c>
      <c r="R19" s="1919"/>
      <c r="S19" s="693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264961.8125</v>
      </c>
      <c r="C20" s="1945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341*Q19</f>
        <v>34100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639205.9325</v>
      </c>
      <c r="C21" s="1951"/>
      <c r="O21" s="700"/>
      <c r="P21" s="700"/>
      <c r="Q21" s="700"/>
      <c r="R21" s="700"/>
      <c r="T21" s="1952" t="s">
        <v>386</v>
      </c>
      <c r="U21" s="1953"/>
      <c r="V21" s="1955">
        <v>6000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795785</v>
      </c>
      <c r="D22" s="1949"/>
      <c r="E22" s="1949"/>
      <c r="F22" s="1949">
        <f>C22-D22+E22</f>
        <v>795785</v>
      </c>
      <c r="G22" s="700"/>
      <c r="Q22" s="700"/>
      <c r="R22" s="700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700"/>
      <c r="B23" s="1947"/>
      <c r="C23" s="1950"/>
      <c r="D23" s="1950"/>
      <c r="E23" s="1950"/>
      <c r="F23" s="1950"/>
      <c r="G23" s="700"/>
      <c r="Q23" s="700"/>
      <c r="R23" s="700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700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893" t="s">
        <v>47</v>
      </c>
      <c r="U24" s="51" t="s">
        <v>62</v>
      </c>
      <c r="V24" s="1921">
        <f>V14+V16+V17-V18-V19-V20-V22+V23-V21</f>
        <v>446511.52250000008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13122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700"/>
      <c r="J33" s="700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1900" t="s">
        <v>388</v>
      </c>
      <c r="U3" s="1900"/>
      <c r="V3" s="1900"/>
      <c r="W3" s="1900"/>
      <c r="X3" s="1900"/>
      <c r="Y3" s="1900"/>
    </row>
    <row r="4" spans="1:25" s="701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701" customFormat="1" ht="25.5" customHeight="1" x14ac:dyDescent="0.25">
      <c r="A5" s="1901"/>
      <c r="B5" s="1901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1958" t="s">
        <v>378</v>
      </c>
      <c r="R14" s="1959"/>
      <c r="S14" s="710"/>
      <c r="T14" s="1893" t="s">
        <v>46</v>
      </c>
      <c r="U14" s="702" t="s">
        <v>176</v>
      </c>
      <c r="V14" s="1918">
        <v>446512</v>
      </c>
      <c r="W14" s="1926"/>
      <c r="X14" s="1919"/>
    </row>
    <row r="15" spans="1:25" ht="22.5" customHeight="1" x14ac:dyDescent="0.25">
      <c r="A15" s="100" t="s">
        <v>38</v>
      </c>
      <c r="B15" s="1918">
        <v>275285</v>
      </c>
      <c r="C15" s="1919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1918">
        <v>100</v>
      </c>
      <c r="R15" s="1919"/>
      <c r="S15" s="702"/>
      <c r="T15" s="1893"/>
      <c r="U15" s="702" t="s">
        <v>64</v>
      </c>
      <c r="V15" s="1920">
        <v>13122</v>
      </c>
      <c r="W15" s="1920"/>
      <c r="X15" s="1920"/>
    </row>
    <row r="16" spans="1:25" ht="24.75" customHeight="1" x14ac:dyDescent="0.25">
      <c r="A16" s="100" t="s">
        <v>39</v>
      </c>
      <c r="B16" s="1918">
        <v>353246</v>
      </c>
      <c r="C16" s="1919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1883"/>
      <c r="R16" s="1883"/>
      <c r="S16" s="707"/>
      <c r="T16" s="1912" t="s">
        <v>55</v>
      </c>
      <c r="U16" s="1912"/>
      <c r="V16" s="1925">
        <f>Y12</f>
        <v>210327.74250000002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1883"/>
      <c r="R17" s="1883"/>
      <c r="S17" s="704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157173</v>
      </c>
      <c r="C18" s="1919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1920"/>
      <c r="R18" s="1920"/>
      <c r="S18" s="702"/>
      <c r="T18" s="1912" t="s">
        <v>57</v>
      </c>
      <c r="U18" s="1912"/>
      <c r="V18" s="1920">
        <v>1566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471358</v>
      </c>
      <c r="C19" s="1919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1918">
        <f t="shared" ref="Q19" si="14">Q15+Q16+Q17-Q18</f>
        <v>100</v>
      </c>
      <c r="R19" s="1919"/>
      <c r="S19" s="702">
        <f>S15+S16-S17-S18</f>
        <v>0</v>
      </c>
      <c r="T19" s="1914" t="s">
        <v>48</v>
      </c>
      <c r="U19" s="49" t="s">
        <v>58</v>
      </c>
      <c r="V19" s="1920">
        <v>369842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453682.07500000001</v>
      </c>
      <c r="C20" s="1945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341*Q19</f>
        <v>34100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776887.82299999997</v>
      </c>
      <c r="C21" s="1951"/>
      <c r="O21" s="711"/>
      <c r="P21" s="711"/>
      <c r="Q21" s="711"/>
      <c r="R21" s="711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795785</v>
      </c>
      <c r="D22" s="1949">
        <v>369842</v>
      </c>
      <c r="E22" s="1949">
        <v>345867</v>
      </c>
      <c r="F22" s="1949">
        <f>C22-D22+E22</f>
        <v>771810</v>
      </c>
      <c r="G22" s="711"/>
      <c r="Q22" s="711"/>
      <c r="R22" s="711"/>
      <c r="T22" s="1909" t="s">
        <v>83</v>
      </c>
      <c r="U22" s="50" t="s">
        <v>60</v>
      </c>
      <c r="V22" s="1920">
        <v>636200</v>
      </c>
      <c r="W22" s="1920"/>
      <c r="X22" s="1920"/>
      <c r="Y22" s="1927"/>
    </row>
    <row r="23" spans="1:25" ht="39.75" customHeight="1" x14ac:dyDescent="0.25">
      <c r="A23" s="711"/>
      <c r="B23" s="1947"/>
      <c r="C23" s="1950"/>
      <c r="D23" s="1950"/>
      <c r="E23" s="1950"/>
      <c r="F23" s="1950"/>
      <c r="G23" s="711"/>
      <c r="Q23" s="711"/>
      <c r="R23" s="711"/>
      <c r="T23" s="1910"/>
      <c r="U23" s="50" t="s">
        <v>61</v>
      </c>
      <c r="V23" s="1920">
        <v>369842</v>
      </c>
      <c r="W23" s="1920"/>
      <c r="X23" s="1920"/>
      <c r="Y23" s="1927"/>
    </row>
    <row r="24" spans="1:25" ht="48" customHeight="1" x14ac:dyDescent="0.25">
      <c r="A24" s="711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1893" t="s">
        <v>47</v>
      </c>
      <c r="U24" s="51" t="s">
        <v>62</v>
      </c>
      <c r="V24" s="1921">
        <f>V14+V16+V17-V18-V19-V20-V22+V23-V21</f>
        <v>19073.742500000051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279480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711"/>
      <c r="J33" s="711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1900" t="s">
        <v>389</v>
      </c>
      <c r="U3" s="1900"/>
      <c r="V3" s="1900"/>
      <c r="W3" s="1900"/>
      <c r="X3" s="1900"/>
      <c r="Y3" s="1900"/>
    </row>
    <row r="4" spans="1:25" s="71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717" customFormat="1" ht="25.5" customHeight="1" x14ac:dyDescent="0.25">
      <c r="A5" s="1901"/>
      <c r="B5" s="1901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1958" t="s">
        <v>378</v>
      </c>
      <c r="R14" s="1959"/>
      <c r="S14" s="721"/>
      <c r="T14" s="1893" t="s">
        <v>46</v>
      </c>
      <c r="U14" s="715" t="s">
        <v>176</v>
      </c>
      <c r="V14" s="1918">
        <v>19074</v>
      </c>
      <c r="W14" s="1926"/>
      <c r="X14" s="1919"/>
    </row>
    <row r="15" spans="1:25" ht="22.5" customHeight="1" x14ac:dyDescent="0.25">
      <c r="A15" s="100" t="s">
        <v>38</v>
      </c>
      <c r="B15" s="1918">
        <v>471358</v>
      </c>
      <c r="C15" s="1919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1918">
        <v>100</v>
      </c>
      <c r="R15" s="1919"/>
      <c r="S15" s="715"/>
      <c r="T15" s="1893"/>
      <c r="U15" s="715" t="s">
        <v>64</v>
      </c>
      <c r="V15" s="1920">
        <v>279480</v>
      </c>
      <c r="W15" s="1920"/>
      <c r="X15" s="1920"/>
    </row>
    <row r="16" spans="1:25" ht="24.75" customHeight="1" x14ac:dyDescent="0.25">
      <c r="A16" s="100" t="s">
        <v>39</v>
      </c>
      <c r="B16" s="1918">
        <v>385000</v>
      </c>
      <c r="C16" s="1919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1883"/>
      <c r="R16" s="1883"/>
      <c r="S16" s="718"/>
      <c r="T16" s="1912" t="s">
        <v>55</v>
      </c>
      <c r="U16" s="1912"/>
      <c r="V16" s="1925">
        <f>Y12</f>
        <v>506174.58350000007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1883"/>
      <c r="R17" s="1883"/>
      <c r="S17" s="714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369655</v>
      </c>
      <c r="C18" s="1919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1920"/>
      <c r="R18" s="1920"/>
      <c r="S18" s="715"/>
      <c r="T18" s="1912" t="s">
        <v>57</v>
      </c>
      <c r="U18" s="1912"/>
      <c r="V18" s="1920">
        <v>1320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486703</v>
      </c>
      <c r="C19" s="1919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1918">
        <f t="shared" ref="Q19" si="14">Q15+Q16+Q17-Q18</f>
        <v>100</v>
      </c>
      <c r="R19" s="1919"/>
      <c r="S19" s="715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468451.63750000001</v>
      </c>
      <c r="C20" s="1945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341*Q19</f>
        <v>34100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929242.26150000002</v>
      </c>
      <c r="C21" s="1951"/>
      <c r="O21" s="722"/>
      <c r="P21" s="722"/>
      <c r="Q21" s="722"/>
      <c r="R21" s="722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771810</v>
      </c>
      <c r="D22" s="1949"/>
      <c r="E22" s="1949">
        <v>653315</v>
      </c>
      <c r="F22" s="1949">
        <f>C22-D22+E22</f>
        <v>1425125</v>
      </c>
      <c r="G22" s="722"/>
      <c r="Q22" s="722"/>
      <c r="R22" s="722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722"/>
      <c r="B23" s="1947"/>
      <c r="C23" s="1950"/>
      <c r="D23" s="1950"/>
      <c r="E23" s="1950"/>
      <c r="F23" s="1950"/>
      <c r="G23" s="722"/>
      <c r="Q23" s="722"/>
      <c r="R23" s="722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722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1893" t="s">
        <v>47</v>
      </c>
      <c r="U24" s="51" t="s">
        <v>62</v>
      </c>
      <c r="V24" s="1921">
        <f>V14+V16+V17-V18-V19-V20-V22+V23-V21</f>
        <v>523928.58350000007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279480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722"/>
      <c r="J33" s="722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1900" t="s">
        <v>390</v>
      </c>
      <c r="U3" s="1900"/>
      <c r="V3" s="1900"/>
      <c r="W3" s="1900"/>
      <c r="X3" s="1900"/>
      <c r="Y3" s="1900"/>
    </row>
    <row r="4" spans="1:25" s="72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723" customFormat="1" ht="25.5" customHeight="1" x14ac:dyDescent="0.25">
      <c r="A5" s="1901"/>
      <c r="B5" s="1901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1958" t="s">
        <v>378</v>
      </c>
      <c r="R14" s="1959"/>
      <c r="S14" s="732"/>
      <c r="T14" s="1893" t="s">
        <v>46</v>
      </c>
      <c r="U14" s="724" t="s">
        <v>176</v>
      </c>
      <c r="V14" s="1918">
        <v>523929</v>
      </c>
      <c r="W14" s="1926"/>
      <c r="X14" s="1919"/>
    </row>
    <row r="15" spans="1:25" ht="22.5" customHeight="1" x14ac:dyDescent="0.25">
      <c r="A15" s="100" t="s">
        <v>38</v>
      </c>
      <c r="B15" s="1918">
        <v>486703</v>
      </c>
      <c r="C15" s="1919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1918">
        <v>100</v>
      </c>
      <c r="R15" s="1919"/>
      <c r="S15" s="724"/>
      <c r="T15" s="1893"/>
      <c r="U15" s="724" t="s">
        <v>64</v>
      </c>
      <c r="V15" s="1920">
        <v>279480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1883"/>
      <c r="R16" s="1883"/>
      <c r="S16" s="729"/>
      <c r="T16" s="1912" t="s">
        <v>55</v>
      </c>
      <c r="U16" s="1912"/>
      <c r="V16" s="1925">
        <f>Y12</f>
        <v>119068.37700000001</v>
      </c>
      <c r="W16" s="1925"/>
      <c r="X16" s="1920"/>
    </row>
    <row r="17" spans="1:25" ht="28.5" customHeight="1" x14ac:dyDescent="0.25">
      <c r="A17" s="101" t="s">
        <v>44</v>
      </c>
      <c r="B17" s="1918">
        <v>1553</v>
      </c>
      <c r="C17" s="1919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1883"/>
      <c r="R17" s="1883"/>
      <c r="S17" s="726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90978</v>
      </c>
      <c r="C18" s="1919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1920"/>
      <c r="R18" s="1920"/>
      <c r="S18" s="724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397278</v>
      </c>
      <c r="C19" s="1919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1918">
        <f t="shared" ref="Q19" si="14">Q15+Q16+Q17-Q18</f>
        <v>100</v>
      </c>
      <c r="R19" s="1919"/>
      <c r="S19" s="724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382380.07500000001</v>
      </c>
      <c r="C20" s="1945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341*Q19</f>
        <v>34100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812903.027</v>
      </c>
      <c r="C21" s="1951"/>
      <c r="O21" s="733"/>
      <c r="P21" s="733"/>
      <c r="Q21" s="733"/>
      <c r="R21" s="733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1425125</v>
      </c>
      <c r="D22" s="1949"/>
      <c r="E22" s="1949"/>
      <c r="F22" s="1949">
        <f>C22-D22+E22</f>
        <v>1425125</v>
      </c>
      <c r="G22" s="733"/>
      <c r="Q22" s="733"/>
      <c r="R22" s="733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733"/>
      <c r="B23" s="1947"/>
      <c r="C23" s="1950"/>
      <c r="D23" s="1950"/>
      <c r="E23" s="1950"/>
      <c r="F23" s="1950"/>
      <c r="G23" s="733"/>
      <c r="Q23" s="733"/>
      <c r="R23" s="733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733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1893" t="s">
        <v>47</v>
      </c>
      <c r="U24" s="51" t="s">
        <v>62</v>
      </c>
      <c r="V24" s="1921">
        <f>V14+V16+V17-V18-V19-V20-V22+V23-V21</f>
        <v>642477.37699999998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279480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733"/>
      <c r="J33" s="733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1900" t="s">
        <v>391</v>
      </c>
      <c r="U3" s="1900"/>
      <c r="V3" s="1900"/>
      <c r="W3" s="1900"/>
      <c r="X3" s="1900"/>
      <c r="Y3" s="1900"/>
    </row>
    <row r="4" spans="1:25" s="73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739" customFormat="1" ht="25.5" customHeight="1" x14ac:dyDescent="0.25">
      <c r="A5" s="1901"/>
      <c r="B5" s="1901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1958" t="s">
        <v>378</v>
      </c>
      <c r="R14" s="1959"/>
      <c r="S14" s="743"/>
      <c r="T14" s="1893" t="s">
        <v>46</v>
      </c>
      <c r="U14" s="737" t="s">
        <v>176</v>
      </c>
      <c r="V14" s="1918">
        <v>642477</v>
      </c>
      <c r="W14" s="1926"/>
      <c r="X14" s="1919"/>
    </row>
    <row r="15" spans="1:25" ht="22.5" customHeight="1" x14ac:dyDescent="0.25">
      <c r="A15" s="100" t="s">
        <v>38</v>
      </c>
      <c r="B15" s="1918">
        <v>397278</v>
      </c>
      <c r="C15" s="1919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1918">
        <v>100</v>
      </c>
      <c r="R15" s="1919"/>
      <c r="S15" s="737"/>
      <c r="T15" s="1893"/>
      <c r="U15" s="737" t="s">
        <v>64</v>
      </c>
      <c r="V15" s="1920">
        <v>279480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1883"/>
      <c r="R16" s="1883"/>
      <c r="S16" s="740"/>
      <c r="T16" s="1912" t="s">
        <v>55</v>
      </c>
      <c r="U16" s="1912"/>
      <c r="V16" s="1925">
        <f>Y12</f>
        <v>146881.929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1883"/>
      <c r="R17" s="1883"/>
      <c r="S17" s="736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140002</v>
      </c>
      <c r="C18" s="1919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1920"/>
      <c r="R18" s="1920"/>
      <c r="S18" s="737"/>
      <c r="T18" s="1912" t="s">
        <v>57</v>
      </c>
      <c r="U18" s="1912"/>
      <c r="V18" s="1920">
        <v>1250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257276</v>
      </c>
      <c r="C19" s="1919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1918">
        <f t="shared" ref="Q19" si="14">Q15+Q16+Q17-Q18</f>
        <v>100</v>
      </c>
      <c r="R19" s="1919"/>
      <c r="S19" s="737">
        <f>S15+S16-S17-S18</f>
        <v>0</v>
      </c>
      <c r="T19" s="1914" t="s">
        <v>48</v>
      </c>
      <c r="U19" s="49" t="s">
        <v>58</v>
      </c>
      <c r="V19" s="1920">
        <v>780000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247628.15</v>
      </c>
      <c r="C20" s="1945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341*Q19</f>
        <v>34100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667535.11800000002</v>
      </c>
      <c r="C21" s="1951"/>
      <c r="O21" s="744"/>
      <c r="P21" s="744"/>
      <c r="Q21" s="744"/>
      <c r="R21" s="744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1425125</v>
      </c>
      <c r="D22" s="1949">
        <v>780000</v>
      </c>
      <c r="E22" s="1949"/>
      <c r="F22" s="1949">
        <f>C22-D22+E22</f>
        <v>645125</v>
      </c>
      <c r="G22" s="744"/>
      <c r="Q22" s="744"/>
      <c r="R22" s="744"/>
      <c r="T22" s="1909" t="s">
        <v>83</v>
      </c>
      <c r="U22" s="50" t="s">
        <v>60</v>
      </c>
      <c r="V22" s="1920">
        <v>780000</v>
      </c>
      <c r="W22" s="1920"/>
      <c r="X22" s="1920"/>
      <c r="Y22" s="1927"/>
    </row>
    <row r="23" spans="1:25" ht="39.75" customHeight="1" x14ac:dyDescent="0.25">
      <c r="A23" s="744"/>
      <c r="B23" s="1947"/>
      <c r="C23" s="1950"/>
      <c r="D23" s="1950"/>
      <c r="E23" s="1950"/>
      <c r="F23" s="1950"/>
      <c r="G23" s="744"/>
      <c r="Q23" s="744"/>
      <c r="R23" s="744"/>
      <c r="T23" s="1910"/>
      <c r="U23" s="50" t="s">
        <v>61</v>
      </c>
      <c r="V23" s="1920">
        <v>780000</v>
      </c>
      <c r="W23" s="1920"/>
      <c r="X23" s="1920"/>
      <c r="Y23" s="1927"/>
    </row>
    <row r="24" spans="1:25" ht="48" customHeight="1" x14ac:dyDescent="0.25">
      <c r="A24" s="744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1893" t="s">
        <v>47</v>
      </c>
      <c r="U24" s="51" t="s">
        <v>62</v>
      </c>
      <c r="V24" s="1921">
        <f>V14+V16+V17-V18-V19-V20-V22+V23-V21</f>
        <v>8108.9290000000037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279480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744"/>
      <c r="J33" s="744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1900" t="s">
        <v>392</v>
      </c>
      <c r="U3" s="1900"/>
      <c r="V3" s="1900"/>
      <c r="W3" s="1900"/>
      <c r="X3" s="1900"/>
      <c r="Y3" s="1900"/>
    </row>
    <row r="4" spans="1:25" s="74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745" customFormat="1" ht="25.5" customHeight="1" x14ac:dyDescent="0.25">
      <c r="A5" s="1901"/>
      <c r="B5" s="1901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1958" t="s">
        <v>378</v>
      </c>
      <c r="R14" s="1959"/>
      <c r="S14" s="754"/>
      <c r="T14" s="1893" t="s">
        <v>46</v>
      </c>
      <c r="U14" s="746" t="s">
        <v>176</v>
      </c>
      <c r="V14" s="1918">
        <v>8109</v>
      </c>
      <c r="W14" s="1926"/>
      <c r="X14" s="1919"/>
    </row>
    <row r="15" spans="1:25" ht="22.5" customHeight="1" x14ac:dyDescent="0.25">
      <c r="A15" s="100" t="s">
        <v>38</v>
      </c>
      <c r="B15" s="1918">
        <v>257276</v>
      </c>
      <c r="C15" s="1919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1918">
        <v>100</v>
      </c>
      <c r="R15" s="1919"/>
      <c r="S15" s="746"/>
      <c r="T15" s="1893"/>
      <c r="U15" s="746" t="s">
        <v>64</v>
      </c>
      <c r="V15" s="1920">
        <v>279480</v>
      </c>
      <c r="W15" s="1920"/>
      <c r="X15" s="1920"/>
    </row>
    <row r="16" spans="1:25" ht="24.75" customHeight="1" x14ac:dyDescent="0.25">
      <c r="A16" s="100" t="s">
        <v>39</v>
      </c>
      <c r="B16" s="1918">
        <v>369818</v>
      </c>
      <c r="C16" s="1919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1883"/>
      <c r="R16" s="1883"/>
      <c r="S16" s="751"/>
      <c r="T16" s="1912" t="s">
        <v>55</v>
      </c>
      <c r="U16" s="1912"/>
      <c r="V16" s="1925">
        <f>Y12</f>
        <v>144214.9425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1883"/>
      <c r="R17" s="1883"/>
      <c r="S17" s="748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148293</v>
      </c>
      <c r="C18" s="1919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1920"/>
      <c r="R18" s="1920"/>
      <c r="S18" s="746"/>
      <c r="T18" s="1912" t="s">
        <v>57</v>
      </c>
      <c r="U18" s="1912"/>
      <c r="V18" s="1920">
        <v>940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478801</v>
      </c>
      <c r="C19" s="1919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1918">
        <f t="shared" ref="Q19" si="14">Q15+Q16+Q17-Q18</f>
        <v>100</v>
      </c>
      <c r="R19" s="1919"/>
      <c r="S19" s="746">
        <f>S15+S16-S17-S18</f>
        <v>0</v>
      </c>
      <c r="T19" s="1914" t="s">
        <v>48</v>
      </c>
      <c r="U19" s="49" t="s">
        <v>58</v>
      </c>
      <c r="V19" s="1920">
        <v>370475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460845.96250000002</v>
      </c>
      <c r="C20" s="1945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1944">
        <f>341*Q19</f>
        <v>34100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924802.93050000002</v>
      </c>
      <c r="C21" s="1951"/>
      <c r="O21" s="755"/>
      <c r="P21" s="755"/>
      <c r="Q21" s="755"/>
      <c r="R21" s="755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645125</v>
      </c>
      <c r="D22" s="1949">
        <v>370475</v>
      </c>
      <c r="E22" s="1949">
        <v>400000</v>
      </c>
      <c r="F22" s="1949">
        <f>C22-D22+E22</f>
        <v>674650</v>
      </c>
      <c r="G22" s="755"/>
      <c r="Q22" s="755"/>
      <c r="R22" s="755"/>
      <c r="T22" s="1909" t="s">
        <v>83</v>
      </c>
      <c r="U22" s="50" t="s">
        <v>60</v>
      </c>
      <c r="V22" s="1920">
        <v>100475</v>
      </c>
      <c r="W22" s="1920"/>
      <c r="X22" s="1920"/>
      <c r="Y22" s="1927"/>
    </row>
    <row r="23" spans="1:25" ht="39.75" customHeight="1" x14ac:dyDescent="0.25">
      <c r="A23" s="755"/>
      <c r="B23" s="1947"/>
      <c r="C23" s="1950"/>
      <c r="D23" s="1950"/>
      <c r="E23" s="1950"/>
      <c r="F23" s="1950"/>
      <c r="G23" s="755"/>
      <c r="Q23" s="755"/>
      <c r="R23" s="755"/>
      <c r="T23" s="1910"/>
      <c r="U23" s="50" t="s">
        <v>61</v>
      </c>
      <c r="V23" s="1920">
        <v>370475</v>
      </c>
      <c r="W23" s="1920"/>
      <c r="X23" s="1920"/>
      <c r="Y23" s="1927"/>
    </row>
    <row r="24" spans="1:25" ht="48" customHeight="1" x14ac:dyDescent="0.25">
      <c r="A24" s="755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1893" t="s">
        <v>47</v>
      </c>
      <c r="U24" s="51" t="s">
        <v>62</v>
      </c>
      <c r="V24" s="1921">
        <f>V14+V16+V17-V18-V19-V20-V22+V23-V21</f>
        <v>50908.942500000005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9480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755"/>
      <c r="J33" s="755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900" t="s">
        <v>394</v>
      </c>
      <c r="U3" s="1900"/>
      <c r="V3" s="1900"/>
      <c r="W3" s="1900"/>
      <c r="X3" s="1900"/>
      <c r="Y3" s="1900"/>
    </row>
    <row r="4" spans="1:25" s="75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395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756" customFormat="1" ht="25.5" customHeight="1" x14ac:dyDescent="0.25">
      <c r="A5" s="1901"/>
      <c r="B5" s="1901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958" t="s">
        <v>378</v>
      </c>
      <c r="R14" s="1959"/>
      <c r="S14" s="765"/>
      <c r="T14" s="1893" t="s">
        <v>46</v>
      </c>
      <c r="U14" s="757" t="s">
        <v>176</v>
      </c>
      <c r="V14" s="1918">
        <v>50909</v>
      </c>
      <c r="W14" s="1926"/>
      <c r="X14" s="1919"/>
    </row>
    <row r="15" spans="1:25" ht="22.5" customHeight="1" x14ac:dyDescent="0.25">
      <c r="A15" s="100" t="s">
        <v>38</v>
      </c>
      <c r="B15" s="1918">
        <v>478801</v>
      </c>
      <c r="C15" s="1919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1918">
        <v>100</v>
      </c>
      <c r="R15" s="1919"/>
      <c r="S15" s="757"/>
      <c r="T15" s="1893"/>
      <c r="U15" s="757" t="s">
        <v>64</v>
      </c>
      <c r="V15" s="1920">
        <v>9480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883"/>
      <c r="R16" s="1883"/>
      <c r="S16" s="762"/>
      <c r="T16" s="1912" t="s">
        <v>55</v>
      </c>
      <c r="U16" s="1912"/>
      <c r="V16" s="1925">
        <f>Y12</f>
        <v>342061.12300000002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883"/>
      <c r="R17" s="1883"/>
      <c r="S17" s="759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108870</v>
      </c>
      <c r="C18" s="1919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1920"/>
      <c r="R18" s="1920"/>
      <c r="S18" s="757"/>
      <c r="T18" s="1912" t="s">
        <v>57</v>
      </c>
      <c r="U18" s="1912"/>
      <c r="V18" s="1920">
        <v>620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369931</v>
      </c>
      <c r="C19" s="1919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1918">
        <f t="shared" ref="Q19" si="14">Q15+Q16+Q17-Q18</f>
        <v>100</v>
      </c>
      <c r="R19" s="1919"/>
      <c r="S19" s="757">
        <f>S15+S16-S17-S18</f>
        <v>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356058.58750000002</v>
      </c>
      <c r="C20" s="1945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1944">
        <f>341*Q19</f>
        <v>34100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586245.8075</v>
      </c>
      <c r="C21" s="1951"/>
      <c r="O21" s="766"/>
      <c r="P21" s="766"/>
      <c r="Q21" s="766"/>
      <c r="R21" s="766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674650</v>
      </c>
      <c r="D22" s="1949"/>
      <c r="E22" s="1949"/>
      <c r="F22" s="1949">
        <f>C22-D22+E22</f>
        <v>674650</v>
      </c>
      <c r="G22" s="766"/>
      <c r="Q22" s="766"/>
      <c r="R22" s="766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766"/>
      <c r="B23" s="1947"/>
      <c r="C23" s="1950"/>
      <c r="D23" s="1950"/>
      <c r="E23" s="1950"/>
      <c r="F23" s="1950"/>
      <c r="G23" s="766"/>
      <c r="Q23" s="766"/>
      <c r="R23" s="766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766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893" t="s">
        <v>47</v>
      </c>
      <c r="U24" s="51" t="s">
        <v>62</v>
      </c>
      <c r="V24" s="1921">
        <f>V14+V16+V17-V18-V19-V20-V22+V23-V21</f>
        <v>392350.12300000002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9480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766"/>
      <c r="J33" s="766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900" t="s">
        <v>396</v>
      </c>
      <c r="U3" s="1900"/>
      <c r="V3" s="1900"/>
      <c r="W3" s="1900"/>
      <c r="X3" s="1900"/>
      <c r="Y3" s="1900"/>
    </row>
    <row r="4" spans="1:25" s="75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395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756" customFormat="1" ht="25.5" customHeight="1" x14ac:dyDescent="0.25">
      <c r="A5" s="1901"/>
      <c r="B5" s="1901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958" t="s">
        <v>378</v>
      </c>
      <c r="R14" s="1959"/>
      <c r="S14" s="765"/>
      <c r="T14" s="1893" t="s">
        <v>46</v>
      </c>
      <c r="U14" s="757" t="s">
        <v>176</v>
      </c>
      <c r="V14" s="1918">
        <v>392350</v>
      </c>
      <c r="W14" s="1926"/>
      <c r="X14" s="1919"/>
    </row>
    <row r="15" spans="1:25" ht="22.5" customHeight="1" x14ac:dyDescent="0.25">
      <c r="A15" s="100" t="s">
        <v>38</v>
      </c>
      <c r="B15" s="1918">
        <v>369931</v>
      </c>
      <c r="C15" s="1919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1918">
        <v>100</v>
      </c>
      <c r="R15" s="1919"/>
      <c r="S15" s="757"/>
      <c r="T15" s="1893"/>
      <c r="U15" s="757" t="s">
        <v>64</v>
      </c>
      <c r="V15" s="1920">
        <v>9480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883"/>
      <c r="R16" s="1883"/>
      <c r="S16" s="762"/>
      <c r="T16" s="1912" t="s">
        <v>55</v>
      </c>
      <c r="U16" s="1912"/>
      <c r="V16" s="1925">
        <f>Y12</f>
        <v>207271.28250000003</v>
      </c>
      <c r="W16" s="1925"/>
      <c r="X16" s="1920"/>
    </row>
    <row r="17" spans="1:25" ht="28.5" customHeight="1" x14ac:dyDescent="0.25">
      <c r="A17" s="101" t="s">
        <v>44</v>
      </c>
      <c r="B17" s="1918">
        <v>282</v>
      </c>
      <c r="C17" s="1919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883"/>
      <c r="R17" s="1883"/>
      <c r="S17" s="759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121117</v>
      </c>
      <c r="C18" s="1919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1920"/>
      <c r="R18" s="1920"/>
      <c r="S18" s="757"/>
      <c r="T18" s="1912" t="s">
        <v>57</v>
      </c>
      <c r="U18" s="1912"/>
      <c r="V18" s="1920">
        <v>2470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249096</v>
      </c>
      <c r="C19" s="1919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1918">
        <f t="shared" ref="Q19" si="14">Q15+Q16+Q17-Q18</f>
        <v>100</v>
      </c>
      <c r="R19" s="1919"/>
      <c r="S19" s="757">
        <f>S15+S16-S17-S18</f>
        <v>0</v>
      </c>
      <c r="T19" s="1914" t="s">
        <v>48</v>
      </c>
      <c r="U19" s="49" t="s">
        <v>58</v>
      </c>
      <c r="V19" s="1920">
        <v>570000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239754.9</v>
      </c>
      <c r="C20" s="1945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944">
        <f>341*Q19</f>
        <v>34100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381374.82</v>
      </c>
      <c r="C21" s="1951"/>
      <c r="O21" s="766"/>
      <c r="P21" s="766"/>
      <c r="Q21" s="766"/>
      <c r="R21" s="766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674650</v>
      </c>
      <c r="D22" s="1949">
        <v>570000</v>
      </c>
      <c r="E22" s="1949"/>
      <c r="F22" s="1949">
        <f>C22-D22+E22</f>
        <v>104650</v>
      </c>
      <c r="G22" s="766"/>
      <c r="Q22" s="766"/>
      <c r="R22" s="766"/>
      <c r="T22" s="1909" t="s">
        <v>83</v>
      </c>
      <c r="U22" s="50" t="s">
        <v>60</v>
      </c>
      <c r="V22" s="1920">
        <v>569860</v>
      </c>
      <c r="W22" s="1920"/>
      <c r="X22" s="1920"/>
      <c r="Y22" s="1927"/>
    </row>
    <row r="23" spans="1:25" ht="39.75" customHeight="1" x14ac:dyDescent="0.25">
      <c r="A23" s="766"/>
      <c r="B23" s="1947"/>
      <c r="C23" s="1950"/>
      <c r="D23" s="1950"/>
      <c r="E23" s="1950"/>
      <c r="F23" s="1950"/>
      <c r="G23" s="766"/>
      <c r="Q23" s="766"/>
      <c r="R23" s="766"/>
      <c r="T23" s="1910"/>
      <c r="U23" s="50" t="s">
        <v>61</v>
      </c>
      <c r="V23" s="1920">
        <v>570000</v>
      </c>
      <c r="W23" s="1920"/>
      <c r="X23" s="1920"/>
      <c r="Y23" s="1927"/>
    </row>
    <row r="24" spans="1:25" ht="48" customHeight="1" x14ac:dyDescent="0.25">
      <c r="A24" s="766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893" t="s">
        <v>47</v>
      </c>
      <c r="U24" s="51" t="s">
        <v>62</v>
      </c>
      <c r="V24" s="1921">
        <f>V14+V16+V17-V18-V19-V20-V22+V23-V21</f>
        <v>27291.282499999972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9340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766"/>
      <c r="J33" s="766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900" t="s">
        <v>398</v>
      </c>
      <c r="U3" s="1900"/>
      <c r="V3" s="1900"/>
      <c r="W3" s="1900"/>
      <c r="X3" s="1900"/>
      <c r="Y3" s="1900"/>
    </row>
    <row r="4" spans="1:25" s="77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395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772" customFormat="1" ht="25.5" customHeight="1" x14ac:dyDescent="0.25">
      <c r="A5" s="1901"/>
      <c r="B5" s="1901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958" t="s">
        <v>378</v>
      </c>
      <c r="R14" s="1959"/>
      <c r="S14" s="776"/>
      <c r="T14" s="1893" t="s">
        <v>46</v>
      </c>
      <c r="U14" s="770" t="s">
        <v>176</v>
      </c>
      <c r="V14" s="1918">
        <v>27291</v>
      </c>
      <c r="W14" s="1926"/>
      <c r="X14" s="1919"/>
    </row>
    <row r="15" spans="1:25" ht="22.5" customHeight="1" x14ac:dyDescent="0.25">
      <c r="A15" s="100" t="s">
        <v>38</v>
      </c>
      <c r="B15" s="1918">
        <v>249096</v>
      </c>
      <c r="C15" s="1919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918">
        <v>100</v>
      </c>
      <c r="R15" s="1919"/>
      <c r="S15" s="770"/>
      <c r="T15" s="1893"/>
      <c r="U15" s="770" t="s">
        <v>64</v>
      </c>
      <c r="V15" s="1920">
        <v>9340</v>
      </c>
      <c r="W15" s="1920"/>
      <c r="X15" s="1920"/>
    </row>
    <row r="16" spans="1:25" ht="24.75" customHeight="1" x14ac:dyDescent="0.25">
      <c r="A16" s="100" t="s">
        <v>39</v>
      </c>
      <c r="B16" s="1918">
        <v>206190</v>
      </c>
      <c r="C16" s="1919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1883"/>
      <c r="R16" s="1883"/>
      <c r="S16" s="773"/>
      <c r="T16" s="1912" t="s">
        <v>55</v>
      </c>
      <c r="U16" s="1912"/>
      <c r="V16" s="1925">
        <f>Y12</f>
        <v>153413.82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883"/>
      <c r="R17" s="1883"/>
      <c r="S17" s="769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157752</v>
      </c>
      <c r="C18" s="1919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920"/>
      <c r="R18" s="1920"/>
      <c r="S18" s="770"/>
      <c r="T18" s="1912" t="s">
        <v>57</v>
      </c>
      <c r="U18" s="1912"/>
      <c r="V18" s="1920">
        <v>1415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297534</v>
      </c>
      <c r="C19" s="1919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918">
        <f t="shared" ref="Q19" si="14">Q15+Q16+Q17-Q18</f>
        <v>100</v>
      </c>
      <c r="R19" s="1919"/>
      <c r="S19" s="770">
        <f>S15+S16-S17-S18</f>
        <v>0</v>
      </c>
      <c r="T19" s="1914" t="s">
        <v>48</v>
      </c>
      <c r="U19" s="49" t="s">
        <v>58</v>
      </c>
      <c r="V19" s="1920">
        <v>104650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286376.47500000003</v>
      </c>
      <c r="C20" s="1945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944">
        <f>341*Q19</f>
        <v>34100</v>
      </c>
      <c r="R20" s="1945"/>
      <c r="S20" s="290">
        <f>241*S19</f>
        <v>0</v>
      </c>
      <c r="T20" s="1915"/>
      <c r="U20" s="49" t="s">
        <v>59</v>
      </c>
      <c r="V20" s="1920">
        <v>51400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680938.39500000002</v>
      </c>
      <c r="C21" s="1951"/>
      <c r="O21" s="777"/>
      <c r="P21" s="777"/>
      <c r="Q21" s="777"/>
      <c r="R21" s="777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104650</v>
      </c>
      <c r="D22" s="1949">
        <v>104650</v>
      </c>
      <c r="E22" s="1949">
        <v>400000</v>
      </c>
      <c r="F22" s="1949">
        <f>C22-D22+E22</f>
        <v>400000</v>
      </c>
      <c r="G22" s="777"/>
      <c r="Q22" s="777"/>
      <c r="R22" s="777"/>
      <c r="T22" s="1909" t="s">
        <v>83</v>
      </c>
      <c r="U22" s="50" t="s">
        <v>60</v>
      </c>
      <c r="V22" s="1920">
        <v>156100</v>
      </c>
      <c r="W22" s="1920"/>
      <c r="X22" s="1920"/>
      <c r="Y22" s="1927"/>
    </row>
    <row r="23" spans="1:25" ht="39.75" customHeight="1" x14ac:dyDescent="0.25">
      <c r="A23" s="777"/>
      <c r="B23" s="1947"/>
      <c r="C23" s="1950"/>
      <c r="D23" s="1950"/>
      <c r="E23" s="1950"/>
      <c r="F23" s="1950"/>
      <c r="G23" s="777"/>
      <c r="Q23" s="777"/>
      <c r="R23" s="777"/>
      <c r="T23" s="1910"/>
      <c r="U23" s="50" t="s">
        <v>61</v>
      </c>
      <c r="V23" s="1920">
        <v>156050</v>
      </c>
      <c r="W23" s="1920"/>
      <c r="X23" s="1920"/>
      <c r="Y23" s="1927"/>
    </row>
    <row r="24" spans="1:25" ht="48" customHeight="1" x14ac:dyDescent="0.25">
      <c r="A24" s="777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893" t="s">
        <v>47</v>
      </c>
      <c r="U24" s="51" t="s">
        <v>62</v>
      </c>
      <c r="V24" s="1921">
        <f>V14+V16+V17-V18-V19-V20-V22+V23-V21</f>
        <v>23189.820000000007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9390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777"/>
      <c r="J33" s="777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900" t="s">
        <v>397</v>
      </c>
      <c r="U3" s="1900"/>
      <c r="V3" s="1900"/>
      <c r="W3" s="1900"/>
      <c r="X3" s="1900"/>
      <c r="Y3" s="1900"/>
    </row>
    <row r="4" spans="1:25" s="77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395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772" customFormat="1" ht="25.5" customHeight="1" x14ac:dyDescent="0.25">
      <c r="A5" s="1901"/>
      <c r="B5" s="1901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958" t="s">
        <v>378</v>
      </c>
      <c r="R14" s="1959"/>
      <c r="S14" s="776"/>
      <c r="T14" s="1893" t="s">
        <v>46</v>
      </c>
      <c r="U14" s="770" t="s">
        <v>176</v>
      </c>
      <c r="V14" s="1918">
        <v>23190</v>
      </c>
      <c r="W14" s="1926"/>
      <c r="X14" s="1919"/>
    </row>
    <row r="15" spans="1:25" ht="22.5" customHeight="1" x14ac:dyDescent="0.25">
      <c r="A15" s="100" t="s">
        <v>38</v>
      </c>
      <c r="B15" s="1918">
        <v>297534</v>
      </c>
      <c r="C15" s="1919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918">
        <v>100</v>
      </c>
      <c r="R15" s="1919"/>
      <c r="S15" s="770"/>
      <c r="T15" s="1893"/>
      <c r="U15" s="770" t="s">
        <v>64</v>
      </c>
      <c r="V15" s="1920">
        <v>9390</v>
      </c>
      <c r="W15" s="1920"/>
      <c r="X15" s="1920"/>
    </row>
    <row r="16" spans="1:25" ht="24.75" customHeight="1" x14ac:dyDescent="0.25">
      <c r="A16" s="100" t="s">
        <v>39</v>
      </c>
      <c r="B16" s="1918">
        <v>179740</v>
      </c>
      <c r="C16" s="1919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1883"/>
      <c r="R16" s="1883"/>
      <c r="S16" s="773"/>
      <c r="T16" s="1912" t="s">
        <v>55</v>
      </c>
      <c r="U16" s="1912"/>
      <c r="V16" s="1925">
        <f>Y12</f>
        <v>172340.61499999999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883"/>
      <c r="R17" s="1883"/>
      <c r="S17" s="769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177214</v>
      </c>
      <c r="C18" s="1919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920"/>
      <c r="R18" s="1920"/>
      <c r="S18" s="770"/>
      <c r="T18" s="1912" t="s">
        <v>57</v>
      </c>
      <c r="U18" s="1912"/>
      <c r="V18" s="1920">
        <v>720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300060</v>
      </c>
      <c r="C19" s="1919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918">
        <f t="shared" ref="Q19" si="14">Q15+Q16+Q17-Q18</f>
        <v>100</v>
      </c>
      <c r="R19" s="1919"/>
      <c r="S19" s="770">
        <f>S15+S16-S17-S18</f>
        <v>0</v>
      </c>
      <c r="T19" s="1914" t="s">
        <v>48</v>
      </c>
      <c r="U19" s="49" t="s">
        <v>58</v>
      </c>
      <c r="V19" s="1920">
        <v>173000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288807.75</v>
      </c>
      <c r="C20" s="1945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944">
        <f>341*Q19</f>
        <v>34100</v>
      </c>
      <c r="R20" s="1945"/>
      <c r="S20" s="290">
        <f>241*S19</f>
        <v>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683369.66999999993</v>
      </c>
      <c r="C21" s="1951"/>
      <c r="O21" s="777"/>
      <c r="P21" s="777"/>
      <c r="Q21" s="777"/>
      <c r="R21" s="777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>
        <v>173000</v>
      </c>
      <c r="E22" s="1949">
        <v>173000</v>
      </c>
      <c r="F22" s="1949">
        <f>C22-D22+E22</f>
        <v>400000</v>
      </c>
      <c r="G22" s="777"/>
      <c r="Q22" s="777"/>
      <c r="R22" s="777"/>
      <c r="T22" s="1909" t="s">
        <v>83</v>
      </c>
      <c r="U22" s="50" t="s">
        <v>60</v>
      </c>
      <c r="V22" s="1920">
        <v>172470</v>
      </c>
      <c r="W22" s="1920"/>
      <c r="X22" s="1920"/>
      <c r="Y22" s="1927"/>
    </row>
    <row r="23" spans="1:25" ht="39.75" customHeight="1" x14ac:dyDescent="0.25">
      <c r="A23" s="777"/>
      <c r="B23" s="1947"/>
      <c r="C23" s="1950"/>
      <c r="D23" s="1950"/>
      <c r="E23" s="1950"/>
      <c r="F23" s="1950"/>
      <c r="G23" s="777"/>
      <c r="Q23" s="777"/>
      <c r="R23" s="777"/>
      <c r="T23" s="1910"/>
      <c r="U23" s="50" t="s">
        <v>61</v>
      </c>
      <c r="V23" s="1920">
        <v>173000</v>
      </c>
      <c r="W23" s="1920"/>
      <c r="X23" s="1920"/>
      <c r="Y23" s="1927"/>
    </row>
    <row r="24" spans="1:25" ht="48" customHeight="1" x14ac:dyDescent="0.25">
      <c r="A24" s="777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893" t="s">
        <v>47</v>
      </c>
      <c r="U24" s="51" t="s">
        <v>62</v>
      </c>
      <c r="V24" s="1921">
        <f>V14+V16+V17-V18-V19-V20-V22+V23-V21</f>
        <v>22340.614999999991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8860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777"/>
      <c r="J33" s="777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1900" t="s">
        <v>399</v>
      </c>
      <c r="U3" s="1900"/>
      <c r="V3" s="1900"/>
      <c r="W3" s="1900"/>
      <c r="X3" s="1900"/>
      <c r="Y3" s="1900"/>
    </row>
    <row r="4" spans="1:25" s="77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395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778" customFormat="1" ht="25.5" customHeight="1" x14ac:dyDescent="0.25">
      <c r="A5" s="1901"/>
      <c r="B5" s="1901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1958" t="s">
        <v>378</v>
      </c>
      <c r="R14" s="1959"/>
      <c r="S14" s="787"/>
      <c r="T14" s="1893" t="s">
        <v>46</v>
      </c>
      <c r="U14" s="779" t="s">
        <v>176</v>
      </c>
      <c r="V14" s="1918">
        <v>22341</v>
      </c>
      <c r="W14" s="1926"/>
      <c r="X14" s="1919"/>
    </row>
    <row r="15" spans="1:25" ht="22.5" customHeight="1" x14ac:dyDescent="0.25">
      <c r="A15" s="100" t="s">
        <v>38</v>
      </c>
      <c r="B15" s="1918">
        <v>300060</v>
      </c>
      <c r="C15" s="1919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1918">
        <v>100</v>
      </c>
      <c r="R15" s="1919"/>
      <c r="S15" s="779"/>
      <c r="T15" s="1893"/>
      <c r="U15" s="779" t="s">
        <v>64</v>
      </c>
      <c r="V15" s="1920">
        <v>8860</v>
      </c>
      <c r="W15" s="1920"/>
      <c r="X15" s="1920"/>
    </row>
    <row r="16" spans="1:25" ht="24.75" customHeight="1" x14ac:dyDescent="0.25">
      <c r="A16" s="100" t="s">
        <v>39</v>
      </c>
      <c r="B16" s="1918">
        <v>400936</v>
      </c>
      <c r="C16" s="1919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1883"/>
      <c r="R16" s="1883"/>
      <c r="S16" s="784"/>
      <c r="T16" s="1912" t="s">
        <v>55</v>
      </c>
      <c r="U16" s="1912"/>
      <c r="V16" s="1925">
        <f>Y12</f>
        <v>592296.75350000011</v>
      </c>
      <c r="W16" s="1925"/>
      <c r="X16" s="1920"/>
    </row>
    <row r="17" spans="1:25" ht="28.5" customHeight="1" x14ac:dyDescent="0.25">
      <c r="A17" s="101" t="s">
        <v>44</v>
      </c>
      <c r="B17" s="1918">
        <v>18587</v>
      </c>
      <c r="C17" s="1919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1883"/>
      <c r="R17" s="1883"/>
      <c r="S17" s="781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393163</v>
      </c>
      <c r="C18" s="1919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1920"/>
      <c r="R18" s="1920"/>
      <c r="S18" s="779"/>
      <c r="T18" s="1912" t="s">
        <v>57</v>
      </c>
      <c r="U18" s="1912"/>
      <c r="V18" s="1920">
        <v>6920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326420</v>
      </c>
      <c r="C19" s="1919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1918">
        <f t="shared" ref="Q19" si="14">Q15+Q16+Q17-Q18</f>
        <v>100</v>
      </c>
      <c r="R19" s="1919"/>
      <c r="S19" s="779">
        <f>S15+S16-S17-S18</f>
        <v>0</v>
      </c>
      <c r="T19" s="1914" t="s">
        <v>48</v>
      </c>
      <c r="U19" s="49" t="s">
        <v>58</v>
      </c>
      <c r="V19" s="1920">
        <v>400000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314179.25</v>
      </c>
      <c r="C20" s="1945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944">
        <f>341*Q19</f>
        <v>34100</v>
      </c>
      <c r="R20" s="1945"/>
      <c r="S20" s="290">
        <f>241*S19</f>
        <v>0</v>
      </c>
      <c r="T20" s="1915"/>
      <c r="U20" s="49" t="s">
        <v>59</v>
      </c>
      <c r="V20" s="1920">
        <v>205620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720684.33399999992</v>
      </c>
      <c r="C21" s="1951"/>
      <c r="O21" s="788"/>
      <c r="P21" s="788"/>
      <c r="Q21" s="788"/>
      <c r="R21" s="788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>
        <v>400000</v>
      </c>
      <c r="E22" s="1949">
        <v>400000</v>
      </c>
      <c r="F22" s="1949">
        <f>C22-D22+E22</f>
        <v>400000</v>
      </c>
      <c r="G22" s="788"/>
      <c r="Q22" s="788"/>
      <c r="R22" s="788"/>
      <c r="T22" s="1909" t="s">
        <v>83</v>
      </c>
      <c r="U22" s="50" t="s">
        <v>60</v>
      </c>
      <c r="V22" s="1920">
        <v>605620</v>
      </c>
      <c r="W22" s="1920"/>
      <c r="X22" s="1920"/>
      <c r="Y22" s="1927"/>
    </row>
    <row r="23" spans="1:25" ht="39.75" customHeight="1" x14ac:dyDescent="0.25">
      <c r="A23" s="788"/>
      <c r="B23" s="1947"/>
      <c r="C23" s="1950"/>
      <c r="D23" s="1950"/>
      <c r="E23" s="1950"/>
      <c r="F23" s="1950"/>
      <c r="G23" s="788"/>
      <c r="Q23" s="788"/>
      <c r="R23" s="788"/>
      <c r="T23" s="1910"/>
      <c r="U23" s="50" t="s">
        <v>61</v>
      </c>
      <c r="V23" s="1920">
        <v>605620</v>
      </c>
      <c r="W23" s="1920"/>
      <c r="X23" s="1920"/>
      <c r="Y23" s="1927"/>
    </row>
    <row r="24" spans="1:25" ht="48" customHeight="1" x14ac:dyDescent="0.25">
      <c r="A24" s="788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1893" t="s">
        <v>47</v>
      </c>
      <c r="U24" s="51" t="s">
        <v>62</v>
      </c>
      <c r="V24" s="1921">
        <f>V14+V16+V17-V18-V19-V20-V22+V23-V21</f>
        <v>2097.753500000108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8860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788"/>
      <c r="J33" s="788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1900" t="s">
        <v>400</v>
      </c>
      <c r="U3" s="1900"/>
      <c r="V3" s="1900"/>
      <c r="W3" s="1900"/>
      <c r="X3" s="1900"/>
      <c r="Y3" s="1900"/>
    </row>
    <row r="4" spans="1:25" s="794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794" customFormat="1" ht="25.5" customHeight="1" x14ac:dyDescent="0.25">
      <c r="A5" s="1901"/>
      <c r="B5" s="1901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1958" t="s">
        <v>378</v>
      </c>
      <c r="R14" s="1959"/>
      <c r="S14" s="798" t="s">
        <v>401</v>
      </c>
      <c r="T14" s="1893" t="s">
        <v>46</v>
      </c>
      <c r="U14" s="792" t="s">
        <v>176</v>
      </c>
      <c r="V14" s="1918">
        <v>2098</v>
      </c>
      <c r="W14" s="1926"/>
      <c r="X14" s="1919"/>
    </row>
    <row r="15" spans="1:25" ht="22.5" customHeight="1" x14ac:dyDescent="0.25">
      <c r="A15" s="100" t="s">
        <v>38</v>
      </c>
      <c r="B15" s="1918">
        <v>326420</v>
      </c>
      <c r="C15" s="1919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1918">
        <v>0</v>
      </c>
      <c r="R15" s="1919"/>
      <c r="S15" s="792">
        <v>100</v>
      </c>
      <c r="T15" s="1893"/>
      <c r="U15" s="792" t="s">
        <v>64</v>
      </c>
      <c r="V15" s="1920">
        <v>8860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1883"/>
      <c r="R16" s="1883"/>
      <c r="S16" s="795"/>
      <c r="T16" s="1912" t="s">
        <v>55</v>
      </c>
      <c r="U16" s="1912"/>
      <c r="V16" s="1925">
        <f>Y12</f>
        <v>196771.99950000001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1883"/>
      <c r="R17" s="1883"/>
      <c r="S17" s="791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116103</v>
      </c>
      <c r="C18" s="1919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1920"/>
      <c r="R18" s="1920"/>
      <c r="S18" s="792"/>
      <c r="T18" s="1912" t="s">
        <v>57</v>
      </c>
      <c r="U18" s="1912"/>
      <c r="V18" s="1920">
        <v>620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210317</v>
      </c>
      <c r="C19" s="1919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1918">
        <f t="shared" ref="Q19" si="14">Q15+Q16+Q17-Q18</f>
        <v>0</v>
      </c>
      <c r="R19" s="1919"/>
      <c r="S19" s="792">
        <f>S15+S16-S17-S18</f>
        <v>100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202430.11250000002</v>
      </c>
      <c r="C20" s="1945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944">
        <f>341*Q19</f>
        <v>0</v>
      </c>
      <c r="R20" s="1945"/>
      <c r="S20" s="290">
        <f>241*S19</f>
        <v>24100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916178.42449999996</v>
      </c>
      <c r="C21" s="1951"/>
      <c r="O21" s="799"/>
      <c r="P21" s="799"/>
      <c r="Q21" s="799"/>
      <c r="R21" s="799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/>
      <c r="E22" s="1949">
        <v>400366</v>
      </c>
      <c r="F22" s="1949">
        <f>C22-D22+E22</f>
        <v>800366</v>
      </c>
      <c r="G22" s="799"/>
      <c r="Q22" s="799"/>
      <c r="R22" s="799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799"/>
      <c r="B23" s="1947"/>
      <c r="C23" s="1950"/>
      <c r="D23" s="1950"/>
      <c r="E23" s="1950"/>
      <c r="F23" s="1950"/>
      <c r="G23" s="799"/>
      <c r="Q23" s="799"/>
      <c r="R23" s="799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799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1893" t="s">
        <v>47</v>
      </c>
      <c r="U24" s="51" t="s">
        <v>62</v>
      </c>
      <c r="V24" s="1921">
        <f>V14+V16+V17-V18-V19-V20-V22+V23-V21</f>
        <v>198249.99950000001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8860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799"/>
      <c r="J33" s="799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1900" t="s">
        <v>404</v>
      </c>
      <c r="U3" s="1900"/>
      <c r="V3" s="1900"/>
      <c r="W3" s="1900"/>
      <c r="X3" s="1900"/>
      <c r="Y3" s="1900"/>
    </row>
    <row r="4" spans="1:25" s="80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805" customFormat="1" ht="25.5" customHeight="1" x14ac:dyDescent="0.25">
      <c r="A5" s="1901"/>
      <c r="B5" s="1901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1958" t="s">
        <v>378</v>
      </c>
      <c r="R14" s="1959"/>
      <c r="S14" s="809" t="s">
        <v>401</v>
      </c>
      <c r="T14" s="1893" t="s">
        <v>46</v>
      </c>
      <c r="U14" s="803" t="s">
        <v>176</v>
      </c>
      <c r="V14" s="1918">
        <v>198250</v>
      </c>
      <c r="W14" s="1926"/>
      <c r="X14" s="1919"/>
    </row>
    <row r="15" spans="1:25" ht="22.5" customHeight="1" x14ac:dyDescent="0.25">
      <c r="A15" s="100" t="s">
        <v>38</v>
      </c>
      <c r="B15" s="1918">
        <v>210317</v>
      </c>
      <c r="C15" s="1919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1918">
        <v>0</v>
      </c>
      <c r="R15" s="1919"/>
      <c r="S15" s="803">
        <v>100</v>
      </c>
      <c r="T15" s="1893"/>
      <c r="U15" s="803" t="s">
        <v>64</v>
      </c>
      <c r="V15" s="1920">
        <v>8860</v>
      </c>
      <c r="W15" s="1920"/>
      <c r="X15" s="1920"/>
    </row>
    <row r="16" spans="1:25" ht="24.75" customHeight="1" x14ac:dyDescent="0.25">
      <c r="A16" s="100" t="s">
        <v>39</v>
      </c>
      <c r="B16" s="1918">
        <v>207792</v>
      </c>
      <c r="C16" s="1919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1883"/>
      <c r="R16" s="1883"/>
      <c r="S16" s="806"/>
      <c r="T16" s="1912" t="s">
        <v>55</v>
      </c>
      <c r="U16" s="1912"/>
      <c r="V16" s="1925">
        <f>Y12</f>
        <v>259610.66800000001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1883"/>
      <c r="R17" s="1883"/>
      <c r="S17" s="802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114872</v>
      </c>
      <c r="C18" s="1919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1920"/>
      <c r="R18" s="1920"/>
      <c r="S18" s="803"/>
      <c r="T18" s="1912" t="s">
        <v>57</v>
      </c>
      <c r="U18" s="1912"/>
      <c r="V18" s="1920">
        <v>840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303237</v>
      </c>
      <c r="C19" s="1919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1918">
        <f t="shared" ref="Q19" si="14">Q15+Q16+Q17-Q18</f>
        <v>0</v>
      </c>
      <c r="R19" s="1919"/>
      <c r="S19" s="803">
        <f>S15+S16-S17-S18</f>
        <v>100</v>
      </c>
      <c r="T19" s="1914" t="s">
        <v>48</v>
      </c>
      <c r="U19" s="49" t="s">
        <v>58</v>
      </c>
      <c r="V19" s="1920">
        <v>400000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291865.61249999999</v>
      </c>
      <c r="C20" s="1945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944">
        <f>341*Q19</f>
        <v>0</v>
      </c>
      <c r="R20" s="1945"/>
      <c r="S20" s="290">
        <f>241*S19</f>
        <v>24100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859189.10849999997</v>
      </c>
      <c r="C21" s="1951"/>
      <c r="O21" s="810"/>
      <c r="P21" s="810"/>
      <c r="Q21" s="810"/>
      <c r="R21" s="810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800366</v>
      </c>
      <c r="D22" s="1949">
        <v>400000</v>
      </c>
      <c r="E22" s="1949">
        <v>200000</v>
      </c>
      <c r="F22" s="1949">
        <f>C22-D22+E22</f>
        <v>600366</v>
      </c>
      <c r="G22" s="810"/>
      <c r="Q22" s="810"/>
      <c r="R22" s="810"/>
      <c r="T22" s="1909" t="s">
        <v>83</v>
      </c>
      <c r="U22" s="50" t="s">
        <v>60</v>
      </c>
      <c r="V22" s="1920">
        <v>403400</v>
      </c>
      <c r="W22" s="1920"/>
      <c r="X22" s="1920"/>
      <c r="Y22" s="1927"/>
    </row>
    <row r="23" spans="1:25" ht="39.75" customHeight="1" x14ac:dyDescent="0.25">
      <c r="A23" s="810"/>
      <c r="B23" s="1947"/>
      <c r="C23" s="1950"/>
      <c r="D23" s="1950"/>
      <c r="E23" s="1950"/>
      <c r="F23" s="1950"/>
      <c r="G23" s="810"/>
      <c r="Q23" s="810"/>
      <c r="R23" s="810"/>
      <c r="T23" s="1910"/>
      <c r="U23" s="50" t="s">
        <v>61</v>
      </c>
      <c r="V23" s="1920">
        <v>400000</v>
      </c>
      <c r="W23" s="1920"/>
      <c r="X23" s="1920"/>
      <c r="Y23" s="1927"/>
    </row>
    <row r="24" spans="1:25" ht="48" customHeight="1" x14ac:dyDescent="0.25">
      <c r="A24" s="810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1893" t="s">
        <v>47</v>
      </c>
      <c r="U24" s="51" t="s">
        <v>62</v>
      </c>
      <c r="V24" s="1921">
        <f>V14+V16+V17-V18-V19-V20-V22+V23-V21</f>
        <v>53620.668000000005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12260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810"/>
      <c r="J33" s="810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1900" t="s">
        <v>405</v>
      </c>
      <c r="U3" s="1900"/>
      <c r="V3" s="1900"/>
      <c r="W3" s="1900"/>
      <c r="X3" s="1900"/>
      <c r="Y3" s="1900"/>
    </row>
    <row r="4" spans="1:25" s="811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811" customFormat="1" ht="25.5" customHeight="1" x14ac:dyDescent="0.25">
      <c r="A5" s="1901"/>
      <c r="B5" s="1901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1958" t="s">
        <v>378</v>
      </c>
      <c r="R14" s="1959"/>
      <c r="S14" s="820" t="s">
        <v>401</v>
      </c>
      <c r="T14" s="1893" t="s">
        <v>46</v>
      </c>
      <c r="U14" s="812" t="s">
        <v>176</v>
      </c>
      <c r="V14" s="1918">
        <v>53621</v>
      </c>
      <c r="W14" s="1926"/>
      <c r="X14" s="1919"/>
    </row>
    <row r="15" spans="1:25" ht="22.5" customHeight="1" x14ac:dyDescent="0.25">
      <c r="A15" s="100" t="s">
        <v>38</v>
      </c>
      <c r="B15" s="1918">
        <v>303237</v>
      </c>
      <c r="C15" s="1919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1918">
        <v>0</v>
      </c>
      <c r="R15" s="1919"/>
      <c r="S15" s="812">
        <v>100</v>
      </c>
      <c r="T15" s="1893"/>
      <c r="U15" s="812" t="s">
        <v>64</v>
      </c>
      <c r="V15" s="1920">
        <v>12260</v>
      </c>
      <c r="W15" s="1920"/>
      <c r="X15" s="1920"/>
    </row>
    <row r="16" spans="1:25" ht="24.75" customHeight="1" x14ac:dyDescent="0.25">
      <c r="A16" s="100" t="s">
        <v>39</v>
      </c>
      <c r="B16" s="1918">
        <v>270130</v>
      </c>
      <c r="C16" s="1919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1883"/>
      <c r="R16" s="1883"/>
      <c r="S16" s="817"/>
      <c r="T16" s="1912" t="s">
        <v>55</v>
      </c>
      <c r="U16" s="1912"/>
      <c r="V16" s="1925">
        <f>Y12</f>
        <v>287507.06400000001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1883"/>
      <c r="R17" s="1883"/>
      <c r="S17" s="814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273808</v>
      </c>
      <c r="C18" s="1919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1920"/>
      <c r="R18" s="1920"/>
      <c r="S18" s="812"/>
      <c r="T18" s="1912" t="s">
        <v>57</v>
      </c>
      <c r="U18" s="1912"/>
      <c r="V18" s="1920">
        <v>920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299559</v>
      </c>
      <c r="C19" s="1919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1918">
        <f t="shared" ref="Q19" si="14">Q15+Q16+Q17-Q18</f>
        <v>0</v>
      </c>
      <c r="R19" s="1919"/>
      <c r="S19" s="812">
        <f>S15+S16-S17-S18</f>
        <v>100</v>
      </c>
      <c r="T19" s="1914" t="s">
        <v>48</v>
      </c>
      <c r="U19" s="49" t="s">
        <v>58</v>
      </c>
      <c r="V19" s="1920">
        <v>260000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288325.53750000003</v>
      </c>
      <c r="C20" s="1945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944">
        <f>341*Q19</f>
        <v>0</v>
      </c>
      <c r="R20" s="1945"/>
      <c r="S20" s="290">
        <f>241*S19</f>
        <v>24100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834632.14950000006</v>
      </c>
      <c r="C21" s="1951"/>
      <c r="O21" s="821"/>
      <c r="P21" s="821"/>
      <c r="Q21" s="821"/>
      <c r="R21" s="821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600366</v>
      </c>
      <c r="D22" s="1949">
        <v>260000</v>
      </c>
      <c r="E22" s="1949">
        <v>260000</v>
      </c>
      <c r="F22" s="1949">
        <f>C22-D22+E22</f>
        <v>600366</v>
      </c>
      <c r="G22" s="821"/>
      <c r="Q22" s="821"/>
      <c r="R22" s="821"/>
      <c r="T22" s="1909" t="s">
        <v>83</v>
      </c>
      <c r="U22" s="50" t="s">
        <v>60</v>
      </c>
      <c r="V22" s="1920">
        <v>255260</v>
      </c>
      <c r="W22" s="1920"/>
      <c r="X22" s="1920"/>
      <c r="Y22" s="1927"/>
    </row>
    <row r="23" spans="1:25" ht="39.75" customHeight="1" x14ac:dyDescent="0.25">
      <c r="A23" s="821"/>
      <c r="B23" s="1947"/>
      <c r="C23" s="1950"/>
      <c r="D23" s="1950"/>
      <c r="E23" s="1950"/>
      <c r="F23" s="1950"/>
      <c r="G23" s="821"/>
      <c r="Q23" s="821"/>
      <c r="R23" s="821"/>
      <c r="T23" s="1910"/>
      <c r="U23" s="50" t="s">
        <v>61</v>
      </c>
      <c r="V23" s="1920">
        <v>260000</v>
      </c>
      <c r="W23" s="1920"/>
      <c r="X23" s="1920"/>
      <c r="Y23" s="1927"/>
    </row>
    <row r="24" spans="1:25" ht="48" customHeight="1" x14ac:dyDescent="0.25">
      <c r="A24" s="821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1893" t="s">
        <v>47</v>
      </c>
      <c r="U24" s="51" t="s">
        <v>62</v>
      </c>
      <c r="V24" s="1921">
        <f>V14+V16+V17-V18-V19-V20-V22+V23-V21</f>
        <v>84948.064000000013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7520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821"/>
      <c r="J33" s="821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1900" t="s">
        <v>406</v>
      </c>
      <c r="U3" s="1900"/>
      <c r="V3" s="1900"/>
      <c r="W3" s="1900"/>
      <c r="X3" s="1900"/>
      <c r="Y3" s="1900"/>
    </row>
    <row r="4" spans="1:25" s="82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827" customFormat="1" ht="25.5" customHeight="1" x14ac:dyDescent="0.25">
      <c r="A5" s="1901"/>
      <c r="B5" s="1901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1958" t="s">
        <v>378</v>
      </c>
      <c r="R14" s="1959"/>
      <c r="S14" s="831" t="s">
        <v>401</v>
      </c>
      <c r="T14" s="1893" t="s">
        <v>46</v>
      </c>
      <c r="U14" s="825" t="s">
        <v>176</v>
      </c>
      <c r="V14" s="1918">
        <v>84948</v>
      </c>
      <c r="W14" s="1926"/>
      <c r="X14" s="1919"/>
    </row>
    <row r="15" spans="1:25" ht="22.5" customHeight="1" x14ac:dyDescent="0.25">
      <c r="A15" s="100" t="s">
        <v>38</v>
      </c>
      <c r="B15" s="1918">
        <v>299559</v>
      </c>
      <c r="C15" s="1919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1918">
        <v>0</v>
      </c>
      <c r="R15" s="1919"/>
      <c r="S15" s="825">
        <v>100</v>
      </c>
      <c r="T15" s="1893"/>
      <c r="U15" s="825" t="s">
        <v>64</v>
      </c>
      <c r="V15" s="1920">
        <v>7520</v>
      </c>
      <c r="W15" s="1920"/>
      <c r="X15" s="1920"/>
    </row>
    <row r="16" spans="1:25" ht="24.75" customHeight="1" x14ac:dyDescent="0.25">
      <c r="A16" s="100" t="s">
        <v>39</v>
      </c>
      <c r="B16" s="1918">
        <v>363636</v>
      </c>
      <c r="C16" s="1919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1883"/>
      <c r="R16" s="1883"/>
      <c r="S16" s="828"/>
      <c r="T16" s="1912" t="s">
        <v>55</v>
      </c>
      <c r="U16" s="1912"/>
      <c r="V16" s="1925">
        <f>Y12</f>
        <v>297786.06450000004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1883"/>
      <c r="R17" s="1883"/>
      <c r="S17" s="824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195721</v>
      </c>
      <c r="C18" s="1919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1920"/>
      <c r="R18" s="1920"/>
      <c r="S18" s="825">
        <v>19</v>
      </c>
      <c r="T18" s="1912" t="s">
        <v>57</v>
      </c>
      <c r="U18" s="1912"/>
      <c r="V18" s="1920">
        <v>64376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467474</v>
      </c>
      <c r="C19" s="1919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1918">
        <f t="shared" ref="Q19" si="14">Q15+Q16+Q17-Q18</f>
        <v>0</v>
      </c>
      <c r="R19" s="1919"/>
      <c r="S19" s="825">
        <f>S15+S16-S17-S18</f>
        <v>81</v>
      </c>
      <c r="T19" s="1914" t="s">
        <v>48</v>
      </c>
      <c r="U19" s="49" t="s">
        <v>58</v>
      </c>
      <c r="V19" s="1920">
        <v>200000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449943.72500000003</v>
      </c>
      <c r="C20" s="1945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944">
        <f>341*Q19</f>
        <v>0</v>
      </c>
      <c r="R20" s="1945"/>
      <c r="S20" s="290">
        <f>241*S19</f>
        <v>19521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891615.73300000001</v>
      </c>
      <c r="C21" s="1951"/>
      <c r="O21" s="832"/>
      <c r="P21" s="832"/>
      <c r="Q21" s="832"/>
      <c r="R21" s="832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600366</v>
      </c>
      <c r="D22" s="1949">
        <v>200000</v>
      </c>
      <c r="E22" s="1949">
        <v>350000</v>
      </c>
      <c r="F22" s="1949">
        <f>C22-D22+E22</f>
        <v>750366</v>
      </c>
      <c r="G22" s="832"/>
      <c r="Q22" s="832"/>
      <c r="R22" s="832"/>
      <c r="T22" s="1909" t="s">
        <v>83</v>
      </c>
      <c r="U22" s="50" t="s">
        <v>60</v>
      </c>
      <c r="V22" s="1920">
        <v>200000</v>
      </c>
      <c r="W22" s="1920"/>
      <c r="X22" s="1920"/>
      <c r="Y22" s="1927"/>
    </row>
    <row r="23" spans="1:25" ht="39.75" customHeight="1" x14ac:dyDescent="0.25">
      <c r="A23" s="832"/>
      <c r="B23" s="1947"/>
      <c r="C23" s="1950"/>
      <c r="D23" s="1950"/>
      <c r="E23" s="1950"/>
      <c r="F23" s="1950"/>
      <c r="G23" s="832"/>
      <c r="Q23" s="832"/>
      <c r="R23" s="832"/>
      <c r="T23" s="1910"/>
      <c r="U23" s="50" t="s">
        <v>61</v>
      </c>
      <c r="V23" s="1920">
        <v>200000</v>
      </c>
      <c r="W23" s="1920"/>
      <c r="X23" s="1920"/>
      <c r="Y23" s="1927"/>
    </row>
    <row r="24" spans="1:25" ht="48" customHeight="1" x14ac:dyDescent="0.25">
      <c r="A24" s="832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1893" t="s">
        <v>47</v>
      </c>
      <c r="U24" s="51" t="s">
        <v>62</v>
      </c>
      <c r="V24" s="1921">
        <f>V14+V16+V17-V18-V19-V20-V22+V23-V21</f>
        <v>118358.06450000004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7520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832"/>
      <c r="J33" s="832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900" t="s">
        <v>407</v>
      </c>
      <c r="U3" s="1900"/>
      <c r="V3" s="1900"/>
      <c r="W3" s="1900"/>
      <c r="X3" s="1900"/>
      <c r="Y3" s="1900"/>
    </row>
    <row r="4" spans="1:25" s="83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833" customFormat="1" ht="25.5" customHeight="1" x14ac:dyDescent="0.25">
      <c r="A5" s="1901"/>
      <c r="B5" s="1901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958" t="s">
        <v>378</v>
      </c>
      <c r="R14" s="1959"/>
      <c r="S14" s="842" t="s">
        <v>401</v>
      </c>
      <c r="T14" s="1893" t="s">
        <v>46</v>
      </c>
      <c r="U14" s="834" t="s">
        <v>176</v>
      </c>
      <c r="V14" s="1918">
        <v>118358</v>
      </c>
      <c r="W14" s="1926"/>
      <c r="X14" s="1919"/>
    </row>
    <row r="15" spans="1:25" ht="22.5" customHeight="1" x14ac:dyDescent="0.25">
      <c r="A15" s="100" t="s">
        <v>38</v>
      </c>
      <c r="B15" s="1918">
        <v>467474</v>
      </c>
      <c r="C15" s="1919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918">
        <v>0</v>
      </c>
      <c r="R15" s="1919"/>
      <c r="S15" s="834">
        <v>81</v>
      </c>
      <c r="T15" s="1893"/>
      <c r="U15" s="834" t="s">
        <v>64</v>
      </c>
      <c r="V15" s="1920">
        <v>7520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883"/>
      <c r="R16" s="1883"/>
      <c r="S16" s="839"/>
      <c r="T16" s="1912" t="s">
        <v>55</v>
      </c>
      <c r="U16" s="1912"/>
      <c r="V16" s="1925">
        <f>Y12</f>
        <v>233639.5575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883"/>
      <c r="R17" s="1883"/>
      <c r="S17" s="836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148467</v>
      </c>
      <c r="C18" s="1919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920"/>
      <c r="R18" s="1920"/>
      <c r="S18" s="834"/>
      <c r="T18" s="1912" t="s">
        <v>57</v>
      </c>
      <c r="U18" s="1912"/>
      <c r="V18" s="1920">
        <v>1460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319007</v>
      </c>
      <c r="C19" s="1919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918">
        <f t="shared" ref="Q19" si="14">Q15+Q16+Q17-Q18</f>
        <v>0</v>
      </c>
      <c r="R19" s="1919"/>
      <c r="S19" s="834">
        <f>S15+S16-S17-S18</f>
        <v>81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307044.23749999999</v>
      </c>
      <c r="C20" s="1945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944">
        <f>341*Q19</f>
        <v>0</v>
      </c>
      <c r="R20" s="1945"/>
      <c r="S20" s="290">
        <f>241*S19</f>
        <v>19521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660380.9375</v>
      </c>
      <c r="C21" s="1951"/>
      <c r="O21" s="843"/>
      <c r="P21" s="843"/>
      <c r="Q21" s="843"/>
      <c r="R21" s="843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750366</v>
      </c>
      <c r="D22" s="1949"/>
      <c r="E22" s="1949"/>
      <c r="F22" s="1949">
        <f>C22-D22+E22</f>
        <v>750366</v>
      </c>
      <c r="G22" s="843"/>
      <c r="Q22" s="843"/>
      <c r="R22" s="843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843"/>
      <c r="B23" s="1947"/>
      <c r="C23" s="1950"/>
      <c r="D23" s="1950"/>
      <c r="E23" s="1950"/>
      <c r="F23" s="1950"/>
      <c r="G23" s="843"/>
      <c r="Q23" s="843"/>
      <c r="R23" s="843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843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893" t="s">
        <v>47</v>
      </c>
      <c r="U24" s="51" t="s">
        <v>62</v>
      </c>
      <c r="V24" s="1921">
        <f>V14+V16+V17-V18-V19-V20-V22+V23-V21</f>
        <v>350537.5575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7520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843"/>
      <c r="J33" s="843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900" t="s">
        <v>408</v>
      </c>
      <c r="U3" s="1900"/>
      <c r="V3" s="1900"/>
      <c r="W3" s="1900"/>
      <c r="X3" s="1900"/>
      <c r="Y3" s="1900"/>
    </row>
    <row r="4" spans="1:25" s="83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833" customFormat="1" ht="25.5" customHeight="1" x14ac:dyDescent="0.25">
      <c r="A5" s="1901"/>
      <c r="B5" s="1901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958" t="s">
        <v>378</v>
      </c>
      <c r="R14" s="1959"/>
      <c r="S14" s="842" t="s">
        <v>401</v>
      </c>
      <c r="T14" s="1893" t="s">
        <v>46</v>
      </c>
      <c r="U14" s="834" t="s">
        <v>176</v>
      </c>
      <c r="V14" s="1918">
        <v>350538</v>
      </c>
      <c r="W14" s="1926"/>
      <c r="X14" s="1919"/>
    </row>
    <row r="15" spans="1:25" ht="22.5" customHeight="1" x14ac:dyDescent="0.25">
      <c r="A15" s="100" t="s">
        <v>38</v>
      </c>
      <c r="B15" s="1918">
        <v>319007</v>
      </c>
      <c r="C15" s="1919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918">
        <v>0</v>
      </c>
      <c r="R15" s="1919"/>
      <c r="S15" s="834">
        <v>81</v>
      </c>
      <c r="T15" s="1893"/>
      <c r="U15" s="834" t="s">
        <v>64</v>
      </c>
      <c r="V15" s="1920">
        <v>7520</v>
      </c>
      <c r="W15" s="1920"/>
      <c r="X15" s="1920"/>
    </row>
    <row r="16" spans="1:25" ht="24.75" customHeight="1" x14ac:dyDescent="0.25">
      <c r="A16" s="100" t="s">
        <v>39</v>
      </c>
      <c r="B16" s="1918">
        <v>145454</v>
      </c>
      <c r="C16" s="1919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883"/>
      <c r="R16" s="1883"/>
      <c r="S16" s="839"/>
      <c r="T16" s="1912" t="s">
        <v>55</v>
      </c>
      <c r="U16" s="1912"/>
      <c r="V16" s="1925">
        <f>Y12</f>
        <v>406969.87550000002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883"/>
      <c r="R17" s="1883"/>
      <c r="S17" s="836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186895</v>
      </c>
      <c r="C18" s="1919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920"/>
      <c r="R18" s="1920"/>
      <c r="S18" s="834"/>
      <c r="T18" s="1912" t="s">
        <v>57</v>
      </c>
      <c r="U18" s="1912"/>
      <c r="V18" s="1920">
        <v>1420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277566</v>
      </c>
      <c r="C19" s="1919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918">
        <f t="shared" ref="Q19" si="14">Q15+Q16+Q17-Q18</f>
        <v>0</v>
      </c>
      <c r="R19" s="1919"/>
      <c r="S19" s="834">
        <f>S15+S16-S17-S18</f>
        <v>81</v>
      </c>
      <c r="T19" s="1914" t="s">
        <v>48</v>
      </c>
      <c r="U19" s="49" t="s">
        <v>58</v>
      </c>
      <c r="V19" s="1920">
        <v>751400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267157.27500000002</v>
      </c>
      <c r="C20" s="1945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944">
        <f>341*Q19</f>
        <v>0</v>
      </c>
      <c r="R20" s="1945"/>
      <c r="S20" s="290">
        <f>241*S19</f>
        <v>19521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397595.98300000001</v>
      </c>
      <c r="C21" s="1951"/>
      <c r="O21" s="843"/>
      <c r="P21" s="843"/>
      <c r="Q21" s="843"/>
      <c r="R21" s="843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750366</v>
      </c>
      <c r="D22" s="1949">
        <v>751400</v>
      </c>
      <c r="E22" s="1949">
        <v>140000</v>
      </c>
      <c r="F22" s="1949">
        <f>C22-D22+E22</f>
        <v>138966</v>
      </c>
      <c r="G22" s="843"/>
      <c r="Q22" s="843"/>
      <c r="R22" s="843"/>
      <c r="T22" s="1909" t="s">
        <v>83</v>
      </c>
      <c r="U22" s="50" t="s">
        <v>60</v>
      </c>
      <c r="V22" s="1920">
        <v>751400</v>
      </c>
      <c r="W22" s="1920"/>
      <c r="X22" s="1920"/>
      <c r="Y22" s="1927"/>
    </row>
    <row r="23" spans="1:25" ht="39.75" customHeight="1" x14ac:dyDescent="0.25">
      <c r="A23" s="843"/>
      <c r="B23" s="1947"/>
      <c r="C23" s="1950"/>
      <c r="D23" s="1950"/>
      <c r="E23" s="1950"/>
      <c r="F23" s="1950"/>
      <c r="G23" s="843"/>
      <c r="Q23" s="843"/>
      <c r="R23" s="843"/>
      <c r="T23" s="1910"/>
      <c r="U23" s="50" t="s">
        <v>61</v>
      </c>
      <c r="V23" s="1920">
        <v>751400</v>
      </c>
      <c r="W23" s="1920"/>
      <c r="X23" s="1920"/>
      <c r="Y23" s="1927"/>
    </row>
    <row r="24" spans="1:25" ht="48" customHeight="1" x14ac:dyDescent="0.25">
      <c r="A24" s="843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893" t="s">
        <v>47</v>
      </c>
      <c r="U24" s="51" t="s">
        <v>62</v>
      </c>
      <c r="V24" s="1921">
        <f>V14+V16+V17-V18-V19-V20-V22+V23-V21</f>
        <v>4687.875500000082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7520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843"/>
      <c r="J33" s="843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1900" t="s">
        <v>409</v>
      </c>
      <c r="U3" s="1900"/>
      <c r="V3" s="1900"/>
      <c r="W3" s="1900"/>
      <c r="X3" s="1900"/>
      <c r="Y3" s="1900"/>
    </row>
    <row r="4" spans="1:25" s="84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849" customFormat="1" ht="25.5" customHeight="1" x14ac:dyDescent="0.25">
      <c r="A5" s="1901"/>
      <c r="B5" s="1901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1958" t="s">
        <v>378</v>
      </c>
      <c r="R14" s="1959"/>
      <c r="S14" s="853" t="s">
        <v>401</v>
      </c>
      <c r="T14" s="1893" t="s">
        <v>46</v>
      </c>
      <c r="U14" s="847" t="s">
        <v>176</v>
      </c>
      <c r="V14" s="1918">
        <v>4688</v>
      </c>
      <c r="W14" s="1926"/>
      <c r="X14" s="1919"/>
    </row>
    <row r="15" spans="1:25" ht="22.5" customHeight="1" x14ac:dyDescent="0.25">
      <c r="A15" s="100" t="s">
        <v>38</v>
      </c>
      <c r="B15" s="1918">
        <v>277566</v>
      </c>
      <c r="C15" s="1919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1918">
        <v>0</v>
      </c>
      <c r="R15" s="1919"/>
      <c r="S15" s="847">
        <v>81</v>
      </c>
      <c r="T15" s="1893"/>
      <c r="U15" s="847" t="s">
        <v>64</v>
      </c>
      <c r="V15" s="1920">
        <v>7520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1883"/>
      <c r="R16" s="1883"/>
      <c r="S16" s="850"/>
      <c r="T16" s="1912" t="s">
        <v>55</v>
      </c>
      <c r="U16" s="1912"/>
      <c r="V16" s="1925">
        <f>Y12</f>
        <v>153274.55000000002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1883"/>
      <c r="R17" s="1883"/>
      <c r="S17" s="846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153180</v>
      </c>
      <c r="C18" s="1919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1920"/>
      <c r="R18" s="1920"/>
      <c r="S18" s="847"/>
      <c r="T18" s="1912" t="s">
        <v>57</v>
      </c>
      <c r="U18" s="1912"/>
      <c r="V18" s="1920">
        <v>620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124386</v>
      </c>
      <c r="C19" s="1919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1918">
        <f t="shared" ref="Q19" si="14">Q15+Q16+Q17-Q18</f>
        <v>0</v>
      </c>
      <c r="R19" s="1919"/>
      <c r="S19" s="847">
        <f>S15+S16-S17-S18</f>
        <v>81</v>
      </c>
      <c r="T19" s="1914" t="s">
        <v>48</v>
      </c>
      <c r="U19" s="49" t="s">
        <v>58</v>
      </c>
      <c r="V19" s="1920">
        <v>31000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119721.52500000001</v>
      </c>
      <c r="C20" s="1945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944">
        <f>341*Q19</f>
        <v>0</v>
      </c>
      <c r="R20" s="1945"/>
      <c r="S20" s="290">
        <f>241*S19</f>
        <v>19521</v>
      </c>
      <c r="T20" s="1915"/>
      <c r="U20" s="49" t="s">
        <v>59</v>
      </c>
      <c r="V20" s="1920">
        <v>96400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342282.18500000006</v>
      </c>
      <c r="C21" s="1951"/>
      <c r="O21" s="854"/>
      <c r="P21" s="854"/>
      <c r="Q21" s="854"/>
      <c r="R21" s="854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138966</v>
      </c>
      <c r="D22" s="1949">
        <v>31000</v>
      </c>
      <c r="E22" s="1949"/>
      <c r="F22" s="1949">
        <f>C22-D22+E22</f>
        <v>107966</v>
      </c>
      <c r="G22" s="854"/>
      <c r="Q22" s="854"/>
      <c r="R22" s="854"/>
      <c r="T22" s="1909" t="s">
        <v>83</v>
      </c>
      <c r="U22" s="50" t="s">
        <v>60</v>
      </c>
      <c r="V22" s="1920">
        <v>127400</v>
      </c>
      <c r="W22" s="1920"/>
      <c r="X22" s="1920"/>
      <c r="Y22" s="1927"/>
    </row>
    <row r="23" spans="1:25" ht="39.75" customHeight="1" x14ac:dyDescent="0.25">
      <c r="A23" s="854"/>
      <c r="B23" s="1947"/>
      <c r="C23" s="1950"/>
      <c r="D23" s="1950"/>
      <c r="E23" s="1950"/>
      <c r="F23" s="1950"/>
      <c r="G23" s="854"/>
      <c r="Q23" s="854"/>
      <c r="R23" s="854"/>
      <c r="T23" s="1910"/>
      <c r="U23" s="50" t="s">
        <v>61</v>
      </c>
      <c r="V23" s="1920">
        <v>127400</v>
      </c>
      <c r="W23" s="1920"/>
      <c r="X23" s="1920"/>
      <c r="Y23" s="1927"/>
    </row>
    <row r="24" spans="1:25" ht="48" customHeight="1" x14ac:dyDescent="0.25">
      <c r="A24" s="854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1893" t="s">
        <v>47</v>
      </c>
      <c r="U24" s="51" t="s">
        <v>62</v>
      </c>
      <c r="V24" s="1921">
        <f>V14+V16+V17-V18-V19-V20-V22+V23-V21</f>
        <v>29942.550000000017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7520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854"/>
      <c r="J33" s="854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1900" t="s">
        <v>410</v>
      </c>
      <c r="U3" s="1900"/>
      <c r="V3" s="1900"/>
      <c r="W3" s="1900"/>
      <c r="X3" s="1900"/>
      <c r="Y3" s="1900"/>
    </row>
    <row r="4" spans="1:25" s="860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860" customFormat="1" ht="25.5" customHeight="1" x14ac:dyDescent="0.25">
      <c r="A5" s="1901"/>
      <c r="B5" s="1901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1958" t="s">
        <v>378</v>
      </c>
      <c r="R14" s="1959"/>
      <c r="S14" s="864" t="s">
        <v>401</v>
      </c>
      <c r="T14" s="1893" t="s">
        <v>46</v>
      </c>
      <c r="U14" s="858" t="s">
        <v>176</v>
      </c>
      <c r="V14" s="1918">
        <v>29943</v>
      </c>
      <c r="W14" s="1926"/>
      <c r="X14" s="1919"/>
    </row>
    <row r="15" spans="1:25" ht="22.5" customHeight="1" x14ac:dyDescent="0.25">
      <c r="A15" s="100" t="s">
        <v>38</v>
      </c>
      <c r="B15" s="1918">
        <v>124386</v>
      </c>
      <c r="C15" s="1919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1918">
        <v>0</v>
      </c>
      <c r="R15" s="1919"/>
      <c r="S15" s="858">
        <v>81</v>
      </c>
      <c r="T15" s="1893"/>
      <c r="U15" s="858" t="s">
        <v>64</v>
      </c>
      <c r="V15" s="1920">
        <v>7520</v>
      </c>
      <c r="W15" s="1920"/>
      <c r="X15" s="1920"/>
    </row>
    <row r="16" spans="1:25" ht="24.75" customHeight="1" x14ac:dyDescent="0.25">
      <c r="A16" s="100" t="s">
        <v>39</v>
      </c>
      <c r="B16" s="1918">
        <v>218181</v>
      </c>
      <c r="C16" s="1919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1883"/>
      <c r="R16" s="1883"/>
      <c r="S16" s="861"/>
      <c r="T16" s="1912" t="s">
        <v>55</v>
      </c>
      <c r="U16" s="1912"/>
      <c r="V16" s="1925">
        <f>Y12</f>
        <v>169437.77250000002</v>
      </c>
      <c r="W16" s="1925"/>
      <c r="X16" s="1920"/>
    </row>
    <row r="17" spans="1:25" ht="28.5" customHeight="1" x14ac:dyDescent="0.25">
      <c r="A17" s="101" t="s">
        <v>44</v>
      </c>
      <c r="B17" s="1918">
        <v>109012</v>
      </c>
      <c r="C17" s="1919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1883"/>
      <c r="R17" s="1883"/>
      <c r="S17" s="857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170881</v>
      </c>
      <c r="C18" s="1919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1920"/>
      <c r="R18" s="1920"/>
      <c r="S18" s="858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280698</v>
      </c>
      <c r="C19" s="1919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1918">
        <f t="shared" ref="Q19" si="14">Q15+Q16+Q17-Q18</f>
        <v>0</v>
      </c>
      <c r="R19" s="1919"/>
      <c r="S19" s="858">
        <f>S15+S16-S17-S18</f>
        <v>81</v>
      </c>
      <c r="T19" s="1914" t="s">
        <v>48</v>
      </c>
      <c r="U19" s="49" t="s">
        <v>58</v>
      </c>
      <c r="V19" s="1920">
        <v>107966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270171.82500000001</v>
      </c>
      <c r="C20" s="1945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944">
        <f>341*Q19</f>
        <v>0</v>
      </c>
      <c r="R20" s="1945"/>
      <c r="S20" s="290">
        <f>241*S19</f>
        <v>19521</v>
      </c>
      <c r="T20" s="1915"/>
      <c r="U20" s="49" t="s">
        <v>59</v>
      </c>
      <c r="V20" s="1920">
        <v>75680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489484.38099999999</v>
      </c>
      <c r="C21" s="1951"/>
      <c r="O21" s="865"/>
      <c r="P21" s="865"/>
      <c r="Q21" s="865"/>
      <c r="R21" s="865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107966</v>
      </c>
      <c r="D22" s="1949">
        <v>107966</v>
      </c>
      <c r="E22" s="1949">
        <v>134320</v>
      </c>
      <c r="F22" s="1949">
        <f>C22-D22+E22</f>
        <v>134320</v>
      </c>
      <c r="G22" s="865"/>
      <c r="Q22" s="865"/>
      <c r="R22" s="865"/>
      <c r="T22" s="1909" t="s">
        <v>83</v>
      </c>
      <c r="U22" s="50" t="s">
        <v>60</v>
      </c>
      <c r="V22" s="1920">
        <v>183680</v>
      </c>
      <c r="W22" s="1920"/>
      <c r="X22" s="1920"/>
      <c r="Y22" s="1927"/>
    </row>
    <row r="23" spans="1:25" ht="39.75" customHeight="1" x14ac:dyDescent="0.25">
      <c r="A23" s="865"/>
      <c r="B23" s="1947"/>
      <c r="C23" s="1950"/>
      <c r="D23" s="1950"/>
      <c r="E23" s="1950"/>
      <c r="F23" s="1950"/>
      <c r="G23" s="865"/>
      <c r="Q23" s="865"/>
      <c r="R23" s="865"/>
      <c r="T23" s="1910"/>
      <c r="U23" s="50" t="s">
        <v>61</v>
      </c>
      <c r="V23" s="1920">
        <v>183680</v>
      </c>
      <c r="W23" s="1920"/>
      <c r="X23" s="1920"/>
      <c r="Y23" s="1927"/>
    </row>
    <row r="24" spans="1:25" ht="48" customHeight="1" x14ac:dyDescent="0.25">
      <c r="A24" s="865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1893" t="s">
        <v>47</v>
      </c>
      <c r="U24" s="51" t="s">
        <v>62</v>
      </c>
      <c r="V24" s="1921">
        <f>V14+V16+V17-V18-V19-V20-V22+V23-V21</f>
        <v>15214.772500000021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7520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865"/>
      <c r="J33" s="865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1900" t="s">
        <v>411</v>
      </c>
      <c r="U3" s="1900"/>
      <c r="V3" s="1900"/>
      <c r="W3" s="1900"/>
      <c r="X3" s="1900"/>
      <c r="Y3" s="1900"/>
    </row>
    <row r="4" spans="1:25" s="871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871" customFormat="1" ht="25.5" customHeight="1" x14ac:dyDescent="0.25">
      <c r="A5" s="1901"/>
      <c r="B5" s="1901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1958" t="s">
        <v>378</v>
      </c>
      <c r="R14" s="1959"/>
      <c r="S14" s="875" t="s">
        <v>401</v>
      </c>
      <c r="T14" s="1893" t="s">
        <v>46</v>
      </c>
      <c r="U14" s="869" t="s">
        <v>176</v>
      </c>
      <c r="V14" s="1918">
        <v>15215</v>
      </c>
      <c r="W14" s="1926"/>
      <c r="X14" s="1919"/>
    </row>
    <row r="15" spans="1:25" ht="22.5" customHeight="1" x14ac:dyDescent="0.25">
      <c r="A15" s="100" t="s">
        <v>38</v>
      </c>
      <c r="B15" s="1918">
        <v>280698</v>
      </c>
      <c r="C15" s="1919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1918">
        <v>0</v>
      </c>
      <c r="R15" s="1919"/>
      <c r="S15" s="869">
        <v>81</v>
      </c>
      <c r="T15" s="1893"/>
      <c r="U15" s="869" t="s">
        <v>64</v>
      </c>
      <c r="V15" s="1920">
        <v>7520</v>
      </c>
      <c r="W15" s="1920"/>
      <c r="X15" s="1920"/>
    </row>
    <row r="16" spans="1:25" ht="24.75" customHeight="1" x14ac:dyDescent="0.25">
      <c r="A16" s="100" t="s">
        <v>39</v>
      </c>
      <c r="B16" s="1918">
        <v>672508</v>
      </c>
      <c r="C16" s="1919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1883"/>
      <c r="R16" s="1883"/>
      <c r="S16" s="872"/>
      <c r="T16" s="1912" t="s">
        <v>55</v>
      </c>
      <c r="U16" s="1912"/>
      <c r="V16" s="1925">
        <f>Y12</f>
        <v>280362.98149999994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1883"/>
      <c r="R17" s="1883"/>
      <c r="S17" s="868"/>
      <c r="T17" s="1952" t="s">
        <v>362</v>
      </c>
      <c r="U17" s="1953"/>
      <c r="V17" s="1954">
        <v>100000</v>
      </c>
      <c r="W17" s="1954"/>
      <c r="X17" s="1954"/>
    </row>
    <row r="18" spans="1:25" ht="27" customHeight="1" x14ac:dyDescent="0.25">
      <c r="A18" s="100" t="s">
        <v>40</v>
      </c>
      <c r="B18" s="1922">
        <f>C12</f>
        <v>280163</v>
      </c>
      <c r="C18" s="1919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1920"/>
      <c r="R18" s="1920"/>
      <c r="S18" s="869"/>
      <c r="T18" s="1912" t="s">
        <v>57</v>
      </c>
      <c r="U18" s="1912"/>
      <c r="V18" s="1920">
        <v>770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673043</v>
      </c>
      <c r="C19" s="1919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1918">
        <f t="shared" ref="Q19" si="14">Q15+Q16+Q17-Q18</f>
        <v>0</v>
      </c>
      <c r="R19" s="1919"/>
      <c r="S19" s="869">
        <f>S15+S16-S17-S18</f>
        <v>81</v>
      </c>
      <c r="T19" s="1914" t="s">
        <v>48</v>
      </c>
      <c r="U19" s="49" t="s">
        <v>58</v>
      </c>
      <c r="V19" s="1920">
        <v>134320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647803.88750000007</v>
      </c>
      <c r="C20" s="1945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944">
        <f>341*Q19</f>
        <v>0</v>
      </c>
      <c r="R20" s="1945"/>
      <c r="S20" s="290">
        <f>241*S19</f>
        <v>19521</v>
      </c>
      <c r="T20" s="1915"/>
      <c r="U20" s="49" t="s">
        <v>59</v>
      </c>
      <c r="V20" s="1920">
        <v>247290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859294.13950000005</v>
      </c>
      <c r="C21" s="1951"/>
      <c r="O21" s="876"/>
      <c r="P21" s="876"/>
      <c r="Q21" s="876"/>
      <c r="R21" s="876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134320</v>
      </c>
      <c r="D22" s="1949">
        <v>134320</v>
      </c>
      <c r="E22" s="1949">
        <v>400000</v>
      </c>
      <c r="F22" s="1949">
        <f>C22-D22+E22</f>
        <v>400000</v>
      </c>
      <c r="G22" s="876"/>
      <c r="Q22" s="876"/>
      <c r="R22" s="876"/>
      <c r="T22" s="1909" t="s">
        <v>83</v>
      </c>
      <c r="U22" s="50" t="s">
        <v>60</v>
      </c>
      <c r="V22" s="1920">
        <v>381610</v>
      </c>
      <c r="W22" s="1920"/>
      <c r="X22" s="1920"/>
      <c r="Y22" s="1927"/>
    </row>
    <row r="23" spans="1:25" ht="39.75" customHeight="1" x14ac:dyDescent="0.25">
      <c r="A23" s="876"/>
      <c r="B23" s="1947"/>
      <c r="C23" s="1950"/>
      <c r="D23" s="1950"/>
      <c r="E23" s="1950"/>
      <c r="F23" s="1950"/>
      <c r="G23" s="876"/>
      <c r="Q23" s="876"/>
      <c r="R23" s="876"/>
      <c r="T23" s="1910"/>
      <c r="U23" s="50" t="s">
        <v>61</v>
      </c>
      <c r="V23" s="1920">
        <v>381610</v>
      </c>
      <c r="W23" s="1920"/>
      <c r="X23" s="1920"/>
      <c r="Y23" s="1927"/>
    </row>
    <row r="24" spans="1:25" ht="48" customHeight="1" x14ac:dyDescent="0.25">
      <c r="A24" s="876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1893" t="s">
        <v>47</v>
      </c>
      <c r="U24" s="51" t="s">
        <v>62</v>
      </c>
      <c r="V24" s="1921">
        <f>V14+V16+V17-V18-V19-V20-V22+V23-V21</f>
        <v>13197.981499999936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7520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876"/>
      <c r="J33" s="876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1900" t="s">
        <v>412</v>
      </c>
      <c r="U3" s="1900"/>
      <c r="V3" s="1900"/>
      <c r="W3" s="1900"/>
      <c r="X3" s="1900"/>
      <c r="Y3" s="1900"/>
    </row>
    <row r="4" spans="1:25" s="88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882" customFormat="1" ht="25.5" customHeight="1" x14ac:dyDescent="0.25">
      <c r="A5" s="1901"/>
      <c r="B5" s="1901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1958" t="s">
        <v>378</v>
      </c>
      <c r="R14" s="1959"/>
      <c r="S14" s="886" t="s">
        <v>401</v>
      </c>
      <c r="T14" s="1893" t="s">
        <v>46</v>
      </c>
      <c r="U14" s="880" t="s">
        <v>176</v>
      </c>
      <c r="V14" s="1918">
        <v>13198</v>
      </c>
      <c r="W14" s="1926"/>
      <c r="X14" s="1919"/>
    </row>
    <row r="15" spans="1:25" ht="22.5" customHeight="1" x14ac:dyDescent="0.25">
      <c r="A15" s="100" t="s">
        <v>38</v>
      </c>
      <c r="B15" s="1918">
        <v>673043</v>
      </c>
      <c r="C15" s="1919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1918">
        <v>0</v>
      </c>
      <c r="R15" s="1919"/>
      <c r="S15" s="880">
        <v>81</v>
      </c>
      <c r="T15" s="1893"/>
      <c r="U15" s="880" t="s">
        <v>64</v>
      </c>
      <c r="V15" s="1920">
        <v>7520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1883"/>
      <c r="R16" s="1883"/>
      <c r="S16" s="883"/>
      <c r="T16" s="1912" t="s">
        <v>55</v>
      </c>
      <c r="U16" s="1912"/>
      <c r="V16" s="1925">
        <f>Y12</f>
        <v>337957.73100000003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1883"/>
      <c r="R17" s="1883"/>
      <c r="S17" s="879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199398</v>
      </c>
      <c r="C18" s="1919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1920"/>
      <c r="R18" s="1920"/>
      <c r="S18" s="880"/>
      <c r="T18" s="1912" t="s">
        <v>57</v>
      </c>
      <c r="U18" s="1912"/>
      <c r="V18" s="1920">
        <v>3220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473645</v>
      </c>
      <c r="C19" s="1919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1918">
        <f t="shared" ref="Q19" si="14">Q15+Q16+Q17-Q18</f>
        <v>0</v>
      </c>
      <c r="R19" s="1919"/>
      <c r="S19" s="880">
        <f>S15+S16-S17-S18</f>
        <v>81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455883.3125</v>
      </c>
      <c r="C20" s="1945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944">
        <f>341*Q19</f>
        <v>0</v>
      </c>
      <c r="R20" s="1945"/>
      <c r="S20" s="290">
        <f>241*S19</f>
        <v>19521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921358.11250000005</v>
      </c>
      <c r="C21" s="1951"/>
      <c r="O21" s="887"/>
      <c r="P21" s="887"/>
      <c r="Q21" s="887"/>
      <c r="R21" s="887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/>
      <c r="E22" s="1949">
        <v>396318</v>
      </c>
      <c r="F22" s="1949">
        <f>C22-D22+E22</f>
        <v>796318</v>
      </c>
      <c r="G22" s="887"/>
      <c r="Q22" s="887"/>
      <c r="R22" s="887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887"/>
      <c r="B23" s="1947"/>
      <c r="C23" s="1950"/>
      <c r="D23" s="1950"/>
      <c r="E23" s="1950"/>
      <c r="F23" s="1950"/>
      <c r="G23" s="887"/>
      <c r="Q23" s="887"/>
      <c r="R23" s="887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887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1893" t="s">
        <v>47</v>
      </c>
      <c r="U24" s="51" t="s">
        <v>62</v>
      </c>
      <c r="V24" s="1921">
        <f>V14+V16+V17-V18-V19-V20-V22+V23-V21</f>
        <v>347935.73100000003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7520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887"/>
      <c r="J33" s="887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1900" t="s">
        <v>413</v>
      </c>
      <c r="U3" s="1900"/>
      <c r="V3" s="1900"/>
      <c r="W3" s="1900"/>
      <c r="X3" s="1900"/>
      <c r="Y3" s="1900"/>
    </row>
    <row r="4" spans="1:25" s="88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888" customFormat="1" ht="25.5" customHeight="1" x14ac:dyDescent="0.25">
      <c r="A5" s="1901"/>
      <c r="B5" s="1901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1958" t="s">
        <v>378</v>
      </c>
      <c r="R14" s="1959"/>
      <c r="S14" s="897" t="s">
        <v>401</v>
      </c>
      <c r="T14" s="1893" t="s">
        <v>46</v>
      </c>
      <c r="U14" s="889" t="s">
        <v>176</v>
      </c>
      <c r="V14" s="1918">
        <v>347936</v>
      </c>
      <c r="W14" s="1926"/>
      <c r="X14" s="1919"/>
    </row>
    <row r="15" spans="1:25" ht="22.5" customHeight="1" x14ac:dyDescent="0.25">
      <c r="A15" s="100" t="s">
        <v>38</v>
      </c>
      <c r="B15" s="1918">
        <v>473645</v>
      </c>
      <c r="C15" s="1919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1918">
        <v>0</v>
      </c>
      <c r="R15" s="1919"/>
      <c r="S15" s="889">
        <v>81</v>
      </c>
      <c r="T15" s="1893"/>
      <c r="U15" s="889" t="s">
        <v>64</v>
      </c>
      <c r="V15" s="1920">
        <v>7520</v>
      </c>
      <c r="W15" s="1920"/>
      <c r="X15" s="1920"/>
    </row>
    <row r="16" spans="1:25" ht="24.75" customHeight="1" x14ac:dyDescent="0.25">
      <c r="A16" s="100" t="s">
        <v>39</v>
      </c>
      <c r="B16" s="1918">
        <v>133490</v>
      </c>
      <c r="C16" s="1919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1883"/>
      <c r="R16" s="1883"/>
      <c r="S16" s="894"/>
      <c r="T16" s="1912" t="s">
        <v>55</v>
      </c>
      <c r="U16" s="1912"/>
      <c r="V16" s="1925">
        <f>Y12</f>
        <v>358476.68</v>
      </c>
      <c r="W16" s="1925"/>
      <c r="X16" s="1920"/>
    </row>
    <row r="17" spans="1:25" ht="28.5" customHeight="1" x14ac:dyDescent="0.25">
      <c r="A17" s="101" t="s">
        <v>44</v>
      </c>
      <c r="B17" s="1918">
        <v>4935</v>
      </c>
      <c r="C17" s="1919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1883"/>
      <c r="R17" s="1883"/>
      <c r="S17" s="891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273200</v>
      </c>
      <c r="C18" s="1919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1920"/>
      <c r="R18" s="1920"/>
      <c r="S18" s="889"/>
      <c r="T18" s="1912" t="s">
        <v>57</v>
      </c>
      <c r="U18" s="1912"/>
      <c r="V18" s="1920">
        <v>2320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338870</v>
      </c>
      <c r="C19" s="1919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1918">
        <f t="shared" ref="Q19" si="14">Q15+Q16+Q17-Q18</f>
        <v>0</v>
      </c>
      <c r="R19" s="1919"/>
      <c r="S19" s="889">
        <f>S15+S16-S17-S18</f>
        <v>81</v>
      </c>
      <c r="T19" s="1914" t="s">
        <v>48</v>
      </c>
      <c r="U19" s="49" t="s">
        <v>58</v>
      </c>
      <c r="V19" s="1920">
        <v>400000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326162.375</v>
      </c>
      <c r="C20" s="1945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944">
        <f>341*Q19</f>
        <v>0</v>
      </c>
      <c r="R20" s="1945"/>
      <c r="S20" s="290">
        <f>241*S19</f>
        <v>19521</v>
      </c>
      <c r="T20" s="1915"/>
      <c r="U20" s="49" t="s">
        <v>59</v>
      </c>
      <c r="V20" s="1920">
        <v>8485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699813.61100000003</v>
      </c>
      <c r="C21" s="1951"/>
      <c r="O21" s="898"/>
      <c r="P21" s="898"/>
      <c r="Q21" s="898"/>
      <c r="R21" s="898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796318</v>
      </c>
      <c r="D22" s="1949">
        <v>400000</v>
      </c>
      <c r="E22" s="1949">
        <v>120000</v>
      </c>
      <c r="F22" s="1949">
        <f>C22-D22+E22</f>
        <v>516318</v>
      </c>
      <c r="G22" s="898"/>
      <c r="Q22" s="898"/>
      <c r="R22" s="898"/>
      <c r="T22" s="1909" t="s">
        <v>83</v>
      </c>
      <c r="U22" s="50" t="s">
        <v>60</v>
      </c>
      <c r="V22" s="1920">
        <v>616185</v>
      </c>
      <c r="W22" s="1920"/>
      <c r="X22" s="1920"/>
      <c r="Y22" s="1927"/>
    </row>
    <row r="23" spans="1:25" ht="39.75" customHeight="1" x14ac:dyDescent="0.25">
      <c r="A23" s="898"/>
      <c r="B23" s="1947"/>
      <c r="C23" s="1950"/>
      <c r="D23" s="1950"/>
      <c r="E23" s="1950"/>
      <c r="F23" s="1950"/>
      <c r="G23" s="898"/>
      <c r="Q23" s="898"/>
      <c r="R23" s="898"/>
      <c r="T23" s="1910"/>
      <c r="U23" s="50" t="s">
        <v>61</v>
      </c>
      <c r="V23" s="1920">
        <v>408485</v>
      </c>
      <c r="W23" s="1920"/>
      <c r="X23" s="1920"/>
      <c r="Y23" s="1927"/>
    </row>
    <row r="24" spans="1:25" ht="48" customHeight="1" x14ac:dyDescent="0.25">
      <c r="A24" s="898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1893" t="s">
        <v>47</v>
      </c>
      <c r="U24" s="51" t="s">
        <v>62</v>
      </c>
      <c r="V24" s="1921">
        <f>V14+V16+V17-V18-V19-V20-V22+V23-V21</f>
        <v>87907.679999999935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215220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898"/>
      <c r="J33" s="898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1900" t="s">
        <v>414</v>
      </c>
      <c r="U3" s="1900"/>
      <c r="V3" s="1900"/>
      <c r="W3" s="1900"/>
      <c r="X3" s="1900"/>
      <c r="Y3" s="1900"/>
    </row>
    <row r="4" spans="1:25" s="904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904" customFormat="1" ht="25.5" customHeight="1" x14ac:dyDescent="0.25">
      <c r="A5" s="1901"/>
      <c r="B5" s="1901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1958" t="s">
        <v>378</v>
      </c>
      <c r="R14" s="1959"/>
      <c r="S14" s="908" t="s">
        <v>401</v>
      </c>
      <c r="T14" s="1893" t="s">
        <v>46</v>
      </c>
      <c r="U14" s="902" t="s">
        <v>176</v>
      </c>
      <c r="V14" s="1918">
        <v>87908</v>
      </c>
      <c r="W14" s="1926"/>
      <c r="X14" s="1919"/>
    </row>
    <row r="15" spans="1:25" ht="22.5" customHeight="1" x14ac:dyDescent="0.25">
      <c r="A15" s="100" t="s">
        <v>38</v>
      </c>
      <c r="B15" s="1918">
        <v>338870</v>
      </c>
      <c r="C15" s="1919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1918">
        <v>0</v>
      </c>
      <c r="R15" s="1919"/>
      <c r="S15" s="902">
        <v>81</v>
      </c>
      <c r="T15" s="1893"/>
      <c r="U15" s="902" t="s">
        <v>64</v>
      </c>
      <c r="V15" s="1920">
        <v>215220</v>
      </c>
      <c r="W15" s="1920"/>
      <c r="X15" s="1920"/>
    </row>
    <row r="16" spans="1:25" ht="24.75" customHeight="1" x14ac:dyDescent="0.25">
      <c r="A16" s="100" t="s">
        <v>39</v>
      </c>
      <c r="B16" s="1918">
        <v>103896</v>
      </c>
      <c r="C16" s="1919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1883"/>
      <c r="R16" s="1883"/>
      <c r="S16" s="905"/>
      <c r="T16" s="1912" t="s">
        <v>55</v>
      </c>
      <c r="U16" s="1912"/>
      <c r="V16" s="1925">
        <f>Y12</f>
        <v>234843.48749999999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1883"/>
      <c r="R17" s="1883"/>
      <c r="S17" s="901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116455</v>
      </c>
      <c r="C18" s="1919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1920"/>
      <c r="R18" s="1920"/>
      <c r="S18" s="902">
        <v>28</v>
      </c>
      <c r="T18" s="1912" t="s">
        <v>57</v>
      </c>
      <c r="U18" s="1912"/>
      <c r="V18" s="1920">
        <v>78134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326311</v>
      </c>
      <c r="C19" s="1919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1918">
        <f t="shared" ref="Q19" si="14">Q15+Q16+Q17-Q18</f>
        <v>0</v>
      </c>
      <c r="R19" s="1919"/>
      <c r="S19" s="902">
        <f>S15+S16-S17-S18</f>
        <v>53</v>
      </c>
      <c r="T19" s="1914" t="s">
        <v>48</v>
      </c>
      <c r="U19" s="49" t="s">
        <v>58</v>
      </c>
      <c r="V19" s="1920">
        <v>120000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314074.33750000002</v>
      </c>
      <c r="C20" s="1945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341*Q19</f>
        <v>0</v>
      </c>
      <c r="R20" s="1945"/>
      <c r="S20" s="290">
        <f>341*S19</f>
        <v>18073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575351.27350000001</v>
      </c>
      <c r="C21" s="1951"/>
      <c r="O21" s="909"/>
      <c r="P21" s="909"/>
      <c r="Q21" s="909"/>
      <c r="R21" s="909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516318</v>
      </c>
      <c r="D22" s="1949">
        <v>120000</v>
      </c>
      <c r="E22" s="1949">
        <v>100000</v>
      </c>
      <c r="F22" s="1949">
        <f>C22-D22+E22</f>
        <v>496318</v>
      </c>
      <c r="G22" s="909"/>
      <c r="Q22" s="909"/>
      <c r="R22" s="909"/>
      <c r="T22" s="1909" t="s">
        <v>83</v>
      </c>
      <c r="U22" s="50" t="s">
        <v>60</v>
      </c>
      <c r="V22" s="1920">
        <v>157220</v>
      </c>
      <c r="W22" s="1920"/>
      <c r="X22" s="1920"/>
      <c r="Y22" s="1927"/>
    </row>
    <row r="23" spans="1:25" ht="39.75" customHeight="1" x14ac:dyDescent="0.25">
      <c r="A23" s="909"/>
      <c r="B23" s="1947"/>
      <c r="C23" s="1950"/>
      <c r="D23" s="1950"/>
      <c r="E23" s="1950"/>
      <c r="F23" s="1950"/>
      <c r="G23" s="909"/>
      <c r="Q23" s="909"/>
      <c r="R23" s="909"/>
      <c r="T23" s="1910"/>
      <c r="U23" s="50" t="s">
        <v>61</v>
      </c>
      <c r="V23" s="1920">
        <v>120000</v>
      </c>
      <c r="W23" s="1920"/>
      <c r="X23" s="1920"/>
      <c r="Y23" s="1927"/>
    </row>
    <row r="24" spans="1:25" ht="48" customHeight="1" x14ac:dyDescent="0.25">
      <c r="A24" s="909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1893" t="s">
        <v>47</v>
      </c>
      <c r="U24" s="51" t="s">
        <v>62</v>
      </c>
      <c r="V24" s="1921">
        <f>V14+V16+V17-V18-V19-V20-V22+V23-V21</f>
        <v>87397.487499999988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252440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909"/>
      <c r="J33" s="909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1900" t="s">
        <v>415</v>
      </c>
      <c r="U3" s="1900"/>
      <c r="V3" s="1900"/>
      <c r="W3" s="1900"/>
      <c r="X3" s="1900"/>
      <c r="Y3" s="1900"/>
    </row>
    <row r="4" spans="1:25" s="910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910" customFormat="1" ht="25.5" customHeight="1" x14ac:dyDescent="0.25">
      <c r="A5" s="1901"/>
      <c r="B5" s="1901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1958" t="s">
        <v>378</v>
      </c>
      <c r="R14" s="1959"/>
      <c r="S14" s="919" t="s">
        <v>401</v>
      </c>
      <c r="T14" s="1893" t="s">
        <v>46</v>
      </c>
      <c r="U14" s="911" t="s">
        <v>176</v>
      </c>
      <c r="V14" s="1918">
        <v>87397</v>
      </c>
      <c r="W14" s="1926"/>
      <c r="X14" s="1919"/>
    </row>
    <row r="15" spans="1:25" ht="22.5" customHeight="1" x14ac:dyDescent="0.25">
      <c r="A15" s="100" t="s">
        <v>38</v>
      </c>
      <c r="B15" s="1918">
        <v>326311</v>
      </c>
      <c r="C15" s="1919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1918">
        <v>0</v>
      </c>
      <c r="R15" s="1919"/>
      <c r="S15" s="911">
        <v>53</v>
      </c>
      <c r="T15" s="1893"/>
      <c r="U15" s="911" t="s">
        <v>64</v>
      </c>
      <c r="V15" s="1920">
        <v>252440</v>
      </c>
      <c r="W15" s="1920"/>
      <c r="X15" s="1920"/>
    </row>
    <row r="16" spans="1:25" ht="24.75" customHeight="1" x14ac:dyDescent="0.25">
      <c r="A16" s="100" t="s">
        <v>39</v>
      </c>
      <c r="B16" s="1918">
        <v>124675</v>
      </c>
      <c r="C16" s="1919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1883"/>
      <c r="R16" s="1883"/>
      <c r="S16" s="916"/>
      <c r="T16" s="1912" t="s">
        <v>55</v>
      </c>
      <c r="U16" s="1912"/>
      <c r="V16" s="1925">
        <f>Y12</f>
        <v>194939.43000000002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1883"/>
      <c r="R17" s="1883"/>
      <c r="S17" s="913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150748</v>
      </c>
      <c r="C18" s="1919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1920"/>
      <c r="R18" s="1920"/>
      <c r="S18" s="911"/>
      <c r="T18" s="1912" t="s">
        <v>57</v>
      </c>
      <c r="U18" s="1912"/>
      <c r="V18" s="1920">
        <v>4000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300238</v>
      </c>
      <c r="C19" s="1919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1918">
        <f t="shared" ref="Q19" si="14">Q15+Q16+Q17-Q18</f>
        <v>0</v>
      </c>
      <c r="R19" s="1919"/>
      <c r="S19" s="911">
        <f>S15+S16-S17-S18</f>
        <v>53</v>
      </c>
      <c r="T19" s="1914" t="s">
        <v>48</v>
      </c>
      <c r="U19" s="49" t="s">
        <v>58</v>
      </c>
      <c r="V19" s="1920">
        <v>496320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288979.07500000001</v>
      </c>
      <c r="C20" s="1945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341*Q19</f>
        <v>0</v>
      </c>
      <c r="R20" s="1945"/>
      <c r="S20" s="290">
        <f>341*S19</f>
        <v>18073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502387.77500000002</v>
      </c>
      <c r="C21" s="1951"/>
      <c r="O21" s="920"/>
      <c r="P21" s="920"/>
      <c r="Q21" s="920"/>
      <c r="R21" s="920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496318</v>
      </c>
      <c r="D22" s="1949">
        <v>496320</v>
      </c>
      <c r="E22" s="1949">
        <v>120000</v>
      </c>
      <c r="F22" s="1949">
        <f>C22-D22+E22</f>
        <v>119998</v>
      </c>
      <c r="G22" s="920"/>
      <c r="Q22" s="920"/>
      <c r="R22" s="920"/>
      <c r="T22" s="1909" t="s">
        <v>83</v>
      </c>
      <c r="U22" s="50" t="s">
        <v>60</v>
      </c>
      <c r="V22" s="1920">
        <v>251320</v>
      </c>
      <c r="W22" s="1920"/>
      <c r="X22" s="1920"/>
      <c r="Y22" s="1927"/>
    </row>
    <row r="23" spans="1:25" ht="39.75" customHeight="1" x14ac:dyDescent="0.25">
      <c r="A23" s="920"/>
      <c r="B23" s="1947"/>
      <c r="C23" s="1950"/>
      <c r="D23" s="1950"/>
      <c r="E23" s="1950"/>
      <c r="F23" s="1950"/>
      <c r="G23" s="920"/>
      <c r="Q23" s="920"/>
      <c r="R23" s="920"/>
      <c r="T23" s="1910"/>
      <c r="U23" s="50" t="s">
        <v>61</v>
      </c>
      <c r="V23" s="1920">
        <v>496320</v>
      </c>
      <c r="W23" s="1920"/>
      <c r="X23" s="1920"/>
      <c r="Y23" s="1927"/>
    </row>
    <row r="24" spans="1:25" ht="48" customHeight="1" x14ac:dyDescent="0.25">
      <c r="A24" s="920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1893" t="s">
        <v>47</v>
      </c>
      <c r="U24" s="51" t="s">
        <v>62</v>
      </c>
      <c r="V24" s="1921">
        <f>V14+V16+V17-V18-V19-V20-V22+V23-V21</f>
        <v>27016.430000000051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7440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920"/>
      <c r="J33" s="920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1900" t="s">
        <v>416</v>
      </c>
      <c r="U3" s="1900"/>
      <c r="V3" s="1900"/>
      <c r="W3" s="1900"/>
      <c r="X3" s="1900"/>
      <c r="Y3" s="1900"/>
    </row>
    <row r="4" spans="1:25" s="92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926" customFormat="1" ht="25.5" customHeight="1" x14ac:dyDescent="0.25">
      <c r="A5" s="1901"/>
      <c r="B5" s="1901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1958" t="s">
        <v>378</v>
      </c>
      <c r="R14" s="1959"/>
      <c r="S14" s="930" t="s">
        <v>401</v>
      </c>
      <c r="T14" s="1893" t="s">
        <v>46</v>
      </c>
      <c r="U14" s="924" t="s">
        <v>176</v>
      </c>
      <c r="V14" s="1918">
        <v>27016</v>
      </c>
      <c r="W14" s="1926"/>
      <c r="X14" s="1919"/>
    </row>
    <row r="15" spans="1:25" ht="22.5" customHeight="1" x14ac:dyDescent="0.25">
      <c r="A15" s="100" t="s">
        <v>38</v>
      </c>
      <c r="B15" s="1918">
        <v>300238</v>
      </c>
      <c r="C15" s="1919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1918">
        <v>0</v>
      </c>
      <c r="R15" s="1919"/>
      <c r="S15" s="924">
        <v>53</v>
      </c>
      <c r="T15" s="1893"/>
      <c r="U15" s="924" t="s">
        <v>64</v>
      </c>
      <c r="V15" s="1920">
        <v>7440</v>
      </c>
      <c r="W15" s="1920"/>
      <c r="X15" s="1920"/>
    </row>
    <row r="16" spans="1:25" ht="24.75" customHeight="1" x14ac:dyDescent="0.25">
      <c r="A16" s="100" t="s">
        <v>39</v>
      </c>
      <c r="B16" s="1918">
        <v>259740</v>
      </c>
      <c r="C16" s="1919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1883"/>
      <c r="R16" s="1883"/>
      <c r="S16" s="927"/>
      <c r="T16" s="1912" t="s">
        <v>55</v>
      </c>
      <c r="U16" s="1912"/>
      <c r="V16" s="1925">
        <f>Y12</f>
        <v>209723.22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1883"/>
      <c r="R17" s="1883"/>
      <c r="S17" s="923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189592</v>
      </c>
      <c r="C18" s="1919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1920"/>
      <c r="R18" s="1920"/>
      <c r="S18" s="924"/>
      <c r="T18" s="1912" t="s">
        <v>57</v>
      </c>
      <c r="U18" s="1912"/>
      <c r="V18" s="1920">
        <v>1070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370386</v>
      </c>
      <c r="C19" s="1919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1918">
        <f t="shared" ref="Q19" si="14">Q15+Q16+Q17-Q18</f>
        <v>0</v>
      </c>
      <c r="R19" s="1919"/>
      <c r="S19" s="924">
        <f>S15+S16-S17-S18</f>
        <v>53</v>
      </c>
      <c r="T19" s="1914" t="s">
        <v>48</v>
      </c>
      <c r="U19" s="49" t="s">
        <v>58</v>
      </c>
      <c r="V19" s="1920">
        <v>120000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356496.52500000002</v>
      </c>
      <c r="C20" s="1945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341*Q19</f>
        <v>0</v>
      </c>
      <c r="R20" s="1945"/>
      <c r="S20" s="290">
        <f>341*S19</f>
        <v>18073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544820.52500000002</v>
      </c>
      <c r="C21" s="1951"/>
      <c r="O21" s="931"/>
      <c r="P21" s="931"/>
      <c r="Q21" s="931"/>
      <c r="R21" s="931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119998</v>
      </c>
      <c r="D22" s="1949">
        <v>120000</v>
      </c>
      <c r="E22" s="1949">
        <v>250000</v>
      </c>
      <c r="F22" s="1949">
        <f>C22-D22+E22</f>
        <v>249998</v>
      </c>
      <c r="G22" s="931"/>
      <c r="Q22" s="931"/>
      <c r="R22" s="931"/>
      <c r="T22" s="1909" t="s">
        <v>83</v>
      </c>
      <c r="U22" s="50" t="s">
        <v>60</v>
      </c>
      <c r="V22" s="1920">
        <v>176090</v>
      </c>
      <c r="W22" s="1920"/>
      <c r="X22" s="1920"/>
      <c r="Y22" s="1927"/>
    </row>
    <row r="23" spans="1:25" ht="39.75" customHeight="1" x14ac:dyDescent="0.25">
      <c r="A23" s="931"/>
      <c r="B23" s="1947"/>
      <c r="C23" s="1950"/>
      <c r="D23" s="1950"/>
      <c r="E23" s="1950"/>
      <c r="F23" s="1950"/>
      <c r="G23" s="931"/>
      <c r="Q23" s="931"/>
      <c r="R23" s="931"/>
      <c r="T23" s="1910"/>
      <c r="U23" s="50" t="s">
        <v>61</v>
      </c>
      <c r="V23" s="1920">
        <v>120000</v>
      </c>
      <c r="W23" s="1920"/>
      <c r="X23" s="1920"/>
      <c r="Y23" s="1927"/>
    </row>
    <row r="24" spans="1:25" ht="48" customHeight="1" x14ac:dyDescent="0.25">
      <c r="A24" s="931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1893" t="s">
        <v>47</v>
      </c>
      <c r="U24" s="51" t="s">
        <v>62</v>
      </c>
      <c r="V24" s="1921">
        <f>V14+V16+V17-V18-V19-V20-V22+V23-V21</f>
        <v>59579.22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63530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931"/>
      <c r="J33" s="931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1900" t="s">
        <v>417</v>
      </c>
      <c r="U3" s="1900"/>
      <c r="V3" s="1900"/>
      <c r="W3" s="1900"/>
      <c r="X3" s="1900"/>
      <c r="Y3" s="1900"/>
    </row>
    <row r="4" spans="1:25" s="93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937" customFormat="1" ht="25.5" customHeight="1" x14ac:dyDescent="0.25">
      <c r="A5" s="1901"/>
      <c r="B5" s="1901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1958" t="s">
        <v>378</v>
      </c>
      <c r="R14" s="1959"/>
      <c r="S14" s="941" t="s">
        <v>401</v>
      </c>
      <c r="T14" s="1893" t="s">
        <v>46</v>
      </c>
      <c r="U14" s="935" t="s">
        <v>176</v>
      </c>
      <c r="V14" s="1918">
        <v>59579</v>
      </c>
      <c r="W14" s="1926"/>
      <c r="X14" s="1919"/>
    </row>
    <row r="15" spans="1:25" ht="22.5" customHeight="1" x14ac:dyDescent="0.25">
      <c r="A15" s="100" t="s">
        <v>38</v>
      </c>
      <c r="B15" s="1918">
        <v>370386</v>
      </c>
      <c r="C15" s="1919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1918">
        <v>0</v>
      </c>
      <c r="R15" s="1919"/>
      <c r="S15" s="935">
        <v>53</v>
      </c>
      <c r="T15" s="1893"/>
      <c r="U15" s="935" t="s">
        <v>64</v>
      </c>
      <c r="V15" s="1920">
        <v>63530</v>
      </c>
      <c r="W15" s="1920"/>
      <c r="X15" s="1920"/>
    </row>
    <row r="16" spans="1:25" ht="24.75" customHeight="1" x14ac:dyDescent="0.25">
      <c r="A16" s="100" t="s">
        <v>39</v>
      </c>
      <c r="B16" s="1918">
        <v>415584</v>
      </c>
      <c r="C16" s="1919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1883"/>
      <c r="R16" s="1883"/>
      <c r="S16" s="938"/>
      <c r="T16" s="1912" t="s">
        <v>55</v>
      </c>
      <c r="U16" s="1912"/>
      <c r="V16" s="1925">
        <f>Y12</f>
        <v>197835.32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1883"/>
      <c r="R17" s="1883"/>
      <c r="S17" s="934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197152</v>
      </c>
      <c r="C18" s="1919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1920"/>
      <c r="R18" s="1920"/>
      <c r="S18" s="935"/>
      <c r="T18" s="1912" t="s">
        <v>57</v>
      </c>
      <c r="U18" s="1912"/>
      <c r="V18" s="1920">
        <v>10520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588818</v>
      </c>
      <c r="C19" s="1919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1918">
        <f t="shared" ref="Q19" si="14">Q15+Q16+Q17-Q18</f>
        <v>0</v>
      </c>
      <c r="R19" s="1919"/>
      <c r="S19" s="935">
        <f>S15+S16-S17-S18</f>
        <v>53</v>
      </c>
      <c r="T19" s="1914" t="s">
        <v>48</v>
      </c>
      <c r="U19" s="49" t="s">
        <v>58</v>
      </c>
      <c r="V19" s="1920">
        <v>250000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566737.32500000007</v>
      </c>
      <c r="C20" s="1945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341*Q19</f>
        <v>0</v>
      </c>
      <c r="R20" s="1945"/>
      <c r="S20" s="290">
        <f>341*S19</f>
        <v>18073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996204.02500000002</v>
      </c>
      <c r="C21" s="1951"/>
      <c r="O21" s="942"/>
      <c r="P21" s="942"/>
      <c r="Q21" s="942"/>
      <c r="R21" s="942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249998</v>
      </c>
      <c r="D22" s="1949">
        <v>250000</v>
      </c>
      <c r="E22" s="1949">
        <v>647187</v>
      </c>
      <c r="F22" s="1949">
        <f>C22-D22+E22</f>
        <v>647185</v>
      </c>
      <c r="G22" s="942"/>
      <c r="Q22" s="942"/>
      <c r="R22" s="942"/>
      <c r="T22" s="1909" t="s">
        <v>83</v>
      </c>
      <c r="U22" s="50" t="s">
        <v>60</v>
      </c>
      <c r="V22" s="1920">
        <v>200380</v>
      </c>
      <c r="W22" s="1920"/>
      <c r="X22" s="1920"/>
      <c r="Y22" s="1927"/>
    </row>
    <row r="23" spans="1:25" ht="39.75" customHeight="1" x14ac:dyDescent="0.25">
      <c r="A23" s="942"/>
      <c r="B23" s="1947"/>
      <c r="C23" s="1950"/>
      <c r="D23" s="1950"/>
      <c r="E23" s="1950"/>
      <c r="F23" s="1950"/>
      <c r="G23" s="942"/>
      <c r="Q23" s="942"/>
      <c r="R23" s="942"/>
      <c r="T23" s="1910"/>
      <c r="U23" s="50" t="s">
        <v>61</v>
      </c>
      <c r="V23" s="1920">
        <v>250000</v>
      </c>
      <c r="W23" s="1920"/>
      <c r="X23" s="1920"/>
      <c r="Y23" s="1927"/>
    </row>
    <row r="24" spans="1:25" ht="48" customHeight="1" x14ac:dyDescent="0.25">
      <c r="A24" s="942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1893" t="s">
        <v>47</v>
      </c>
      <c r="U24" s="51" t="s">
        <v>62</v>
      </c>
      <c r="V24" s="1921">
        <f>V14+V16+V17-V18-V19-V20-V22+V23-V21</f>
        <v>46514.320000000007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13910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942"/>
      <c r="J33" s="942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900" t="s">
        <v>418</v>
      </c>
      <c r="U3" s="1900"/>
      <c r="V3" s="1900"/>
      <c r="W3" s="1900"/>
      <c r="X3" s="1900"/>
      <c r="Y3" s="1900"/>
    </row>
    <row r="4" spans="1:25" s="94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943" customFormat="1" ht="25.5" customHeight="1" x14ac:dyDescent="0.25">
      <c r="A5" s="1901"/>
      <c r="B5" s="1901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958" t="s">
        <v>378</v>
      </c>
      <c r="R14" s="1959"/>
      <c r="S14" s="952" t="s">
        <v>401</v>
      </c>
      <c r="T14" s="1893" t="s">
        <v>46</v>
      </c>
      <c r="U14" s="944" t="s">
        <v>176</v>
      </c>
      <c r="V14" s="1918">
        <v>46514</v>
      </c>
      <c r="W14" s="1926"/>
      <c r="X14" s="1919"/>
    </row>
    <row r="15" spans="1:25" ht="22.5" customHeight="1" x14ac:dyDescent="0.25">
      <c r="A15" s="100" t="s">
        <v>38</v>
      </c>
      <c r="B15" s="1918">
        <v>588818</v>
      </c>
      <c r="C15" s="1919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918">
        <v>0</v>
      </c>
      <c r="R15" s="1919"/>
      <c r="S15" s="944">
        <v>53</v>
      </c>
      <c r="T15" s="1893"/>
      <c r="U15" s="944" t="s">
        <v>64</v>
      </c>
      <c r="V15" s="1920">
        <v>13910</v>
      </c>
      <c r="W15" s="1920"/>
      <c r="X15" s="1920"/>
    </row>
    <row r="16" spans="1:25" ht="24.75" customHeight="1" x14ac:dyDescent="0.25">
      <c r="A16" s="100" t="s">
        <v>39</v>
      </c>
      <c r="B16" s="1918">
        <v>60779</v>
      </c>
      <c r="C16" s="1919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883"/>
      <c r="R16" s="1883"/>
      <c r="S16" s="949"/>
      <c r="T16" s="1912" t="s">
        <v>55</v>
      </c>
      <c r="U16" s="1912"/>
      <c r="V16" s="1925">
        <f>Y12</f>
        <v>198980.01500000001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883"/>
      <c r="R17" s="1883"/>
      <c r="S17" s="946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157854</v>
      </c>
      <c r="C18" s="1919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1920"/>
      <c r="R18" s="1920"/>
      <c r="S18" s="944"/>
      <c r="T18" s="1912" t="s">
        <v>57</v>
      </c>
      <c r="U18" s="1912"/>
      <c r="V18" s="1920">
        <v>1620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491743</v>
      </c>
      <c r="C19" s="1919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918">
        <f t="shared" ref="Q19" si="14">Q15+Q16+Q17-Q18</f>
        <v>0</v>
      </c>
      <c r="R19" s="1919"/>
      <c r="S19" s="944">
        <f>S15+S16-S17-S18</f>
        <v>53</v>
      </c>
      <c r="T19" s="1914" t="s">
        <v>48</v>
      </c>
      <c r="U19" s="49" t="s">
        <v>58</v>
      </c>
      <c r="V19" s="1920">
        <v>48292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473302.63750000001</v>
      </c>
      <c r="C20" s="1945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341*Q19</f>
        <v>0</v>
      </c>
      <c r="R20" s="1945"/>
      <c r="S20" s="290">
        <f>341*S19</f>
        <v>18073</v>
      </c>
      <c r="T20" s="1915"/>
      <c r="U20" s="49" t="s">
        <v>59</v>
      </c>
      <c r="V20" s="1920">
        <v>58500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857764.62950000004</v>
      </c>
      <c r="C21" s="1951"/>
      <c r="O21" s="953"/>
      <c r="P21" s="953"/>
      <c r="Q21" s="953"/>
      <c r="R21" s="953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647185</v>
      </c>
      <c r="D22" s="1949">
        <v>48292</v>
      </c>
      <c r="E22" s="1949"/>
      <c r="F22" s="1949">
        <f>C22-D22+E22</f>
        <v>598893</v>
      </c>
      <c r="G22" s="953"/>
      <c r="Q22" s="953"/>
      <c r="R22" s="953"/>
      <c r="T22" s="1909" t="s">
        <v>83</v>
      </c>
      <c r="U22" s="50" t="s">
        <v>60</v>
      </c>
      <c r="V22" s="1920">
        <v>106792</v>
      </c>
      <c r="W22" s="1920"/>
      <c r="X22" s="1920"/>
      <c r="Y22" s="1927"/>
    </row>
    <row r="23" spans="1:25" ht="39.75" customHeight="1" x14ac:dyDescent="0.25">
      <c r="A23" s="953"/>
      <c r="B23" s="1947"/>
      <c r="C23" s="1950"/>
      <c r="D23" s="1950"/>
      <c r="E23" s="1950"/>
      <c r="F23" s="1950"/>
      <c r="G23" s="953"/>
      <c r="Q23" s="953"/>
      <c r="R23" s="953"/>
      <c r="T23" s="1910"/>
      <c r="U23" s="50" t="s">
        <v>61</v>
      </c>
      <c r="V23" s="1920">
        <v>106792</v>
      </c>
      <c r="W23" s="1920"/>
      <c r="X23" s="1920"/>
      <c r="Y23" s="1927"/>
    </row>
    <row r="24" spans="1:25" ht="48" customHeight="1" x14ac:dyDescent="0.25">
      <c r="A24" s="953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893" t="s">
        <v>47</v>
      </c>
      <c r="U24" s="51" t="s">
        <v>62</v>
      </c>
      <c r="V24" s="1921">
        <f>V14+V16+V17-V18-V19-V20-V22+V23-V21</f>
        <v>137082.01500000001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13910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953"/>
      <c r="J33" s="953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900" t="s">
        <v>419</v>
      </c>
      <c r="U3" s="1900"/>
      <c r="V3" s="1900"/>
      <c r="W3" s="1900"/>
      <c r="X3" s="1900"/>
      <c r="Y3" s="1900"/>
    </row>
    <row r="4" spans="1:25" s="94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943" customFormat="1" ht="25.5" customHeight="1" x14ac:dyDescent="0.25">
      <c r="A5" s="1901"/>
      <c r="B5" s="1901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958" t="s">
        <v>378</v>
      </c>
      <c r="R14" s="1959"/>
      <c r="S14" s="952" t="s">
        <v>401</v>
      </c>
      <c r="T14" s="1893" t="s">
        <v>46</v>
      </c>
      <c r="U14" s="944" t="s">
        <v>176</v>
      </c>
      <c r="V14" s="1918">
        <v>137082</v>
      </c>
      <c r="W14" s="1926"/>
      <c r="X14" s="1919"/>
    </row>
    <row r="15" spans="1:25" ht="22.5" customHeight="1" x14ac:dyDescent="0.25">
      <c r="A15" s="100" t="s">
        <v>38</v>
      </c>
      <c r="B15" s="1918">
        <v>491743</v>
      </c>
      <c r="C15" s="1919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918">
        <v>0</v>
      </c>
      <c r="R15" s="1919"/>
      <c r="S15" s="944">
        <v>53</v>
      </c>
      <c r="T15" s="1893"/>
      <c r="U15" s="944" t="s">
        <v>64</v>
      </c>
      <c r="V15" s="1920">
        <v>13910</v>
      </c>
      <c r="W15" s="1920"/>
      <c r="X15" s="1920"/>
    </row>
    <row r="16" spans="1:25" ht="24.75" customHeight="1" x14ac:dyDescent="0.25">
      <c r="A16" s="100" t="s">
        <v>39</v>
      </c>
      <c r="B16" s="1918">
        <v>311688</v>
      </c>
      <c r="C16" s="1919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883"/>
      <c r="R16" s="1883"/>
      <c r="S16" s="949"/>
      <c r="T16" s="1912" t="s">
        <v>55</v>
      </c>
      <c r="U16" s="1912"/>
      <c r="V16" s="1925">
        <f>Y12</f>
        <v>121924.71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883"/>
      <c r="R17" s="1883"/>
      <c r="S17" s="946"/>
      <c r="T17" s="1952" t="s">
        <v>362</v>
      </c>
      <c r="U17" s="1953"/>
      <c r="V17" s="1954">
        <v>130000</v>
      </c>
      <c r="W17" s="1954"/>
      <c r="X17" s="1954"/>
    </row>
    <row r="18" spans="1:25" ht="27" customHeight="1" x14ac:dyDescent="0.25">
      <c r="A18" s="100" t="s">
        <v>40</v>
      </c>
      <c r="B18" s="1922">
        <f>C12</f>
        <v>117756</v>
      </c>
      <c r="C18" s="1919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1920"/>
      <c r="R18" s="1920"/>
      <c r="S18" s="944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685675</v>
      </c>
      <c r="C19" s="1919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918">
        <f t="shared" ref="Q19" si="14">Q15+Q16+Q17-Q18</f>
        <v>0</v>
      </c>
      <c r="R19" s="1919"/>
      <c r="S19" s="944">
        <f>S15+S16-S17-S18</f>
        <v>53</v>
      </c>
      <c r="T19" s="1914" t="s">
        <v>48</v>
      </c>
      <c r="U19" s="49" t="s">
        <v>58</v>
      </c>
      <c r="V19" s="1920">
        <v>351708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659962.1875</v>
      </c>
      <c r="C20" s="1945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341*Q19</f>
        <v>0</v>
      </c>
      <c r="R20" s="1945"/>
      <c r="S20" s="290">
        <f>341*S19</f>
        <v>18073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1037080.6114999999</v>
      </c>
      <c r="C21" s="1951"/>
      <c r="O21" s="953"/>
      <c r="P21" s="953"/>
      <c r="Q21" s="953"/>
      <c r="R21" s="953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598893</v>
      </c>
      <c r="D22" s="1949">
        <v>351708</v>
      </c>
      <c r="E22" s="1949">
        <v>300000</v>
      </c>
      <c r="F22" s="1949">
        <f>C22-D22+E22</f>
        <v>547185</v>
      </c>
      <c r="G22" s="953"/>
      <c r="Q22" s="953"/>
      <c r="R22" s="953"/>
      <c r="T22" s="1909" t="s">
        <v>83</v>
      </c>
      <c r="U22" s="50" t="s">
        <v>60</v>
      </c>
      <c r="V22" s="1920">
        <v>350340</v>
      </c>
      <c r="W22" s="1920"/>
      <c r="X22" s="1920"/>
      <c r="Y22" s="1927"/>
    </row>
    <row r="23" spans="1:25" ht="39.75" customHeight="1" x14ac:dyDescent="0.25">
      <c r="A23" s="953"/>
      <c r="B23" s="1947"/>
      <c r="C23" s="1950"/>
      <c r="D23" s="1950"/>
      <c r="E23" s="1950"/>
      <c r="F23" s="1950"/>
      <c r="G23" s="953"/>
      <c r="Q23" s="953"/>
      <c r="R23" s="953"/>
      <c r="T23" s="1910"/>
      <c r="U23" s="50" t="s">
        <v>61</v>
      </c>
      <c r="V23" s="1920">
        <v>351708</v>
      </c>
      <c r="W23" s="1920"/>
      <c r="X23" s="1920"/>
      <c r="Y23" s="1927"/>
    </row>
    <row r="24" spans="1:25" ht="48" customHeight="1" x14ac:dyDescent="0.25">
      <c r="A24" s="953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893" t="s">
        <v>47</v>
      </c>
      <c r="U24" s="51" t="s">
        <v>62</v>
      </c>
      <c r="V24" s="1921">
        <f>V14+V16+V17-V18-V19-V20-V22+V23-V21</f>
        <v>38146.710000000021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12542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953"/>
      <c r="J33" s="953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1900" t="s">
        <v>420</v>
      </c>
      <c r="U3" s="1900"/>
      <c r="V3" s="1900"/>
      <c r="W3" s="1900"/>
      <c r="X3" s="1900"/>
      <c r="Y3" s="1900"/>
    </row>
    <row r="4" spans="1:25" s="95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959" customFormat="1" ht="25.5" customHeight="1" x14ac:dyDescent="0.25">
      <c r="A5" s="1901"/>
      <c r="B5" s="1901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1958" t="s">
        <v>378</v>
      </c>
      <c r="R14" s="1959"/>
      <c r="S14" s="963" t="s">
        <v>401</v>
      </c>
      <c r="T14" s="1893" t="s">
        <v>46</v>
      </c>
      <c r="U14" s="957" t="s">
        <v>176</v>
      </c>
      <c r="V14" s="1918">
        <v>38147</v>
      </c>
      <c r="W14" s="1926"/>
      <c r="X14" s="1919"/>
    </row>
    <row r="15" spans="1:25" ht="22.5" customHeight="1" x14ac:dyDescent="0.25">
      <c r="A15" s="100" t="s">
        <v>38</v>
      </c>
      <c r="B15" s="1918">
        <v>685675</v>
      </c>
      <c r="C15" s="1919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1918">
        <v>0</v>
      </c>
      <c r="R15" s="1919"/>
      <c r="S15" s="957">
        <v>53</v>
      </c>
      <c r="T15" s="1893"/>
      <c r="U15" s="957" t="s">
        <v>64</v>
      </c>
      <c r="V15" s="1920">
        <v>12542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1883"/>
      <c r="R16" s="1883"/>
      <c r="S16" s="960"/>
      <c r="T16" s="1912" t="s">
        <v>55</v>
      </c>
      <c r="U16" s="1912"/>
      <c r="V16" s="1925">
        <f>Y12</f>
        <v>192045.27000000002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1883"/>
      <c r="R17" s="1883"/>
      <c r="S17" s="956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140172</v>
      </c>
      <c r="C18" s="1919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1920"/>
      <c r="R18" s="1920"/>
      <c r="S18" s="957"/>
      <c r="T18" s="1912" t="s">
        <v>57</v>
      </c>
      <c r="U18" s="1912"/>
      <c r="V18" s="1920">
        <v>7470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545503</v>
      </c>
      <c r="C19" s="1919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1918">
        <f t="shared" ref="Q19" si="14">Q15+Q16+Q17-Q18</f>
        <v>0</v>
      </c>
      <c r="R19" s="1919"/>
      <c r="S19" s="957">
        <f>S15+S16-S17-S18</f>
        <v>53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525046.63750000007</v>
      </c>
      <c r="C20" s="1945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341*Q19</f>
        <v>0</v>
      </c>
      <c r="R20" s="1945"/>
      <c r="S20" s="290">
        <f>341*S19</f>
        <v>18073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847004.46149999998</v>
      </c>
      <c r="C21" s="1951"/>
      <c r="O21" s="964"/>
      <c r="P21" s="964"/>
      <c r="Q21" s="964"/>
      <c r="R21" s="964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547185</v>
      </c>
      <c r="D22" s="1949"/>
      <c r="E22" s="1949"/>
      <c r="F22" s="1949">
        <f>C22-D22+E22</f>
        <v>547185</v>
      </c>
      <c r="G22" s="964"/>
      <c r="Q22" s="964"/>
      <c r="R22" s="964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964"/>
      <c r="B23" s="1947"/>
      <c r="C23" s="1950"/>
      <c r="D23" s="1950"/>
      <c r="E23" s="1950"/>
      <c r="F23" s="1950"/>
      <c r="G23" s="964"/>
      <c r="Q23" s="964"/>
      <c r="R23" s="964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964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1893" t="s">
        <v>47</v>
      </c>
      <c r="U24" s="51" t="s">
        <v>62</v>
      </c>
      <c r="V24" s="1921">
        <f>V14+V16+V17-V18-V19-V20-V22+V23-V21</f>
        <v>222722.27000000002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12542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964"/>
      <c r="J33" s="964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900" t="s">
        <v>421</v>
      </c>
      <c r="U3" s="1900"/>
      <c r="V3" s="1900"/>
      <c r="W3" s="1900"/>
      <c r="X3" s="1900"/>
      <c r="Y3" s="1900"/>
    </row>
    <row r="4" spans="1:25" s="96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965" customFormat="1" ht="25.5" customHeight="1" x14ac:dyDescent="0.25">
      <c r="A5" s="1901"/>
      <c r="B5" s="1901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958" t="s">
        <v>378</v>
      </c>
      <c r="R14" s="1959"/>
      <c r="S14" s="974" t="s">
        <v>401</v>
      </c>
      <c r="T14" s="1893" t="s">
        <v>46</v>
      </c>
      <c r="U14" s="966" t="s">
        <v>176</v>
      </c>
      <c r="V14" s="1918">
        <v>222722</v>
      </c>
      <c r="W14" s="1926"/>
      <c r="X14" s="1919"/>
    </row>
    <row r="15" spans="1:25" ht="22.5" customHeight="1" x14ac:dyDescent="0.25">
      <c r="A15" s="100" t="s">
        <v>38</v>
      </c>
      <c r="B15" s="1918">
        <v>545503</v>
      </c>
      <c r="C15" s="1919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918">
        <v>0</v>
      </c>
      <c r="R15" s="1919"/>
      <c r="S15" s="966">
        <v>53</v>
      </c>
      <c r="T15" s="1893"/>
      <c r="U15" s="966" t="s">
        <v>64</v>
      </c>
      <c r="V15" s="1920">
        <v>12542</v>
      </c>
      <c r="W15" s="1920"/>
      <c r="X15" s="1920"/>
    </row>
    <row r="16" spans="1:25" ht="24.75" customHeight="1" x14ac:dyDescent="0.25">
      <c r="A16" s="100" t="s">
        <v>39</v>
      </c>
      <c r="B16" s="1918">
        <v>114285</v>
      </c>
      <c r="C16" s="1919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1883"/>
      <c r="R16" s="1883"/>
      <c r="S16" s="971"/>
      <c r="T16" s="1912" t="s">
        <v>55</v>
      </c>
      <c r="U16" s="1912"/>
      <c r="V16" s="1925">
        <f>Y12</f>
        <v>175431.61000000002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883"/>
      <c r="R17" s="1883"/>
      <c r="S17" s="968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146596</v>
      </c>
      <c r="C18" s="1919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1920"/>
      <c r="R18" s="1920"/>
      <c r="S18" s="966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513192</v>
      </c>
      <c r="C19" s="1919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918">
        <f t="shared" ref="Q19" si="14">Q15+Q16+Q17-Q18</f>
        <v>0</v>
      </c>
      <c r="R19" s="1919"/>
      <c r="S19" s="966">
        <f>S15+S16-S17-S18</f>
        <v>53</v>
      </c>
      <c r="T19" s="1914" t="s">
        <v>48</v>
      </c>
      <c r="U19" s="49" t="s">
        <v>58</v>
      </c>
      <c r="V19" s="1920">
        <v>300000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493947.3</v>
      </c>
      <c r="C20" s="1945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341*Q19</f>
        <v>0</v>
      </c>
      <c r="R20" s="1945"/>
      <c r="S20" s="290">
        <f>341*S19</f>
        <v>18073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783361.71600000001</v>
      </c>
      <c r="C21" s="1951"/>
      <c r="O21" s="975"/>
      <c r="P21" s="975"/>
      <c r="Q21" s="975"/>
      <c r="R21" s="975"/>
      <c r="T21" s="1952" t="s">
        <v>366</v>
      </c>
      <c r="U21" s="1953"/>
      <c r="V21" s="1955">
        <v>67000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547185</v>
      </c>
      <c r="D22" s="1949">
        <v>300000</v>
      </c>
      <c r="E22" s="1949">
        <v>110000</v>
      </c>
      <c r="F22" s="1949">
        <f>C22-D22+E22</f>
        <v>357185</v>
      </c>
      <c r="G22" s="975"/>
      <c r="Q22" s="975"/>
      <c r="R22" s="975"/>
      <c r="T22" s="1909" t="s">
        <v>83</v>
      </c>
      <c r="U22" s="50" t="s">
        <v>60</v>
      </c>
      <c r="V22" s="1920">
        <v>362600</v>
      </c>
      <c r="W22" s="1920"/>
      <c r="X22" s="1920"/>
      <c r="Y22" s="1927"/>
    </row>
    <row r="23" spans="1:25" ht="39.75" customHeight="1" x14ac:dyDescent="0.25">
      <c r="A23" s="975"/>
      <c r="B23" s="1947"/>
      <c r="C23" s="1950"/>
      <c r="D23" s="1950"/>
      <c r="E23" s="1950"/>
      <c r="F23" s="1950"/>
      <c r="G23" s="975"/>
      <c r="Q23" s="975"/>
      <c r="R23" s="975"/>
      <c r="T23" s="1910"/>
      <c r="U23" s="50" t="s">
        <v>61</v>
      </c>
      <c r="V23" s="1920">
        <v>367000</v>
      </c>
      <c r="W23" s="1920"/>
      <c r="X23" s="1920"/>
      <c r="Y23" s="1927"/>
    </row>
    <row r="24" spans="1:25" ht="48" customHeight="1" x14ac:dyDescent="0.25">
      <c r="A24" s="975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893" t="s">
        <v>47</v>
      </c>
      <c r="U24" s="51" t="s">
        <v>62</v>
      </c>
      <c r="V24" s="1921">
        <f>V14+V16+V17-V18-V19-V20-V22+V23-V21</f>
        <v>35033.609999999986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8142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975"/>
      <c r="J33" s="975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900" t="s">
        <v>422</v>
      </c>
      <c r="U3" s="1900"/>
      <c r="V3" s="1900"/>
      <c r="W3" s="1900"/>
      <c r="X3" s="1900"/>
      <c r="Y3" s="1900"/>
    </row>
    <row r="4" spans="1:25" s="96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965" customFormat="1" ht="25.5" customHeight="1" x14ac:dyDescent="0.25">
      <c r="A5" s="1901"/>
      <c r="B5" s="1901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958" t="s">
        <v>378</v>
      </c>
      <c r="R14" s="1959"/>
      <c r="S14" s="974" t="s">
        <v>401</v>
      </c>
      <c r="T14" s="1893" t="s">
        <v>46</v>
      </c>
      <c r="U14" s="966" t="s">
        <v>176</v>
      </c>
      <c r="V14" s="1918">
        <v>35034</v>
      </c>
      <c r="W14" s="1926"/>
      <c r="X14" s="1919"/>
    </row>
    <row r="15" spans="1:25" ht="22.5" customHeight="1" x14ac:dyDescent="0.25">
      <c r="A15" s="100" t="s">
        <v>38</v>
      </c>
      <c r="B15" s="1918">
        <v>513192</v>
      </c>
      <c r="C15" s="1919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918">
        <v>0</v>
      </c>
      <c r="R15" s="1919"/>
      <c r="S15" s="966">
        <v>53</v>
      </c>
      <c r="T15" s="1893"/>
      <c r="U15" s="966" t="s">
        <v>64</v>
      </c>
      <c r="V15" s="1920">
        <v>8142</v>
      </c>
      <c r="W15" s="1920"/>
      <c r="X15" s="1920"/>
    </row>
    <row r="16" spans="1:25" ht="24.75" customHeight="1" x14ac:dyDescent="0.25">
      <c r="A16" s="100" t="s">
        <v>39</v>
      </c>
      <c r="B16" s="1918">
        <v>312726</v>
      </c>
      <c r="C16" s="1919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1883"/>
      <c r="R16" s="1883"/>
      <c r="S16" s="971"/>
      <c r="T16" s="1912" t="s">
        <v>55</v>
      </c>
      <c r="U16" s="1912"/>
      <c r="V16" s="1925">
        <f>Y12</f>
        <v>353201.8775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883"/>
      <c r="R17" s="1883"/>
      <c r="S17" s="968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246659</v>
      </c>
      <c r="C18" s="1919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1920"/>
      <c r="R18" s="1920"/>
      <c r="S18" s="966"/>
      <c r="T18" s="1912" t="s">
        <v>57</v>
      </c>
      <c r="U18" s="1912"/>
      <c r="V18" s="1920">
        <v>2055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579259</v>
      </c>
      <c r="C19" s="1919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918">
        <f t="shared" ref="Q19" si="14">Q15+Q16+Q17-Q18</f>
        <v>0</v>
      </c>
      <c r="R19" s="1919"/>
      <c r="S19" s="966">
        <f>S15+S16-S17-S18</f>
        <v>53</v>
      </c>
      <c r="T19" s="1914" t="s">
        <v>48</v>
      </c>
      <c r="U19" s="49" t="s">
        <v>58</v>
      </c>
      <c r="V19" s="1920">
        <v>357185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557536.78749999998</v>
      </c>
      <c r="C20" s="1945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341*Q19</f>
        <v>0</v>
      </c>
      <c r="R20" s="1945"/>
      <c r="S20" s="290">
        <f>341*S19</f>
        <v>18073</v>
      </c>
      <c r="T20" s="1915"/>
      <c r="U20" s="49" t="s">
        <v>59</v>
      </c>
      <c r="V20" s="1920">
        <v>1000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734779.56350000005</v>
      </c>
      <c r="C21" s="1951"/>
      <c r="O21" s="975"/>
      <c r="P21" s="975"/>
      <c r="Q21" s="975"/>
      <c r="R21" s="975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357185</v>
      </c>
      <c r="D22" s="1949">
        <v>357185</v>
      </c>
      <c r="E22" s="1949">
        <v>300000</v>
      </c>
      <c r="F22" s="1949">
        <f>C22-D22+E22</f>
        <v>300000</v>
      </c>
      <c r="G22" s="975"/>
      <c r="Q22" s="975"/>
      <c r="R22" s="975"/>
      <c r="T22" s="1909" t="s">
        <v>83</v>
      </c>
      <c r="U22" s="50" t="s">
        <v>60</v>
      </c>
      <c r="V22" s="1920">
        <v>360740</v>
      </c>
      <c r="W22" s="1920"/>
      <c r="X22" s="1920"/>
      <c r="Y22" s="1927"/>
    </row>
    <row r="23" spans="1:25" ht="39.75" customHeight="1" x14ac:dyDescent="0.25">
      <c r="A23" s="975"/>
      <c r="B23" s="1947"/>
      <c r="C23" s="1950"/>
      <c r="D23" s="1950"/>
      <c r="E23" s="1950"/>
      <c r="F23" s="1950"/>
      <c r="G23" s="975"/>
      <c r="Q23" s="975"/>
      <c r="R23" s="975"/>
      <c r="T23" s="1910"/>
      <c r="U23" s="50" t="s">
        <v>61</v>
      </c>
      <c r="V23" s="1920">
        <v>357185</v>
      </c>
      <c r="W23" s="1920"/>
      <c r="X23" s="1920"/>
      <c r="Y23" s="1927"/>
    </row>
    <row r="24" spans="1:25" ht="48" customHeight="1" x14ac:dyDescent="0.25">
      <c r="A24" s="975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893" t="s">
        <v>47</v>
      </c>
      <c r="U24" s="51" t="s">
        <v>62</v>
      </c>
      <c r="V24" s="1921">
        <f>V14+V16+V17-V18-V19-V20-V22+V23-V21</f>
        <v>24440.877500000002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11697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975"/>
      <c r="J33" s="975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1900" t="s">
        <v>423</v>
      </c>
      <c r="U3" s="1900"/>
      <c r="V3" s="1900"/>
      <c r="W3" s="1900"/>
      <c r="X3" s="1900"/>
      <c r="Y3" s="1900"/>
    </row>
    <row r="4" spans="1:25" s="981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981" customFormat="1" ht="25.5" customHeight="1" x14ac:dyDescent="0.25">
      <c r="A5" s="1901"/>
      <c r="B5" s="1901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1958" t="s">
        <v>378</v>
      </c>
      <c r="R14" s="1959"/>
      <c r="S14" s="985" t="s">
        <v>401</v>
      </c>
      <c r="T14" s="1893" t="s">
        <v>46</v>
      </c>
      <c r="U14" s="979" t="s">
        <v>176</v>
      </c>
      <c r="V14" s="1918">
        <v>24441</v>
      </c>
      <c r="W14" s="1926"/>
      <c r="X14" s="1919"/>
    </row>
    <row r="15" spans="1:25" ht="22.5" customHeight="1" x14ac:dyDescent="0.25">
      <c r="A15" s="100" t="s">
        <v>38</v>
      </c>
      <c r="B15" s="1918">
        <v>579259</v>
      </c>
      <c r="C15" s="1919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1918">
        <v>0</v>
      </c>
      <c r="R15" s="1919"/>
      <c r="S15" s="979">
        <v>53</v>
      </c>
      <c r="T15" s="1893"/>
      <c r="U15" s="979" t="s">
        <v>64</v>
      </c>
      <c r="V15" s="1920">
        <v>11697</v>
      </c>
      <c r="W15" s="1920"/>
      <c r="X15" s="1920"/>
    </row>
    <row r="16" spans="1:25" ht="24.75" customHeight="1" x14ac:dyDescent="0.25">
      <c r="A16" s="100" t="s">
        <v>39</v>
      </c>
      <c r="B16" s="1918">
        <v>342421</v>
      </c>
      <c r="C16" s="1919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1883"/>
      <c r="R16" s="1883"/>
      <c r="S16" s="982"/>
      <c r="T16" s="1912" t="s">
        <v>55</v>
      </c>
      <c r="U16" s="1912"/>
      <c r="V16" s="1925">
        <f>Y12</f>
        <v>397064.26750000002</v>
      </c>
      <c r="W16" s="1925"/>
      <c r="X16" s="1920"/>
    </row>
    <row r="17" spans="1:25" ht="28.5" customHeight="1" x14ac:dyDescent="0.25">
      <c r="A17" s="101" t="s">
        <v>44</v>
      </c>
      <c r="B17" s="1918">
        <v>53752</v>
      </c>
      <c r="C17" s="1919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1883"/>
      <c r="R17" s="1883"/>
      <c r="S17" s="978"/>
      <c r="T17" s="1952" t="s">
        <v>362</v>
      </c>
      <c r="U17" s="1953"/>
      <c r="V17" s="1954">
        <v>237000</v>
      </c>
      <c r="W17" s="1954"/>
      <c r="X17" s="1954"/>
    </row>
    <row r="18" spans="1:25" ht="27" customHeight="1" x14ac:dyDescent="0.25">
      <c r="A18" s="100" t="s">
        <v>40</v>
      </c>
      <c r="B18" s="1922">
        <f>C12</f>
        <v>400063</v>
      </c>
      <c r="C18" s="1919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1920"/>
      <c r="R18" s="1920"/>
      <c r="S18" s="979"/>
      <c r="T18" s="1912" t="s">
        <v>57</v>
      </c>
      <c r="U18" s="1912"/>
      <c r="V18" s="1920">
        <v>920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575369</v>
      </c>
      <c r="C19" s="1919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1918">
        <f t="shared" ref="Q19" si="14">Q15+Q16+Q17-Q18</f>
        <v>0</v>
      </c>
      <c r="R19" s="1919"/>
      <c r="S19" s="979">
        <f>S15+S16-S17-S18</f>
        <v>53</v>
      </c>
      <c r="T19" s="1914" t="s">
        <v>48</v>
      </c>
      <c r="U19" s="49" t="s">
        <v>58</v>
      </c>
      <c r="V19" s="1920">
        <v>300000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553792.66249999998</v>
      </c>
      <c r="C20" s="1945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341*Q19</f>
        <v>0</v>
      </c>
      <c r="R20" s="1945"/>
      <c r="S20" s="290">
        <f>341*S19</f>
        <v>18073</v>
      </c>
      <c r="T20" s="1915"/>
      <c r="U20" s="49" t="s">
        <v>59</v>
      </c>
      <c r="V20" s="1920">
        <v>332400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1125931.2264999999</v>
      </c>
      <c r="C21" s="1951"/>
      <c r="O21" s="986"/>
      <c r="P21" s="986"/>
      <c r="Q21" s="986"/>
      <c r="R21" s="986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300000</v>
      </c>
      <c r="D22" s="1949">
        <v>300000</v>
      </c>
      <c r="E22" s="1949">
        <v>400000</v>
      </c>
      <c r="F22" s="1949">
        <f>C22-D22+E22</f>
        <v>400000</v>
      </c>
      <c r="G22" s="986"/>
      <c r="Q22" s="986"/>
      <c r="R22" s="986"/>
      <c r="T22" s="1909" t="s">
        <v>83</v>
      </c>
      <c r="U22" s="50" t="s">
        <v>60</v>
      </c>
      <c r="V22" s="1920">
        <v>627550</v>
      </c>
      <c r="W22" s="1920"/>
      <c r="X22" s="1920"/>
      <c r="Y22" s="1927"/>
    </row>
    <row r="23" spans="1:25" ht="39.75" customHeight="1" x14ac:dyDescent="0.25">
      <c r="A23" s="986"/>
      <c r="B23" s="1947"/>
      <c r="C23" s="1950"/>
      <c r="D23" s="1950"/>
      <c r="E23" s="1950"/>
      <c r="F23" s="1950"/>
      <c r="G23" s="986"/>
      <c r="Q23" s="986"/>
      <c r="R23" s="986"/>
      <c r="T23" s="1910"/>
      <c r="U23" s="50" t="s">
        <v>61</v>
      </c>
      <c r="V23" s="1920">
        <v>632400</v>
      </c>
      <c r="W23" s="1920"/>
      <c r="X23" s="1920"/>
      <c r="Y23" s="1927"/>
    </row>
    <row r="24" spans="1:25" ht="48" customHeight="1" x14ac:dyDescent="0.25">
      <c r="A24" s="986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1893" t="s">
        <v>47</v>
      </c>
      <c r="U24" s="51" t="s">
        <v>62</v>
      </c>
      <c r="V24" s="1921">
        <f>V14+V16+V17-V18-V19-V20-V22+V23-V21</f>
        <v>30035.267500000075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6847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986"/>
      <c r="J33" s="986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1900" t="s">
        <v>424</v>
      </c>
      <c r="U3" s="1900"/>
      <c r="V3" s="1900"/>
      <c r="W3" s="1900"/>
      <c r="X3" s="1900"/>
      <c r="Y3" s="1900"/>
    </row>
    <row r="4" spans="1:25" s="98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987" customFormat="1" ht="25.5" customHeight="1" x14ac:dyDescent="0.25">
      <c r="A5" s="1901"/>
      <c r="B5" s="1901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1958" t="s">
        <v>378</v>
      </c>
      <c r="R14" s="1959"/>
      <c r="S14" s="996" t="s">
        <v>401</v>
      </c>
      <c r="T14" s="1893" t="s">
        <v>46</v>
      </c>
      <c r="U14" s="988" t="s">
        <v>176</v>
      </c>
      <c r="V14" s="1918">
        <v>30035</v>
      </c>
      <c r="W14" s="1926"/>
      <c r="X14" s="1919"/>
    </row>
    <row r="15" spans="1:25" ht="22.5" customHeight="1" x14ac:dyDescent="0.25">
      <c r="A15" s="100" t="s">
        <v>38</v>
      </c>
      <c r="B15" s="1918">
        <v>575369</v>
      </c>
      <c r="C15" s="1919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1918">
        <v>0</v>
      </c>
      <c r="R15" s="1919"/>
      <c r="S15" s="988">
        <v>53</v>
      </c>
      <c r="T15" s="1893"/>
      <c r="U15" s="988" t="s">
        <v>64</v>
      </c>
      <c r="V15" s="1920">
        <v>6847</v>
      </c>
      <c r="W15" s="1920"/>
      <c r="X15" s="1920"/>
    </row>
    <row r="16" spans="1:25" ht="24.75" customHeight="1" x14ac:dyDescent="0.25">
      <c r="A16" s="100" t="s">
        <v>39</v>
      </c>
      <c r="B16" s="1918">
        <v>124752</v>
      </c>
      <c r="C16" s="1919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1883"/>
      <c r="R16" s="1883"/>
      <c r="S16" s="993"/>
      <c r="T16" s="1912" t="s">
        <v>55</v>
      </c>
      <c r="U16" s="1912"/>
      <c r="V16" s="1925">
        <f>Y12</f>
        <v>527649.78249999997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1883"/>
      <c r="R17" s="1883"/>
      <c r="S17" s="990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179317</v>
      </c>
      <c r="C18" s="1919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1920"/>
      <c r="R18" s="1920"/>
      <c r="S18" s="988"/>
      <c r="T18" s="1912" t="s">
        <v>57</v>
      </c>
      <c r="U18" s="1912"/>
      <c r="V18" s="1920">
        <v>9790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520804</v>
      </c>
      <c r="C19" s="1919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1918">
        <f t="shared" ref="Q19" si="14">Q15+Q16+Q17-Q18</f>
        <v>0</v>
      </c>
      <c r="R19" s="1919"/>
      <c r="S19" s="988">
        <f>S15+S16-S17-S18</f>
        <v>53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501273.85000000003</v>
      </c>
      <c r="C20" s="1945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341*Q19</f>
        <v>0</v>
      </c>
      <c r="R20" s="1945"/>
      <c r="S20" s="290">
        <f>341*S19</f>
        <v>18073</v>
      </c>
      <c r="T20" s="1915"/>
      <c r="U20" s="49" t="s">
        <v>59</v>
      </c>
      <c r="V20" s="1920">
        <v>120074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723771.07799999998</v>
      </c>
      <c r="C21" s="1951"/>
      <c r="O21" s="997"/>
      <c r="P21" s="997"/>
      <c r="Q21" s="997"/>
      <c r="R21" s="997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/>
      <c r="E22" s="1949"/>
      <c r="F22" s="1949">
        <f>C22-D22+E22</f>
        <v>400000</v>
      </c>
      <c r="G22" s="997"/>
      <c r="Q22" s="997"/>
      <c r="R22" s="997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997"/>
      <c r="B23" s="1947"/>
      <c r="C23" s="1950"/>
      <c r="D23" s="1950"/>
      <c r="E23" s="1950"/>
      <c r="F23" s="1950"/>
      <c r="G23" s="997"/>
      <c r="Q23" s="997"/>
      <c r="R23" s="997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997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1893" t="s">
        <v>47</v>
      </c>
      <c r="U24" s="51" t="s">
        <v>62</v>
      </c>
      <c r="V24" s="1921">
        <f>V14+V16+V17-V18-V19-V20-V22+V23-V21</f>
        <v>427820.78249999997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6847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997"/>
      <c r="J33" s="997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900" t="s">
        <v>425</v>
      </c>
      <c r="U3" s="1900"/>
      <c r="V3" s="1900"/>
      <c r="W3" s="1900"/>
      <c r="X3" s="1900"/>
      <c r="Y3" s="1900"/>
    </row>
    <row r="4" spans="1:25" s="100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003" customFormat="1" ht="25.5" customHeight="1" x14ac:dyDescent="0.25">
      <c r="A5" s="1901"/>
      <c r="B5" s="1901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958" t="s">
        <v>378</v>
      </c>
      <c r="R14" s="1959"/>
      <c r="S14" s="1007" t="s">
        <v>401</v>
      </c>
      <c r="T14" s="1893" t="s">
        <v>46</v>
      </c>
      <c r="U14" s="1001" t="s">
        <v>176</v>
      </c>
      <c r="V14" s="1918">
        <v>427821</v>
      </c>
      <c r="W14" s="1926"/>
      <c r="X14" s="1919"/>
    </row>
    <row r="15" spans="1:25" ht="22.5" customHeight="1" x14ac:dyDescent="0.25">
      <c r="A15" s="100" t="s">
        <v>38</v>
      </c>
      <c r="B15" s="1918">
        <v>520804</v>
      </c>
      <c r="C15" s="1919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1918">
        <v>0</v>
      </c>
      <c r="R15" s="1919"/>
      <c r="S15" s="1001">
        <v>53</v>
      </c>
      <c r="T15" s="1893"/>
      <c r="U15" s="1001" t="s">
        <v>64</v>
      </c>
      <c r="V15" s="1920">
        <v>6847</v>
      </c>
      <c r="W15" s="1920"/>
      <c r="X15" s="1920"/>
    </row>
    <row r="16" spans="1:25" ht="24.75" customHeight="1" x14ac:dyDescent="0.25">
      <c r="A16" s="100" t="s">
        <v>39</v>
      </c>
      <c r="B16" s="1918">
        <v>138181</v>
      </c>
      <c r="C16" s="1919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883"/>
      <c r="R16" s="1883"/>
      <c r="S16" s="1004"/>
      <c r="T16" s="1912" t="s">
        <v>55</v>
      </c>
      <c r="U16" s="1912"/>
      <c r="V16" s="1925">
        <f>Y12</f>
        <v>65448.494999999995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883"/>
      <c r="R17" s="1883"/>
      <c r="S17" s="1000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63582</v>
      </c>
      <c r="C18" s="1919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1920"/>
      <c r="R18" s="1920"/>
      <c r="S18" s="1001"/>
      <c r="T18" s="1912" t="s">
        <v>57</v>
      </c>
      <c r="U18" s="1912"/>
      <c r="V18" s="1920">
        <v>25399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595403</v>
      </c>
      <c r="C19" s="1919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918">
        <f t="shared" ref="Q19" si="14">Q15+Q16+Q17-Q18</f>
        <v>0</v>
      </c>
      <c r="R19" s="1919"/>
      <c r="S19" s="1001">
        <f>S15+S16-S17-S18</f>
        <v>53</v>
      </c>
      <c r="T19" s="1914" t="s">
        <v>48</v>
      </c>
      <c r="U19" s="49" t="s">
        <v>58</v>
      </c>
      <c r="V19" s="1920">
        <v>400000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573075.38750000007</v>
      </c>
      <c r="C20" s="1945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341*Q19</f>
        <v>0</v>
      </c>
      <c r="R20" s="1945"/>
      <c r="S20" s="290">
        <f>341*S19</f>
        <v>18073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791957.61549999996</v>
      </c>
      <c r="C21" s="1951"/>
      <c r="O21" s="1008"/>
      <c r="P21" s="1008"/>
      <c r="Q21" s="1008"/>
      <c r="R21" s="1008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>
        <v>400000</v>
      </c>
      <c r="E22" s="1949">
        <v>133000</v>
      </c>
      <c r="F22" s="1949">
        <f>C22-D22+E22</f>
        <v>133000</v>
      </c>
      <c r="G22" s="1008"/>
      <c r="Q22" s="1008"/>
      <c r="R22" s="1008"/>
      <c r="T22" s="1909" t="s">
        <v>83</v>
      </c>
      <c r="U22" s="50" t="s">
        <v>60</v>
      </c>
      <c r="V22" s="1920">
        <v>401100</v>
      </c>
      <c r="W22" s="1920"/>
      <c r="X22" s="1920"/>
      <c r="Y22" s="1927"/>
    </row>
    <row r="23" spans="1:25" ht="39.75" customHeight="1" x14ac:dyDescent="0.25">
      <c r="A23" s="1008"/>
      <c r="B23" s="1947"/>
      <c r="C23" s="1950"/>
      <c r="D23" s="1950"/>
      <c r="E23" s="1950"/>
      <c r="F23" s="1950"/>
      <c r="G23" s="1008"/>
      <c r="Q23" s="1008"/>
      <c r="R23" s="1008"/>
      <c r="T23" s="1910"/>
      <c r="U23" s="50" t="s">
        <v>61</v>
      </c>
      <c r="V23" s="1920">
        <v>400000</v>
      </c>
      <c r="W23" s="1920"/>
      <c r="X23" s="1920"/>
      <c r="Y23" s="1927"/>
    </row>
    <row r="24" spans="1:25" ht="48" customHeight="1" x14ac:dyDescent="0.25">
      <c r="A24" s="1008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893" t="s">
        <v>47</v>
      </c>
      <c r="U24" s="51" t="s">
        <v>62</v>
      </c>
      <c r="V24" s="1921">
        <f>V14+V16+V17-V18-V19-V20-V22+V23-V21</f>
        <v>66770.494999999995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7947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008"/>
      <c r="J33" s="1008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900" t="s">
        <v>426</v>
      </c>
      <c r="U3" s="1900"/>
      <c r="V3" s="1900"/>
      <c r="W3" s="1900"/>
      <c r="X3" s="1900"/>
      <c r="Y3" s="1900"/>
    </row>
    <row r="4" spans="1:25" s="100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67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003" customFormat="1" ht="25.5" customHeight="1" x14ac:dyDescent="0.25">
      <c r="A5" s="1901"/>
      <c r="B5" s="1901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958" t="s">
        <v>378</v>
      </c>
      <c r="R14" s="1959"/>
      <c r="S14" s="1007" t="s">
        <v>401</v>
      </c>
      <c r="T14" s="1893" t="s">
        <v>46</v>
      </c>
      <c r="U14" s="1001" t="s">
        <v>176</v>
      </c>
      <c r="V14" s="1918">
        <v>66770</v>
      </c>
      <c r="W14" s="1926"/>
      <c r="X14" s="1919"/>
    </row>
    <row r="15" spans="1:25" ht="22.5" customHeight="1" x14ac:dyDescent="0.25">
      <c r="A15" s="100" t="s">
        <v>38</v>
      </c>
      <c r="B15" s="1918">
        <v>595403</v>
      </c>
      <c r="C15" s="1919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918">
        <v>0</v>
      </c>
      <c r="R15" s="1919"/>
      <c r="S15" s="1001">
        <v>53</v>
      </c>
      <c r="T15" s="1893"/>
      <c r="U15" s="1001" t="s">
        <v>64</v>
      </c>
      <c r="V15" s="1920">
        <v>7947</v>
      </c>
      <c r="W15" s="1920"/>
      <c r="X15" s="1920"/>
    </row>
    <row r="16" spans="1:25" ht="24.75" customHeight="1" x14ac:dyDescent="0.25">
      <c r="A16" s="100" t="s">
        <v>39</v>
      </c>
      <c r="B16" s="1918">
        <v>210914</v>
      </c>
      <c r="C16" s="1919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1883"/>
      <c r="R16" s="1883"/>
      <c r="S16" s="1004"/>
      <c r="T16" s="1912" t="s">
        <v>55</v>
      </c>
      <c r="U16" s="1912"/>
      <c r="V16" s="1925">
        <f>Y12</f>
        <v>186779.83499999999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883"/>
      <c r="R17" s="1883"/>
      <c r="S17" s="1000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146406</v>
      </c>
      <c r="C18" s="1919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920"/>
      <c r="R18" s="1920"/>
      <c r="S18" s="1001"/>
      <c r="T18" s="1912" t="s">
        <v>57</v>
      </c>
      <c r="U18" s="1912"/>
      <c r="V18" s="1920">
        <v>16570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659911</v>
      </c>
      <c r="C19" s="1919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918">
        <f t="shared" ref="Q19" si="14">Q15+Q16+Q17-Q18</f>
        <v>0</v>
      </c>
      <c r="R19" s="1919"/>
      <c r="S19" s="1001">
        <f>S15+S16-S17-S18</f>
        <v>53</v>
      </c>
      <c r="T19" s="1914" t="s">
        <v>48</v>
      </c>
      <c r="U19" s="49" t="s">
        <v>58</v>
      </c>
      <c r="V19" s="1920">
        <v>133000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635164.33750000002</v>
      </c>
      <c r="C20" s="1945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341*Q19</f>
        <v>0</v>
      </c>
      <c r="R20" s="1945"/>
      <c r="S20" s="290">
        <f>341*S19</f>
        <v>18073</v>
      </c>
      <c r="T20" s="1915"/>
      <c r="U20" s="49" t="s">
        <v>59</v>
      </c>
      <c r="V20" s="1920">
        <v>50000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957097.56549999991</v>
      </c>
      <c r="C21" s="1951"/>
      <c r="O21" s="1008"/>
      <c r="P21" s="1008"/>
      <c r="Q21" s="1008"/>
      <c r="R21" s="1008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133000</v>
      </c>
      <c r="D22" s="1949">
        <v>133000</v>
      </c>
      <c r="E22" s="1949">
        <v>300000</v>
      </c>
      <c r="F22" s="1949">
        <f>C22-D22+E22</f>
        <v>300000</v>
      </c>
      <c r="G22" s="1008"/>
      <c r="Q22" s="1008"/>
      <c r="R22" s="1008"/>
      <c r="T22" s="1909" t="s">
        <v>83</v>
      </c>
      <c r="U22" s="50" t="s">
        <v>60</v>
      </c>
      <c r="V22" s="1920">
        <v>217801</v>
      </c>
      <c r="W22" s="1920"/>
      <c r="X22" s="1920"/>
      <c r="Y22" s="1927"/>
    </row>
    <row r="23" spans="1:25" ht="39.75" customHeight="1" x14ac:dyDescent="0.25">
      <c r="A23" s="1008"/>
      <c r="B23" s="1947"/>
      <c r="C23" s="1950"/>
      <c r="D23" s="1950"/>
      <c r="E23" s="1950"/>
      <c r="F23" s="1950"/>
      <c r="G23" s="1008"/>
      <c r="Q23" s="1008"/>
      <c r="R23" s="1008"/>
      <c r="T23" s="1910"/>
      <c r="U23" s="50" t="s">
        <v>61</v>
      </c>
      <c r="V23" s="1920">
        <v>183000</v>
      </c>
      <c r="W23" s="1920"/>
      <c r="X23" s="1920"/>
      <c r="Y23" s="1927"/>
    </row>
    <row r="24" spans="1:25" ht="48" customHeight="1" x14ac:dyDescent="0.25">
      <c r="A24" s="1008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893" t="s">
        <v>47</v>
      </c>
      <c r="U24" s="51" t="s">
        <v>62</v>
      </c>
      <c r="V24" s="1921">
        <f>V14+V16+V17-V18-V19-V20-V22+V23-V21</f>
        <v>19178.834999999992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42748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008"/>
      <c r="J33" s="1008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900" t="s">
        <v>428</v>
      </c>
      <c r="U3" s="1900"/>
      <c r="V3" s="1900"/>
      <c r="W3" s="1900"/>
      <c r="X3" s="1900"/>
      <c r="Y3" s="1900"/>
    </row>
    <row r="4" spans="1:25" s="100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003" customFormat="1" ht="25.5" customHeight="1" x14ac:dyDescent="0.25">
      <c r="A5" s="1901"/>
      <c r="B5" s="1901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958" t="s">
        <v>378</v>
      </c>
      <c r="R14" s="1959"/>
      <c r="S14" s="1007" t="s">
        <v>401</v>
      </c>
      <c r="T14" s="1893" t="s">
        <v>46</v>
      </c>
      <c r="U14" s="1001" t="s">
        <v>176</v>
      </c>
      <c r="V14" s="1918">
        <v>19179</v>
      </c>
      <c r="W14" s="1926"/>
      <c r="X14" s="1919"/>
    </row>
    <row r="15" spans="1:25" ht="22.5" customHeight="1" x14ac:dyDescent="0.25">
      <c r="A15" s="100" t="s">
        <v>38</v>
      </c>
      <c r="B15" s="1918">
        <v>659911</v>
      </c>
      <c r="C15" s="1919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918">
        <v>0</v>
      </c>
      <c r="R15" s="1919"/>
      <c r="S15" s="1001">
        <v>53</v>
      </c>
      <c r="T15" s="1893"/>
      <c r="U15" s="1001" t="s">
        <v>64</v>
      </c>
      <c r="V15" s="1920">
        <v>42748</v>
      </c>
      <c r="W15" s="1920"/>
      <c r="X15" s="1920"/>
    </row>
    <row r="16" spans="1:25" ht="24.75" customHeight="1" x14ac:dyDescent="0.25">
      <c r="A16" s="100" t="s">
        <v>39</v>
      </c>
      <c r="B16" s="1918">
        <v>31168</v>
      </c>
      <c r="C16" s="1919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1883"/>
      <c r="R16" s="1883"/>
      <c r="S16" s="1004"/>
      <c r="T16" s="1912" t="s">
        <v>55</v>
      </c>
      <c r="U16" s="1912"/>
      <c r="V16" s="1925">
        <f>Y12</f>
        <v>357765.04749999999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883"/>
      <c r="R17" s="1883"/>
      <c r="S17" s="1000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332271</v>
      </c>
      <c r="C18" s="1919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920"/>
      <c r="R18" s="1920"/>
      <c r="S18" s="1001">
        <v>46</v>
      </c>
      <c r="T18" s="1912" t="s">
        <v>57</v>
      </c>
      <c r="U18" s="1912"/>
      <c r="V18" s="1920">
        <v>89702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358808</v>
      </c>
      <c r="C19" s="1919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918">
        <f t="shared" ref="Q19" si="14">Q15+Q16+Q17-Q18</f>
        <v>0</v>
      </c>
      <c r="R19" s="1919"/>
      <c r="S19" s="1001">
        <f>S15+S16-S17-S18</f>
        <v>7</v>
      </c>
      <c r="T19" s="1914" t="s">
        <v>48</v>
      </c>
      <c r="U19" s="49" t="s">
        <v>58</v>
      </c>
      <c r="V19" s="1920">
        <v>300000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345352.7</v>
      </c>
      <c r="C20" s="1945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341*Q19</f>
        <v>0</v>
      </c>
      <c r="R20" s="1945"/>
      <c r="S20" s="290">
        <f>341*S19</f>
        <v>2387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701121.05799999996</v>
      </c>
      <c r="C21" s="1951"/>
      <c r="O21" s="1008"/>
      <c r="P21" s="1008"/>
      <c r="Q21" s="1008"/>
      <c r="R21" s="1008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300000</v>
      </c>
      <c r="D22" s="1949">
        <v>300000</v>
      </c>
      <c r="E22" s="1949">
        <v>102108</v>
      </c>
      <c r="F22" s="1949">
        <f>C22-D22+E22</f>
        <v>102108</v>
      </c>
      <c r="G22" s="1008"/>
      <c r="Q22" s="1008"/>
      <c r="R22" s="1008"/>
      <c r="T22" s="1909" t="s">
        <v>83</v>
      </c>
      <c r="U22" s="50" t="s">
        <v>60</v>
      </c>
      <c r="V22" s="1920">
        <v>265000</v>
      </c>
      <c r="W22" s="1920"/>
      <c r="X22" s="1920"/>
      <c r="Y22" s="1927"/>
    </row>
    <row r="23" spans="1:25" ht="39.75" customHeight="1" x14ac:dyDescent="0.25">
      <c r="A23" s="1008"/>
      <c r="B23" s="1947"/>
      <c r="C23" s="1950"/>
      <c r="D23" s="1950"/>
      <c r="E23" s="1950"/>
      <c r="F23" s="1950"/>
      <c r="G23" s="1008"/>
      <c r="Q23" s="1008"/>
      <c r="R23" s="1008"/>
      <c r="T23" s="1910"/>
      <c r="U23" s="50" t="s">
        <v>61</v>
      </c>
      <c r="V23" s="1920">
        <v>300000</v>
      </c>
      <c r="W23" s="1920"/>
      <c r="X23" s="1920"/>
      <c r="Y23" s="1927"/>
    </row>
    <row r="24" spans="1:25" ht="48" customHeight="1" x14ac:dyDescent="0.25">
      <c r="A24" s="1008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893" t="s">
        <v>47</v>
      </c>
      <c r="U24" s="51" t="s">
        <v>62</v>
      </c>
      <c r="V24" s="1921">
        <f>V14+V16+V17-V18-V19-V20-V22+V23-V21</f>
        <v>22242.047499999986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7748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008"/>
      <c r="J33" s="1008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900" t="s">
        <v>430</v>
      </c>
      <c r="U3" s="1900"/>
      <c r="V3" s="1900"/>
      <c r="W3" s="1900"/>
      <c r="X3" s="1900"/>
      <c r="Y3" s="1900"/>
    </row>
    <row r="4" spans="1:25" s="100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003" customFormat="1" ht="25.5" customHeight="1" x14ac:dyDescent="0.25">
      <c r="A5" s="1901"/>
      <c r="B5" s="1901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958" t="s">
        <v>378</v>
      </c>
      <c r="R14" s="1959"/>
      <c r="S14" s="1007" t="s">
        <v>401</v>
      </c>
      <c r="T14" s="1893" t="s">
        <v>46</v>
      </c>
      <c r="U14" s="1001" t="s">
        <v>176</v>
      </c>
      <c r="V14" s="1918">
        <v>22242</v>
      </c>
      <c r="W14" s="1926"/>
      <c r="X14" s="1919"/>
    </row>
    <row r="15" spans="1:25" ht="22.5" customHeight="1" x14ac:dyDescent="0.25">
      <c r="A15" s="100" t="s">
        <v>38</v>
      </c>
      <c r="B15" s="1918">
        <v>358808</v>
      </c>
      <c r="C15" s="1919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918">
        <v>0</v>
      </c>
      <c r="R15" s="1919"/>
      <c r="S15" s="1001">
        <v>7</v>
      </c>
      <c r="T15" s="1893"/>
      <c r="U15" s="1001" t="s">
        <v>64</v>
      </c>
      <c r="V15" s="1920">
        <v>7748</v>
      </c>
      <c r="W15" s="1920"/>
      <c r="X15" s="1920"/>
    </row>
    <row r="16" spans="1:25" ht="24.75" customHeight="1" x14ac:dyDescent="0.25">
      <c r="A16" s="100" t="s">
        <v>39</v>
      </c>
      <c r="B16" s="1918">
        <v>114285</v>
      </c>
      <c r="C16" s="1919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883"/>
      <c r="R16" s="1883"/>
      <c r="S16" s="1004"/>
      <c r="T16" s="1912" t="s">
        <v>55</v>
      </c>
      <c r="U16" s="1912"/>
      <c r="V16" s="1925">
        <f>Y12</f>
        <v>108951.875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883"/>
      <c r="R17" s="1883"/>
      <c r="S17" s="1000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109750</v>
      </c>
      <c r="C18" s="1919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920"/>
      <c r="R18" s="1920"/>
      <c r="S18" s="1001"/>
      <c r="T18" s="1912" t="s">
        <v>57</v>
      </c>
      <c r="U18" s="1912"/>
      <c r="V18" s="1920">
        <v>570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363343</v>
      </c>
      <c r="C19" s="1919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918">
        <f t="shared" ref="Q19" si="14">Q15+Q16+Q17-Q18</f>
        <v>0</v>
      </c>
      <c r="R19" s="1919"/>
      <c r="S19" s="1001">
        <f>S15+S16-S17-S18</f>
        <v>7</v>
      </c>
      <c r="T19" s="1914" t="s">
        <v>48</v>
      </c>
      <c r="U19" s="49" t="s">
        <v>58</v>
      </c>
      <c r="V19" s="1920">
        <v>102108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349717.63750000001</v>
      </c>
      <c r="C20" s="1945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341*Q19</f>
        <v>0</v>
      </c>
      <c r="R20" s="1945"/>
      <c r="S20" s="290">
        <f>341*S19</f>
        <v>2387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703288.79550000001</v>
      </c>
      <c r="C21" s="1951"/>
      <c r="O21" s="1008"/>
      <c r="P21" s="1008"/>
      <c r="Q21" s="1008"/>
      <c r="R21" s="1008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102108</v>
      </c>
      <c r="D22" s="1949">
        <v>102108</v>
      </c>
      <c r="E22" s="1949">
        <v>110000</v>
      </c>
      <c r="F22" s="1949">
        <f>C22-D22+E22</f>
        <v>110000</v>
      </c>
      <c r="G22" s="1008"/>
      <c r="Q22" s="1008"/>
      <c r="R22" s="1008"/>
      <c r="T22" s="1909" t="s">
        <v>83</v>
      </c>
      <c r="U22" s="50" t="s">
        <v>60</v>
      </c>
      <c r="V22" s="1920">
        <v>106380</v>
      </c>
      <c r="W22" s="1920"/>
      <c r="X22" s="1920"/>
      <c r="Y22" s="1927"/>
    </row>
    <row r="23" spans="1:25" ht="39.75" customHeight="1" x14ac:dyDescent="0.25">
      <c r="A23" s="1008"/>
      <c r="B23" s="1947"/>
      <c r="C23" s="1950"/>
      <c r="D23" s="1950"/>
      <c r="E23" s="1950"/>
      <c r="F23" s="1950"/>
      <c r="G23" s="1008"/>
      <c r="Q23" s="1008"/>
      <c r="R23" s="1008"/>
      <c r="T23" s="1910"/>
      <c r="U23" s="50" t="s">
        <v>61</v>
      </c>
      <c r="V23" s="1920">
        <v>102108</v>
      </c>
      <c r="W23" s="1920"/>
      <c r="X23" s="1920"/>
      <c r="Y23" s="1927"/>
    </row>
    <row r="24" spans="1:25" ht="48" customHeight="1" x14ac:dyDescent="0.25">
      <c r="A24" s="1008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893" t="s">
        <v>47</v>
      </c>
      <c r="U24" s="51" t="s">
        <v>62</v>
      </c>
      <c r="V24" s="1921">
        <f>V14+V16+V17-V18-V19-V20-V22+V23-V21</f>
        <v>24243.875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12020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008"/>
      <c r="J33" s="1008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900" t="s">
        <v>431</v>
      </c>
      <c r="U3" s="1900"/>
      <c r="V3" s="1900"/>
      <c r="W3" s="1900"/>
      <c r="X3" s="1900"/>
      <c r="Y3" s="1900"/>
    </row>
    <row r="4" spans="1:25" s="100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003" customFormat="1" ht="25.5" customHeight="1" x14ac:dyDescent="0.25">
      <c r="A5" s="1901"/>
      <c r="B5" s="1901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958" t="s">
        <v>378</v>
      </c>
      <c r="R14" s="1959"/>
      <c r="S14" s="1007" t="s">
        <v>401</v>
      </c>
      <c r="T14" s="1893" t="s">
        <v>46</v>
      </c>
      <c r="U14" s="1001" t="s">
        <v>176</v>
      </c>
      <c r="V14" s="1918">
        <v>24244</v>
      </c>
      <c r="W14" s="1926"/>
      <c r="X14" s="1919"/>
    </row>
    <row r="15" spans="1:25" ht="22.5" customHeight="1" x14ac:dyDescent="0.25">
      <c r="A15" s="100" t="s">
        <v>38</v>
      </c>
      <c r="B15" s="1918">
        <v>363343</v>
      </c>
      <c r="C15" s="1919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918">
        <v>0</v>
      </c>
      <c r="R15" s="1919"/>
      <c r="S15" s="1001">
        <v>7</v>
      </c>
      <c r="T15" s="1893"/>
      <c r="U15" s="1001" t="s">
        <v>64</v>
      </c>
      <c r="V15" s="1920">
        <v>12020</v>
      </c>
      <c r="W15" s="1920"/>
      <c r="X15" s="1920"/>
    </row>
    <row r="16" spans="1:25" ht="24.75" customHeight="1" x14ac:dyDescent="0.25">
      <c r="A16" s="100" t="s">
        <v>39</v>
      </c>
      <c r="B16" s="1918">
        <v>308532</v>
      </c>
      <c r="C16" s="1919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1883"/>
      <c r="R16" s="1883"/>
      <c r="S16" s="1004"/>
      <c r="T16" s="1912" t="s">
        <v>55</v>
      </c>
      <c r="U16" s="1912"/>
      <c r="V16" s="1925">
        <f>Y12</f>
        <v>219706.74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883"/>
      <c r="R17" s="1883"/>
      <c r="S17" s="1000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148264</v>
      </c>
      <c r="C18" s="1919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920"/>
      <c r="R18" s="1920"/>
      <c r="S18" s="1001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523611</v>
      </c>
      <c r="C19" s="1919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918">
        <f t="shared" ref="Q19" si="14">Q15+Q16+Q17-Q18</f>
        <v>0</v>
      </c>
      <c r="R19" s="1919"/>
      <c r="S19" s="1001">
        <f>S15+S16-S17-S18</f>
        <v>7</v>
      </c>
      <c r="T19" s="1914" t="s">
        <v>48</v>
      </c>
      <c r="U19" s="49" t="s">
        <v>58</v>
      </c>
      <c r="V19" s="1920">
        <v>121164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503975.58750000002</v>
      </c>
      <c r="C20" s="1945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341*Q19</f>
        <v>0</v>
      </c>
      <c r="R20" s="1945"/>
      <c r="S20" s="290">
        <f>341*S19</f>
        <v>2387</v>
      </c>
      <c r="T20" s="1915"/>
      <c r="U20" s="49" t="s">
        <v>59</v>
      </c>
      <c r="V20" s="1920">
        <v>108000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1006034.8655000001</v>
      </c>
      <c r="C21" s="1951"/>
      <c r="O21" s="1008"/>
      <c r="P21" s="1008"/>
      <c r="Q21" s="1008"/>
      <c r="R21" s="1008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110000</v>
      </c>
      <c r="D22" s="1949">
        <v>121164</v>
      </c>
      <c r="E22" s="1949">
        <v>411164</v>
      </c>
      <c r="F22" s="1949">
        <f>C22-D22+E22</f>
        <v>400000</v>
      </c>
      <c r="G22" s="1008"/>
      <c r="Q22" s="1008"/>
      <c r="R22" s="1008"/>
      <c r="T22" s="1909" t="s">
        <v>83</v>
      </c>
      <c r="U22" s="50" t="s">
        <v>60</v>
      </c>
      <c r="V22" s="1920">
        <v>224550</v>
      </c>
      <c r="W22" s="1920"/>
      <c r="X22" s="1920"/>
      <c r="Y22" s="1927"/>
    </row>
    <row r="23" spans="1:25" ht="39.75" customHeight="1" x14ac:dyDescent="0.25">
      <c r="A23" s="1008"/>
      <c r="B23" s="1947"/>
      <c r="C23" s="1950"/>
      <c r="D23" s="1950"/>
      <c r="E23" s="1950"/>
      <c r="F23" s="1950"/>
      <c r="G23" s="1008"/>
      <c r="Q23" s="1008"/>
      <c r="R23" s="1008"/>
      <c r="T23" s="1910"/>
      <c r="U23" s="50" t="s">
        <v>61</v>
      </c>
      <c r="V23" s="1920">
        <v>229164</v>
      </c>
      <c r="W23" s="1920"/>
      <c r="X23" s="1920"/>
      <c r="Y23" s="1927"/>
    </row>
    <row r="24" spans="1:25" ht="48" customHeight="1" x14ac:dyDescent="0.25">
      <c r="A24" s="1008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893" t="s">
        <v>47</v>
      </c>
      <c r="U24" s="51" t="s">
        <v>62</v>
      </c>
      <c r="V24" s="1921">
        <f>V14+V16+V17-V18-V19-V20-V22+V23-V21</f>
        <v>18880.739999999991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7406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008"/>
      <c r="J33" s="1008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1900" t="s">
        <v>432</v>
      </c>
      <c r="U3" s="1900"/>
      <c r="V3" s="1900"/>
      <c r="W3" s="1900"/>
      <c r="X3" s="1900"/>
      <c r="Y3" s="1900"/>
    </row>
    <row r="4" spans="1:25" s="100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009" customFormat="1" ht="25.5" customHeight="1" x14ac:dyDescent="0.25">
      <c r="A5" s="1901"/>
      <c r="B5" s="1901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1958" t="s">
        <v>378</v>
      </c>
      <c r="R14" s="1959"/>
      <c r="S14" s="1018" t="s">
        <v>401</v>
      </c>
      <c r="T14" s="1893" t="s">
        <v>46</v>
      </c>
      <c r="U14" s="1010" t="s">
        <v>176</v>
      </c>
      <c r="V14" s="1918">
        <v>18881</v>
      </c>
      <c r="W14" s="1926"/>
      <c r="X14" s="1919"/>
    </row>
    <row r="15" spans="1:25" ht="22.5" customHeight="1" x14ac:dyDescent="0.25">
      <c r="A15" s="100" t="s">
        <v>38</v>
      </c>
      <c r="B15" s="1918">
        <v>523611</v>
      </c>
      <c r="C15" s="1919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1918">
        <v>0</v>
      </c>
      <c r="R15" s="1919"/>
      <c r="S15" s="1010">
        <v>7</v>
      </c>
      <c r="T15" s="1893"/>
      <c r="U15" s="1010" t="s">
        <v>64</v>
      </c>
      <c r="V15" s="1920">
        <v>7406</v>
      </c>
      <c r="W15" s="1920"/>
      <c r="X15" s="1920"/>
    </row>
    <row r="16" spans="1:25" ht="24.75" customHeight="1" x14ac:dyDescent="0.25">
      <c r="A16" s="100" t="s">
        <v>39</v>
      </c>
      <c r="B16" s="1918">
        <v>51948</v>
      </c>
      <c r="C16" s="1919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1883"/>
      <c r="R16" s="1883"/>
      <c r="S16" s="1015"/>
      <c r="T16" s="1912" t="s">
        <v>55</v>
      </c>
      <c r="U16" s="1912"/>
      <c r="V16" s="1925">
        <f>Y12</f>
        <v>202617.08250000002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1883"/>
      <c r="R17" s="1883"/>
      <c r="S17" s="1012"/>
      <c r="T17" s="1952" t="s">
        <v>362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101997</v>
      </c>
      <c r="C18" s="1919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1920"/>
      <c r="R18" s="1920"/>
      <c r="S18" s="1010"/>
      <c r="T18" s="1912" t="s">
        <v>57</v>
      </c>
      <c r="U18" s="1912"/>
      <c r="V18" s="1920">
        <v>570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473562</v>
      </c>
      <c r="C19" s="1919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1918">
        <f t="shared" ref="Q19" si="14">Q15+Q16+Q17-Q18</f>
        <v>0</v>
      </c>
      <c r="R19" s="1919"/>
      <c r="S19" s="1010">
        <f>S15+S16-S17-S18</f>
        <v>7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455803.42499999999</v>
      </c>
      <c r="C20" s="1945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341*Q19</f>
        <v>0</v>
      </c>
      <c r="R20" s="1945"/>
      <c r="S20" s="290">
        <f>341*S19</f>
        <v>2387</v>
      </c>
      <c r="T20" s="1915"/>
      <c r="U20" s="49" t="s">
        <v>59</v>
      </c>
      <c r="V20" s="1920">
        <v>50000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855962.70299999998</v>
      </c>
      <c r="C21" s="1951"/>
      <c r="O21" s="1019"/>
      <c r="P21" s="1019"/>
      <c r="Q21" s="1019"/>
      <c r="R21" s="1019"/>
      <c r="T21" s="1952" t="s">
        <v>366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/>
      <c r="E22" s="1949"/>
      <c r="F22" s="1949">
        <f>C22-D22+E22</f>
        <v>400000</v>
      </c>
      <c r="G22" s="1019"/>
      <c r="Q22" s="1019"/>
      <c r="R22" s="1019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1019"/>
      <c r="B23" s="1947"/>
      <c r="C23" s="1950"/>
      <c r="D23" s="1950"/>
      <c r="E23" s="1950"/>
      <c r="F23" s="1950"/>
      <c r="G23" s="1019"/>
      <c r="Q23" s="1019"/>
      <c r="R23" s="1019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1019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1893" t="s">
        <v>47</v>
      </c>
      <c r="U24" s="51" t="s">
        <v>62</v>
      </c>
      <c r="V24" s="1921">
        <f>V14+V16+V17-V18-V19-V20-V22+V23-V21</f>
        <v>170928.08250000002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7406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019"/>
      <c r="J33" s="1019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900" t="s">
        <v>433</v>
      </c>
      <c r="U3" s="1900"/>
      <c r="V3" s="1900"/>
      <c r="W3" s="1900"/>
      <c r="X3" s="1900"/>
      <c r="Y3" s="1900"/>
    </row>
    <row r="4" spans="1:25" s="102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025" customFormat="1" ht="25.5" customHeight="1" x14ac:dyDescent="0.25">
      <c r="A5" s="1901"/>
      <c r="B5" s="1901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1958" t="s">
        <v>378</v>
      </c>
      <c r="R14" s="1959"/>
      <c r="S14" s="1029" t="s">
        <v>401</v>
      </c>
      <c r="T14" s="1893" t="s">
        <v>46</v>
      </c>
      <c r="U14" s="1023" t="s">
        <v>176</v>
      </c>
      <c r="V14" s="1918">
        <v>170928</v>
      </c>
      <c r="W14" s="1926"/>
      <c r="X14" s="1919"/>
    </row>
    <row r="15" spans="1:25" ht="22.5" customHeight="1" x14ac:dyDescent="0.25">
      <c r="A15" s="100" t="s">
        <v>38</v>
      </c>
      <c r="B15" s="1918">
        <v>473562</v>
      </c>
      <c r="C15" s="1919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1918">
        <v>0</v>
      </c>
      <c r="R15" s="1919"/>
      <c r="S15" s="1023">
        <v>7</v>
      </c>
      <c r="T15" s="1893"/>
      <c r="U15" s="1023" t="s">
        <v>64</v>
      </c>
      <c r="V15" s="1920">
        <v>7406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883"/>
      <c r="R16" s="1883"/>
      <c r="S16" s="1026"/>
      <c r="T16" s="1912" t="s">
        <v>55</v>
      </c>
      <c r="U16" s="1912"/>
      <c r="V16" s="1925">
        <f>Y12</f>
        <v>196312.875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1883"/>
      <c r="R17" s="1883"/>
      <c r="S17" s="1022"/>
      <c r="T17" s="1952" t="s">
        <v>434</v>
      </c>
      <c r="U17" s="1953"/>
      <c r="V17" s="1954">
        <v>40000</v>
      </c>
      <c r="W17" s="1954"/>
      <c r="X17" s="1954"/>
    </row>
    <row r="18" spans="1:25" ht="27" customHeight="1" x14ac:dyDescent="0.25">
      <c r="A18" s="100" t="s">
        <v>40</v>
      </c>
      <c r="B18" s="1922">
        <f>C12</f>
        <v>112150</v>
      </c>
      <c r="C18" s="1919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1920"/>
      <c r="R18" s="1920"/>
      <c r="S18" s="1023"/>
      <c r="T18" s="1912" t="s">
        <v>57</v>
      </c>
      <c r="U18" s="1912"/>
      <c r="V18" s="1920">
        <v>2230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361412</v>
      </c>
      <c r="C19" s="1919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1918">
        <f t="shared" ref="Q19" si="14">Q15+Q16+Q17-Q18</f>
        <v>0</v>
      </c>
      <c r="R19" s="1919"/>
      <c r="S19" s="1023">
        <f>S15+S16-S17-S18</f>
        <v>7</v>
      </c>
      <c r="T19" s="1914" t="s">
        <v>48</v>
      </c>
      <c r="U19" s="49" t="s">
        <v>58</v>
      </c>
      <c r="V19" s="1920">
        <v>350000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347859.05</v>
      </c>
      <c r="C20" s="1945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1944">
        <f>341*Q19</f>
        <v>0</v>
      </c>
      <c r="R20" s="1945"/>
      <c r="S20" s="290">
        <f>341*S19</f>
        <v>2387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665619.87800000003</v>
      </c>
      <c r="C21" s="1951"/>
      <c r="O21" s="1030"/>
      <c r="P21" s="1030"/>
      <c r="Q21" s="1030"/>
      <c r="R21" s="1030"/>
      <c r="T21" s="1952" t="s">
        <v>435</v>
      </c>
      <c r="U21" s="1953"/>
      <c r="V21" s="1955">
        <v>40000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>
        <v>350000</v>
      </c>
      <c r="E22" s="1949"/>
      <c r="F22" s="1949">
        <f>C22-D22+E22</f>
        <v>50000</v>
      </c>
      <c r="G22" s="1030"/>
      <c r="Q22" s="1030"/>
      <c r="R22" s="1030"/>
      <c r="T22" s="1909" t="s">
        <v>83</v>
      </c>
      <c r="U22" s="50" t="s">
        <v>60</v>
      </c>
      <c r="V22" s="1920">
        <v>354080</v>
      </c>
      <c r="W22" s="1920"/>
      <c r="X22" s="1920"/>
      <c r="Y22" s="1927"/>
    </row>
    <row r="23" spans="1:25" ht="39.75" customHeight="1" x14ac:dyDescent="0.25">
      <c r="A23" s="1030"/>
      <c r="B23" s="1947"/>
      <c r="C23" s="1950"/>
      <c r="D23" s="1950"/>
      <c r="E23" s="1950"/>
      <c r="F23" s="1950"/>
      <c r="G23" s="1030"/>
      <c r="Q23" s="1030"/>
      <c r="R23" s="1030"/>
      <c r="T23" s="1910"/>
      <c r="U23" s="50" t="s">
        <v>61</v>
      </c>
      <c r="V23" s="1920">
        <v>350000</v>
      </c>
      <c r="W23" s="1920"/>
      <c r="X23" s="1920"/>
      <c r="Y23" s="1927"/>
    </row>
    <row r="24" spans="1:25" ht="48" customHeight="1" x14ac:dyDescent="0.25">
      <c r="A24" s="1030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1893" t="s">
        <v>47</v>
      </c>
      <c r="U24" s="51" t="s">
        <v>62</v>
      </c>
      <c r="V24" s="1921">
        <f>V14+V16+V17-V18-V19-V20-V22+V23-V21</f>
        <v>10930.875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11486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030"/>
      <c r="J33" s="1030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1900" t="s">
        <v>436</v>
      </c>
      <c r="U3" s="1900"/>
      <c r="V3" s="1900"/>
      <c r="W3" s="1900"/>
      <c r="X3" s="1900"/>
      <c r="Y3" s="1900"/>
    </row>
    <row r="4" spans="1:25" s="1031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68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031" customFormat="1" ht="25.5" customHeight="1" x14ac:dyDescent="0.25">
      <c r="A5" s="1901"/>
      <c r="B5" s="1901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1958" t="s">
        <v>378</v>
      </c>
      <c r="R14" s="1959"/>
      <c r="S14" s="1040" t="s">
        <v>401</v>
      </c>
      <c r="T14" s="1893" t="s">
        <v>46</v>
      </c>
      <c r="U14" s="1032" t="s">
        <v>176</v>
      </c>
      <c r="V14" s="1918">
        <v>10931</v>
      </c>
      <c r="W14" s="1926"/>
      <c r="X14" s="1919"/>
    </row>
    <row r="15" spans="1:25" ht="22.5" customHeight="1" x14ac:dyDescent="0.25">
      <c r="A15" s="100" t="s">
        <v>38</v>
      </c>
      <c r="B15" s="1918">
        <v>361412</v>
      </c>
      <c r="C15" s="1919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1918">
        <v>0</v>
      </c>
      <c r="R15" s="1919"/>
      <c r="S15" s="1032">
        <v>7</v>
      </c>
      <c r="T15" s="1893"/>
      <c r="U15" s="1032" t="s">
        <v>64</v>
      </c>
      <c r="V15" s="1920">
        <v>11486</v>
      </c>
      <c r="W15" s="1920"/>
      <c r="X15" s="1920"/>
    </row>
    <row r="16" spans="1:25" ht="24.75" customHeight="1" x14ac:dyDescent="0.25">
      <c r="A16" s="100" t="s">
        <v>39</v>
      </c>
      <c r="B16" s="1918">
        <v>109091</v>
      </c>
      <c r="C16" s="1919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1883"/>
      <c r="R16" s="1883"/>
      <c r="S16" s="1037"/>
      <c r="T16" s="1912" t="s">
        <v>55</v>
      </c>
      <c r="U16" s="1912"/>
      <c r="V16" s="1925">
        <f>Y12</f>
        <v>191315.56700000001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1883"/>
      <c r="R17" s="1883"/>
      <c r="S17" s="1034"/>
      <c r="T17" s="1952" t="s">
        <v>437</v>
      </c>
      <c r="U17" s="1953"/>
      <c r="V17" s="1954">
        <v>10000</v>
      </c>
      <c r="W17" s="1954"/>
      <c r="X17" s="1954"/>
    </row>
    <row r="18" spans="1:25" ht="27" customHeight="1" x14ac:dyDescent="0.25">
      <c r="A18" s="100" t="s">
        <v>40</v>
      </c>
      <c r="B18" s="1922">
        <f>C12</f>
        <v>109428</v>
      </c>
      <c r="C18" s="1919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1920"/>
      <c r="R18" s="1920"/>
      <c r="S18" s="1032"/>
      <c r="T18" s="1912" t="s">
        <v>57</v>
      </c>
      <c r="U18" s="1912"/>
      <c r="V18" s="1920">
        <v>3370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361075</v>
      </c>
      <c r="C19" s="1919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1918">
        <f t="shared" ref="Q19" si="14">Q15+Q16+Q17-Q18</f>
        <v>0</v>
      </c>
      <c r="R19" s="1919"/>
      <c r="S19" s="1032">
        <f>S15+S16-S17-S18</f>
        <v>7</v>
      </c>
      <c r="T19" s="1914" t="s">
        <v>48</v>
      </c>
      <c r="U19" s="49" t="s">
        <v>58</v>
      </c>
      <c r="V19" s="1920">
        <v>50000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347534.6875</v>
      </c>
      <c r="C20" s="1945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1944">
        <f>341*Q19</f>
        <v>0</v>
      </c>
      <c r="R20" s="1945"/>
      <c r="S20" s="290">
        <f>341*S19</f>
        <v>2387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757482.67850000004</v>
      </c>
      <c r="C21" s="1951"/>
      <c r="O21" s="1041"/>
      <c r="P21" s="1041"/>
      <c r="Q21" s="1041"/>
      <c r="R21" s="1041"/>
      <c r="T21" s="1952" t="s">
        <v>438</v>
      </c>
      <c r="U21" s="1953"/>
      <c r="V21" s="1955">
        <v>10000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50000</v>
      </c>
      <c r="D22" s="1949">
        <v>50000</v>
      </c>
      <c r="E22" s="1949">
        <v>281200</v>
      </c>
      <c r="F22" s="1949">
        <f>C22-D22+E22</f>
        <v>281200</v>
      </c>
      <c r="G22" s="1041"/>
      <c r="Q22" s="1041"/>
      <c r="R22" s="1041"/>
      <c r="T22" s="1909" t="s">
        <v>83</v>
      </c>
      <c r="U22" s="50" t="s">
        <v>60</v>
      </c>
      <c r="V22" s="1920">
        <v>192370</v>
      </c>
      <c r="W22" s="1920"/>
      <c r="X22" s="1920"/>
      <c r="Y22" s="1927"/>
    </row>
    <row r="23" spans="1:25" ht="39.75" customHeight="1" x14ac:dyDescent="0.25">
      <c r="A23" s="1041"/>
      <c r="B23" s="1947"/>
      <c r="C23" s="1950"/>
      <c r="D23" s="1950"/>
      <c r="E23" s="1950"/>
      <c r="F23" s="1950"/>
      <c r="G23" s="1041"/>
      <c r="Q23" s="1041"/>
      <c r="R23" s="1041"/>
      <c r="T23" s="1910"/>
      <c r="U23" s="50" t="s">
        <v>61</v>
      </c>
      <c r="V23" s="1920">
        <v>60000</v>
      </c>
      <c r="W23" s="1920"/>
      <c r="X23" s="1920"/>
      <c r="Y23" s="1927"/>
    </row>
    <row r="24" spans="1:25" ht="48" customHeight="1" x14ac:dyDescent="0.25">
      <c r="A24" s="1041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1893" t="s">
        <v>47</v>
      </c>
      <c r="U24" s="51" t="s">
        <v>62</v>
      </c>
      <c r="V24" s="1921">
        <f>V14+V16+V17-V18-V19-V20-V22+V23-V21</f>
        <v>16506.56700000001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143856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041"/>
      <c r="J33" s="1041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900" t="s">
        <v>440</v>
      </c>
      <c r="U3" s="1900"/>
      <c r="V3" s="1900"/>
      <c r="W3" s="1900"/>
      <c r="X3" s="1900"/>
      <c r="Y3" s="1900"/>
    </row>
    <row r="4" spans="1:25" s="104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047" customFormat="1" ht="25.5" customHeight="1" x14ac:dyDescent="0.25">
      <c r="A5" s="1901"/>
      <c r="B5" s="1901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958" t="s">
        <v>378</v>
      </c>
      <c r="R14" s="1959"/>
      <c r="S14" s="1051" t="s">
        <v>401</v>
      </c>
      <c r="T14" s="1893" t="s">
        <v>46</v>
      </c>
      <c r="U14" s="1045" t="s">
        <v>176</v>
      </c>
      <c r="V14" s="1918">
        <v>16507</v>
      </c>
      <c r="W14" s="1926"/>
      <c r="X14" s="1919"/>
    </row>
    <row r="15" spans="1:25" ht="22.5" customHeight="1" x14ac:dyDescent="0.25">
      <c r="A15" s="100" t="s">
        <v>38</v>
      </c>
      <c r="B15" s="1918">
        <v>361075</v>
      </c>
      <c r="C15" s="1919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918">
        <v>0</v>
      </c>
      <c r="R15" s="1919"/>
      <c r="S15" s="1045">
        <v>7</v>
      </c>
      <c r="T15" s="1893"/>
      <c r="U15" s="1045" t="s">
        <v>64</v>
      </c>
      <c r="V15" s="1920">
        <v>143856</v>
      </c>
      <c r="W15" s="1920"/>
      <c r="X15" s="1920"/>
    </row>
    <row r="16" spans="1:25" ht="24.75" customHeight="1" x14ac:dyDescent="0.25">
      <c r="A16" s="100" t="s">
        <v>39</v>
      </c>
      <c r="B16" s="1918">
        <v>218181</v>
      </c>
      <c r="C16" s="1919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883"/>
      <c r="R16" s="1883"/>
      <c r="S16" s="1048"/>
      <c r="T16" s="1912" t="s">
        <v>55</v>
      </c>
      <c r="U16" s="1912"/>
      <c r="V16" s="1925">
        <f>Y12</f>
        <v>251149.00150000001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883"/>
      <c r="R17" s="1883"/>
      <c r="S17" s="1044"/>
      <c r="T17" s="1952" t="s">
        <v>437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220683</v>
      </c>
      <c r="C18" s="1919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1920"/>
      <c r="R18" s="1920"/>
      <c r="S18" s="1045"/>
      <c r="T18" s="1912" t="s">
        <v>57</v>
      </c>
      <c r="U18" s="1912"/>
      <c r="V18" s="1920">
        <v>2980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358573</v>
      </c>
      <c r="C19" s="1919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1918">
        <f t="shared" ref="Q19" si="15">Q15+Q16+Q17-Q18</f>
        <v>0</v>
      </c>
      <c r="R19" s="1919"/>
      <c r="S19" s="1045">
        <f>S15+S16-S17-S18</f>
        <v>7</v>
      </c>
      <c r="T19" s="1914" t="s">
        <v>48</v>
      </c>
      <c r="U19" s="49" t="s">
        <v>58</v>
      </c>
      <c r="V19" s="1920">
        <v>281200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345126.51250000001</v>
      </c>
      <c r="C20" s="1945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1944">
        <f>341*Q19</f>
        <v>0</v>
      </c>
      <c r="R20" s="1945"/>
      <c r="S20" s="290">
        <f>341*S19</f>
        <v>2387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718949.71550000005</v>
      </c>
      <c r="C21" s="1951"/>
      <c r="O21" s="1052"/>
      <c r="P21" s="1052"/>
      <c r="Q21" s="1052"/>
      <c r="R21" s="1052"/>
      <c r="T21" s="1952" t="s">
        <v>438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281200</v>
      </c>
      <c r="D22" s="1949">
        <v>281200</v>
      </c>
      <c r="E22" s="1949">
        <v>210000</v>
      </c>
      <c r="F22" s="1949">
        <f>C22-D22+E22</f>
        <v>210000</v>
      </c>
      <c r="G22" s="1052"/>
      <c r="Q22" s="1052"/>
      <c r="R22" s="1052"/>
      <c r="T22" s="1909" t="s">
        <v>83</v>
      </c>
      <c r="U22" s="50" t="s">
        <v>60</v>
      </c>
      <c r="V22" s="1920">
        <v>248660</v>
      </c>
      <c r="W22" s="1920"/>
      <c r="X22" s="1920"/>
      <c r="Y22" s="1927"/>
    </row>
    <row r="23" spans="1:25" ht="39.75" customHeight="1" x14ac:dyDescent="0.25">
      <c r="A23" s="1052"/>
      <c r="B23" s="1947"/>
      <c r="C23" s="1950"/>
      <c r="D23" s="1950"/>
      <c r="E23" s="1950"/>
      <c r="F23" s="1950"/>
      <c r="G23" s="1052"/>
      <c r="Q23" s="1052"/>
      <c r="R23" s="1052"/>
      <c r="T23" s="1910"/>
      <c r="U23" s="50" t="s">
        <v>61</v>
      </c>
      <c r="V23" s="1920">
        <v>281200</v>
      </c>
      <c r="W23" s="1920"/>
      <c r="X23" s="1920"/>
      <c r="Y23" s="1927"/>
    </row>
    <row r="24" spans="1:25" ht="48" customHeight="1" x14ac:dyDescent="0.25">
      <c r="A24" s="1052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893" t="s">
        <v>47</v>
      </c>
      <c r="U24" s="51" t="s">
        <v>62</v>
      </c>
      <c r="V24" s="1921">
        <f>V14+V16+V17-V18-V19-V20-V22+V23-V21</f>
        <v>16016.001500000013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111316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052"/>
      <c r="J33" s="1052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900" t="s">
        <v>443</v>
      </c>
      <c r="U3" s="1900"/>
      <c r="V3" s="1900"/>
      <c r="W3" s="1900"/>
      <c r="X3" s="1900"/>
      <c r="Y3" s="1900"/>
    </row>
    <row r="4" spans="1:25" s="104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047" customFormat="1" ht="25.5" customHeight="1" x14ac:dyDescent="0.25">
      <c r="A5" s="1901"/>
      <c r="B5" s="1901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958" t="s">
        <v>378</v>
      </c>
      <c r="R14" s="1959"/>
      <c r="S14" s="1051" t="s">
        <v>401</v>
      </c>
      <c r="T14" s="1893" t="s">
        <v>46</v>
      </c>
      <c r="U14" s="1045" t="s">
        <v>176</v>
      </c>
      <c r="V14" s="1918">
        <v>16016</v>
      </c>
      <c r="W14" s="1926"/>
      <c r="X14" s="1919"/>
    </row>
    <row r="15" spans="1:25" ht="22.5" customHeight="1" x14ac:dyDescent="0.25">
      <c r="A15" s="100" t="s">
        <v>38</v>
      </c>
      <c r="B15" s="1918">
        <v>358573</v>
      </c>
      <c r="C15" s="1919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918">
        <v>0</v>
      </c>
      <c r="R15" s="1919"/>
      <c r="S15" s="1045">
        <v>7</v>
      </c>
      <c r="T15" s="1893"/>
      <c r="U15" s="1045" t="s">
        <v>64</v>
      </c>
      <c r="V15" s="1920">
        <v>111316</v>
      </c>
      <c r="W15" s="1920"/>
      <c r="X15" s="1920"/>
    </row>
    <row r="16" spans="1:25" ht="24.75" customHeight="1" x14ac:dyDescent="0.25">
      <c r="A16" s="100" t="s">
        <v>39</v>
      </c>
      <c r="B16" s="1918">
        <v>155844</v>
      </c>
      <c r="C16" s="1919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883"/>
      <c r="R16" s="1883"/>
      <c r="S16" s="1048"/>
      <c r="T16" s="1912" t="s">
        <v>55</v>
      </c>
      <c r="U16" s="1912"/>
      <c r="V16" s="1925">
        <f>Y12</f>
        <v>190029.87150000001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883"/>
      <c r="R17" s="1883"/>
      <c r="S17" s="1044"/>
      <c r="T17" s="1952" t="s">
        <v>437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132321</v>
      </c>
      <c r="C18" s="1919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1920"/>
      <c r="R18" s="1920"/>
      <c r="S18" s="1045"/>
      <c r="T18" s="1912" t="s">
        <v>57</v>
      </c>
      <c r="U18" s="1912"/>
      <c r="V18" s="1920">
        <v>1471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382096</v>
      </c>
      <c r="C19" s="1919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1918">
        <f t="shared" si="14"/>
        <v>0</v>
      </c>
      <c r="R19" s="1919"/>
      <c r="S19" s="1045">
        <f>S15+S16-S17-S18</f>
        <v>7</v>
      </c>
      <c r="T19" s="1914" t="s">
        <v>48</v>
      </c>
      <c r="U19" s="49" t="s">
        <v>58</v>
      </c>
      <c r="V19" s="1920">
        <v>210000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367767.4</v>
      </c>
      <c r="C20" s="1945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1944">
        <f>341*Q19</f>
        <v>0</v>
      </c>
      <c r="R20" s="1945"/>
      <c r="S20" s="290">
        <f>341*S19</f>
        <v>2387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680913.054</v>
      </c>
      <c r="C21" s="1951"/>
      <c r="O21" s="1052"/>
      <c r="P21" s="1052"/>
      <c r="Q21" s="1052"/>
      <c r="R21" s="1052"/>
      <c r="T21" s="1952" t="s">
        <v>438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210000</v>
      </c>
      <c r="D22" s="1949">
        <v>210000</v>
      </c>
      <c r="E22" s="1949">
        <v>150000</v>
      </c>
      <c r="F22" s="1949">
        <f>C22-D22+E22</f>
        <v>150000</v>
      </c>
      <c r="G22" s="1052"/>
      <c r="Q22" s="1052"/>
      <c r="R22" s="1052"/>
      <c r="T22" s="1909" t="s">
        <v>83</v>
      </c>
      <c r="U22" s="50" t="s">
        <v>60</v>
      </c>
      <c r="V22" s="1920">
        <v>182820</v>
      </c>
      <c r="W22" s="1920"/>
      <c r="X22" s="1920"/>
      <c r="Y22" s="1927"/>
    </row>
    <row r="23" spans="1:25" ht="39.75" customHeight="1" x14ac:dyDescent="0.25">
      <c r="A23" s="1052"/>
      <c r="B23" s="1947"/>
      <c r="C23" s="1950"/>
      <c r="D23" s="1950"/>
      <c r="E23" s="1950"/>
      <c r="F23" s="1950"/>
      <c r="G23" s="1052"/>
      <c r="Q23" s="1052"/>
      <c r="R23" s="1052"/>
      <c r="T23" s="1910"/>
      <c r="U23" s="50" t="s">
        <v>61</v>
      </c>
      <c r="V23" s="1920">
        <v>210000</v>
      </c>
      <c r="W23" s="1920"/>
      <c r="X23" s="1920"/>
      <c r="Y23" s="1927"/>
    </row>
    <row r="24" spans="1:25" ht="48" customHeight="1" x14ac:dyDescent="0.25">
      <c r="A24" s="1052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893" t="s">
        <v>47</v>
      </c>
      <c r="U24" s="51" t="s">
        <v>62</v>
      </c>
      <c r="V24" s="1921">
        <f>V14+V16+V17-V18-V19-V20-V22+V23-V21</f>
        <v>21754.871500000008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84136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052"/>
      <c r="J33" s="1052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1900" t="s">
        <v>444</v>
      </c>
      <c r="U3" s="1900"/>
      <c r="V3" s="1900"/>
      <c r="W3" s="1900"/>
      <c r="X3" s="1900"/>
      <c r="Y3" s="1900"/>
    </row>
    <row r="4" spans="1:25" s="105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053" customFormat="1" ht="25.5" customHeight="1" x14ac:dyDescent="0.25">
      <c r="A5" s="1901"/>
      <c r="B5" s="1901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1958" t="s">
        <v>378</v>
      </c>
      <c r="R14" s="1959"/>
      <c r="S14" s="1062" t="s">
        <v>401</v>
      </c>
      <c r="T14" s="1893" t="s">
        <v>46</v>
      </c>
      <c r="U14" s="1054" t="s">
        <v>176</v>
      </c>
      <c r="V14" s="1918">
        <v>21755</v>
      </c>
      <c r="W14" s="1926"/>
      <c r="X14" s="1919"/>
    </row>
    <row r="15" spans="1:25" ht="22.5" customHeight="1" x14ac:dyDescent="0.25">
      <c r="A15" s="100" t="s">
        <v>38</v>
      </c>
      <c r="B15" s="1918">
        <v>382096</v>
      </c>
      <c r="C15" s="1919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1918">
        <v>0</v>
      </c>
      <c r="R15" s="1919"/>
      <c r="S15" s="1054">
        <v>7</v>
      </c>
      <c r="T15" s="1893"/>
      <c r="U15" s="1054" t="s">
        <v>64</v>
      </c>
      <c r="V15" s="1920">
        <v>84136</v>
      </c>
      <c r="W15" s="1920"/>
      <c r="X15" s="1920"/>
    </row>
    <row r="16" spans="1:25" ht="24.75" customHeight="1" x14ac:dyDescent="0.25">
      <c r="A16" s="100" t="s">
        <v>39</v>
      </c>
      <c r="B16" s="1918">
        <v>332467</v>
      </c>
      <c r="C16" s="1919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1883"/>
      <c r="R16" s="1883"/>
      <c r="S16" s="1059"/>
      <c r="T16" s="1912" t="s">
        <v>55</v>
      </c>
      <c r="U16" s="1912"/>
      <c r="V16" s="1925">
        <f>Y12</f>
        <v>201337.74350000001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1883"/>
      <c r="R17" s="1883"/>
      <c r="S17" s="1056"/>
      <c r="T17" s="1952" t="s">
        <v>437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180327</v>
      </c>
      <c r="C18" s="1919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1920"/>
      <c r="R18" s="1920"/>
      <c r="S18" s="1054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534236</v>
      </c>
      <c r="C19" s="1919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1918">
        <f t="shared" si="14"/>
        <v>0</v>
      </c>
      <c r="R19" s="1919"/>
      <c r="S19" s="1054">
        <f>S15+S16-S17-S18</f>
        <v>7</v>
      </c>
      <c r="T19" s="1914" t="s">
        <v>48</v>
      </c>
      <c r="U19" s="49" t="s">
        <v>58</v>
      </c>
      <c r="V19" s="1920">
        <v>150000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514202.15</v>
      </c>
      <c r="C20" s="1945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1944">
        <f>341*Q19</f>
        <v>0</v>
      </c>
      <c r="R20" s="1945"/>
      <c r="S20" s="290">
        <f>341*S19</f>
        <v>2387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801629.16400000011</v>
      </c>
      <c r="C21" s="1951"/>
      <c r="O21" s="1063"/>
      <c r="P21" s="1063"/>
      <c r="Q21" s="1063"/>
      <c r="R21" s="1063"/>
      <c r="T21" s="1952" t="s">
        <v>438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150000</v>
      </c>
      <c r="D22" s="1949">
        <v>150000</v>
      </c>
      <c r="E22" s="1949">
        <v>320000</v>
      </c>
      <c r="F22" s="1949">
        <f>C22-D22+E22</f>
        <v>320000</v>
      </c>
      <c r="G22" s="1063"/>
      <c r="Q22" s="1063"/>
      <c r="R22" s="1063"/>
      <c r="T22" s="1909" t="s">
        <v>83</v>
      </c>
      <c r="U22" s="50" t="s">
        <v>60</v>
      </c>
      <c r="V22" s="1920">
        <v>131860</v>
      </c>
      <c r="W22" s="1920"/>
      <c r="X22" s="1920"/>
      <c r="Y22" s="1927"/>
    </row>
    <row r="23" spans="1:25" ht="39.75" customHeight="1" x14ac:dyDescent="0.25">
      <c r="A23" s="1063"/>
      <c r="B23" s="1947"/>
      <c r="C23" s="1950"/>
      <c r="D23" s="1950"/>
      <c r="E23" s="1950"/>
      <c r="F23" s="1950"/>
      <c r="G23" s="1063"/>
      <c r="Q23" s="1063"/>
      <c r="R23" s="1063"/>
      <c r="T23" s="1910"/>
      <c r="U23" s="50" t="s">
        <v>61</v>
      </c>
      <c r="V23" s="1920">
        <v>150000</v>
      </c>
      <c r="W23" s="1920"/>
      <c r="X23" s="1920"/>
      <c r="Y23" s="1927"/>
    </row>
    <row r="24" spans="1:25" ht="48" customHeight="1" x14ac:dyDescent="0.25">
      <c r="A24" s="1063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1893" t="s">
        <v>47</v>
      </c>
      <c r="U24" s="51" t="s">
        <v>62</v>
      </c>
      <c r="V24" s="1921">
        <f>V14+V16+V17-V18-V19-V20-V22+V23-V21</f>
        <v>90712.743500000011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65996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063"/>
      <c r="J33" s="1063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1900" t="s">
        <v>445</v>
      </c>
      <c r="U3" s="1900"/>
      <c r="V3" s="1900"/>
      <c r="W3" s="1900"/>
      <c r="X3" s="1900"/>
      <c r="Y3" s="1900"/>
    </row>
    <row r="4" spans="1:25" s="106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069" customFormat="1" ht="25.5" customHeight="1" x14ac:dyDescent="0.25">
      <c r="A5" s="1901"/>
      <c r="B5" s="1901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1958" t="s">
        <v>378</v>
      </c>
      <c r="R14" s="1959"/>
      <c r="S14" s="1073" t="s">
        <v>401</v>
      </c>
      <c r="T14" s="1893" t="s">
        <v>46</v>
      </c>
      <c r="U14" s="1067" t="s">
        <v>176</v>
      </c>
      <c r="V14" s="1918">
        <v>90713</v>
      </c>
      <c r="W14" s="1926"/>
      <c r="X14" s="1919"/>
    </row>
    <row r="15" spans="1:25" ht="22.5" customHeight="1" x14ac:dyDescent="0.25">
      <c r="A15" s="100" t="s">
        <v>38</v>
      </c>
      <c r="B15" s="1918">
        <v>534236</v>
      </c>
      <c r="C15" s="1919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1918">
        <v>0</v>
      </c>
      <c r="R15" s="1919"/>
      <c r="S15" s="1067">
        <v>7</v>
      </c>
      <c r="T15" s="1893"/>
      <c r="U15" s="1067" t="s">
        <v>64</v>
      </c>
      <c r="V15" s="1920">
        <v>65996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1883"/>
      <c r="R16" s="1883"/>
      <c r="S16" s="1070"/>
      <c r="T16" s="1912" t="s">
        <v>55</v>
      </c>
      <c r="U16" s="1912"/>
      <c r="V16" s="1925">
        <f>Y12</f>
        <v>138809.25650000002</v>
      </c>
      <c r="W16" s="1925"/>
      <c r="X16" s="1920"/>
    </row>
    <row r="17" spans="1:25" ht="28.5" customHeight="1" x14ac:dyDescent="0.25">
      <c r="A17" s="101" t="s">
        <v>44</v>
      </c>
      <c r="B17" s="1918">
        <v>145113</v>
      </c>
      <c r="C17" s="1919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1883"/>
      <c r="R17" s="1883"/>
      <c r="S17" s="1066"/>
      <c r="T17" s="1952" t="s">
        <v>447</v>
      </c>
      <c r="U17" s="1953"/>
      <c r="V17" s="1954">
        <v>2000</v>
      </c>
      <c r="W17" s="1954"/>
      <c r="X17" s="1954"/>
    </row>
    <row r="18" spans="1:25" ht="27" customHeight="1" x14ac:dyDescent="0.25">
      <c r="A18" s="100" t="s">
        <v>40</v>
      </c>
      <c r="B18" s="1922">
        <f>C12</f>
        <v>117849</v>
      </c>
      <c r="C18" s="1919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1920"/>
      <c r="R18" s="1920"/>
      <c r="S18" s="1067"/>
      <c r="T18" s="1912" t="s">
        <v>57</v>
      </c>
      <c r="U18" s="1912"/>
      <c r="V18" s="1920">
        <v>39570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561500</v>
      </c>
      <c r="C19" s="1919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1918">
        <f t="shared" si="14"/>
        <v>0</v>
      </c>
      <c r="R19" s="1919"/>
      <c r="S19" s="1067">
        <f>S15+S16-S17-S18</f>
        <v>7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540443.75</v>
      </c>
      <c r="C20" s="1945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1944">
        <f>341*Q19</f>
        <v>0</v>
      </c>
      <c r="R20" s="1945"/>
      <c r="S20" s="290">
        <f>341*S19</f>
        <v>2387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803926.06</v>
      </c>
      <c r="C21" s="1951"/>
      <c r="O21" s="1074"/>
      <c r="P21" s="1074"/>
      <c r="Q21" s="1074"/>
      <c r="R21" s="1074"/>
      <c r="T21" s="1952" t="s">
        <v>446</v>
      </c>
      <c r="U21" s="1953"/>
      <c r="V21" s="1955">
        <v>2000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320000</v>
      </c>
      <c r="D22" s="1949"/>
      <c r="E22" s="1949"/>
      <c r="F22" s="1949">
        <f>C22-D22+E22</f>
        <v>320000</v>
      </c>
      <c r="G22" s="1074"/>
      <c r="Q22" s="1074"/>
      <c r="R22" s="1074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1074"/>
      <c r="B23" s="1947"/>
      <c r="C23" s="1950"/>
      <c r="D23" s="1950"/>
      <c r="E23" s="1950"/>
      <c r="F23" s="1950"/>
      <c r="G23" s="1074"/>
      <c r="Q23" s="1074"/>
      <c r="R23" s="1074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1074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1893" t="s">
        <v>47</v>
      </c>
      <c r="U24" s="51" t="s">
        <v>62</v>
      </c>
      <c r="V24" s="1921">
        <f>V14+V16+V17-V18-V19-V20-V22+V23-V21</f>
        <v>189952.25650000002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65996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074"/>
      <c r="J33" s="1074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900" t="s">
        <v>448</v>
      </c>
      <c r="U3" s="1900"/>
      <c r="V3" s="1900"/>
      <c r="W3" s="1900"/>
      <c r="X3" s="1900"/>
      <c r="Y3" s="1900"/>
    </row>
    <row r="4" spans="1:25" s="1080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080" customFormat="1" ht="25.5" customHeight="1" x14ac:dyDescent="0.25">
      <c r="A5" s="1901"/>
      <c r="B5" s="1901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1958" t="s">
        <v>378</v>
      </c>
      <c r="R14" s="1959"/>
      <c r="S14" s="1084" t="s">
        <v>401</v>
      </c>
      <c r="T14" s="1893" t="s">
        <v>46</v>
      </c>
      <c r="U14" s="1078" t="s">
        <v>176</v>
      </c>
      <c r="V14" s="1918">
        <v>189952</v>
      </c>
      <c r="W14" s="1926"/>
      <c r="X14" s="1919"/>
    </row>
    <row r="15" spans="1:25" ht="22.5" customHeight="1" x14ac:dyDescent="0.25">
      <c r="A15" s="100" t="s">
        <v>38</v>
      </c>
      <c r="B15" s="1918">
        <v>561500</v>
      </c>
      <c r="C15" s="1919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1918">
        <v>0</v>
      </c>
      <c r="R15" s="1919"/>
      <c r="S15" s="1078">
        <v>7</v>
      </c>
      <c r="T15" s="1893"/>
      <c r="U15" s="1078" t="s">
        <v>64</v>
      </c>
      <c r="V15" s="1920">
        <v>65996</v>
      </c>
      <c r="W15" s="1920"/>
      <c r="X15" s="1920"/>
    </row>
    <row r="16" spans="1:25" ht="24.75" customHeight="1" x14ac:dyDescent="0.25">
      <c r="A16" s="100" t="s">
        <v>39</v>
      </c>
      <c r="B16" s="1918">
        <v>51948</v>
      </c>
      <c r="C16" s="1919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1883"/>
      <c r="R16" s="1883"/>
      <c r="S16" s="1081"/>
      <c r="T16" s="1912" t="s">
        <v>55</v>
      </c>
      <c r="U16" s="1912"/>
      <c r="V16" s="1925">
        <f>Y12</f>
        <v>295990.4325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1883"/>
      <c r="R17" s="1883"/>
      <c r="S17" s="1077"/>
      <c r="T17" s="1952" t="s">
        <v>447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260457</v>
      </c>
      <c r="C18" s="1919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1920"/>
      <c r="R18" s="1920"/>
      <c r="S18" s="1078"/>
      <c r="T18" s="1912" t="s">
        <v>57</v>
      </c>
      <c r="U18" s="1912"/>
      <c r="V18" s="1920">
        <v>19829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352991</v>
      </c>
      <c r="C19" s="1919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1918">
        <f t="shared" si="14"/>
        <v>0</v>
      </c>
      <c r="R19" s="1919"/>
      <c r="S19" s="1078">
        <f>S15+S16-S17-S18</f>
        <v>7</v>
      </c>
      <c r="T19" s="1914" t="s">
        <v>48</v>
      </c>
      <c r="U19" s="49" t="s">
        <v>58</v>
      </c>
      <c r="V19" s="1920">
        <v>277000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339753.83750000002</v>
      </c>
      <c r="C20" s="1945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1944">
        <f>341*Q19</f>
        <v>0</v>
      </c>
      <c r="R20" s="1945"/>
      <c r="S20" s="290">
        <f>341*S19</f>
        <v>2387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563477.54749999999</v>
      </c>
      <c r="C21" s="1951"/>
      <c r="O21" s="1085"/>
      <c r="P21" s="1085"/>
      <c r="Q21" s="1085"/>
      <c r="R21" s="1085"/>
      <c r="T21" s="1952" t="s">
        <v>446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320000</v>
      </c>
      <c r="D22" s="1949">
        <v>277000</v>
      </c>
      <c r="E22" s="1949">
        <v>52500</v>
      </c>
      <c r="F22" s="1949">
        <f>C22-D22+E22</f>
        <v>95500</v>
      </c>
      <c r="G22" s="1085"/>
      <c r="Q22" s="1085"/>
      <c r="R22" s="1085"/>
      <c r="T22" s="1909" t="s">
        <v>83</v>
      </c>
      <c r="U22" s="50" t="s">
        <v>60</v>
      </c>
      <c r="V22" s="1920">
        <v>221900</v>
      </c>
      <c r="W22" s="1920"/>
      <c r="X22" s="1920"/>
      <c r="Y22" s="1927"/>
    </row>
    <row r="23" spans="1:25" ht="39.75" customHeight="1" x14ac:dyDescent="0.25">
      <c r="A23" s="1085"/>
      <c r="B23" s="1947"/>
      <c r="C23" s="1950"/>
      <c r="D23" s="1950"/>
      <c r="E23" s="1950"/>
      <c r="F23" s="1950"/>
      <c r="G23" s="1085"/>
      <c r="Q23" s="1085"/>
      <c r="R23" s="1085"/>
      <c r="T23" s="1910"/>
      <c r="U23" s="50" t="s">
        <v>61</v>
      </c>
      <c r="V23" s="1920">
        <v>277000</v>
      </c>
      <c r="W23" s="1920"/>
      <c r="X23" s="1920"/>
      <c r="Y23" s="1927"/>
    </row>
    <row r="24" spans="1:25" ht="48" customHeight="1" x14ac:dyDescent="0.25">
      <c r="A24" s="1085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1893" t="s">
        <v>47</v>
      </c>
      <c r="U24" s="51" t="s">
        <v>62</v>
      </c>
      <c r="V24" s="1921">
        <f>V14+V16+V17-V18-V19-V20-V22+V23-V21</f>
        <v>244213.4325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10896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085"/>
      <c r="J33" s="1085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1900" t="s">
        <v>449</v>
      </c>
      <c r="U3" s="1900"/>
      <c r="V3" s="1900"/>
      <c r="W3" s="1900"/>
      <c r="X3" s="1900"/>
      <c r="Y3" s="1900"/>
    </row>
    <row r="4" spans="1:25" s="108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086" customFormat="1" ht="25.5" customHeight="1" x14ac:dyDescent="0.25">
      <c r="A5" s="1901"/>
      <c r="B5" s="1901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1958" t="s">
        <v>378</v>
      </c>
      <c r="R14" s="1959"/>
      <c r="S14" s="1095" t="s">
        <v>401</v>
      </c>
      <c r="T14" s="1893" t="s">
        <v>46</v>
      </c>
      <c r="U14" s="1087" t="s">
        <v>176</v>
      </c>
      <c r="V14" s="1918">
        <v>244213</v>
      </c>
      <c r="W14" s="1926"/>
      <c r="X14" s="1919"/>
    </row>
    <row r="15" spans="1:25" ht="22.5" customHeight="1" x14ac:dyDescent="0.25">
      <c r="A15" s="100" t="s">
        <v>38</v>
      </c>
      <c r="B15" s="1918">
        <v>352991</v>
      </c>
      <c r="C15" s="1919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1918">
        <v>0</v>
      </c>
      <c r="R15" s="1919"/>
      <c r="S15" s="1087">
        <v>7</v>
      </c>
      <c r="T15" s="1893"/>
      <c r="U15" s="1087" t="s">
        <v>64</v>
      </c>
      <c r="V15" s="1920">
        <v>10896</v>
      </c>
      <c r="W15" s="1920"/>
      <c r="X15" s="1920"/>
    </row>
    <row r="16" spans="1:25" ht="24.75" customHeight="1" x14ac:dyDescent="0.25">
      <c r="A16" s="100" t="s">
        <v>39</v>
      </c>
      <c r="B16" s="1918">
        <v>51948</v>
      </c>
      <c r="C16" s="1919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1883"/>
      <c r="R16" s="1883"/>
      <c r="S16" s="1092"/>
      <c r="T16" s="1912" t="s">
        <v>55</v>
      </c>
      <c r="U16" s="1912"/>
      <c r="V16" s="1925">
        <f>Y12</f>
        <v>159615.30850000001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1883"/>
      <c r="R17" s="1883"/>
      <c r="S17" s="1089"/>
      <c r="T17" s="1952" t="s">
        <v>450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118337</v>
      </c>
      <c r="C18" s="1919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1920"/>
      <c r="R18" s="1920"/>
      <c r="S18" s="1087"/>
      <c r="T18" s="1912" t="s">
        <v>57</v>
      </c>
      <c r="U18" s="1912"/>
      <c r="V18" s="1920">
        <v>580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286602</v>
      </c>
      <c r="C19" s="1919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1918">
        <f t="shared" si="14"/>
        <v>0</v>
      </c>
      <c r="R19" s="1919"/>
      <c r="S19" s="1087">
        <f>S15+S16-S17-S18</f>
        <v>7</v>
      </c>
      <c r="T19" s="1914" t="s">
        <v>48</v>
      </c>
      <c r="U19" s="49" t="s">
        <v>58</v>
      </c>
      <c r="V19" s="1920">
        <v>95500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275854.42499999999</v>
      </c>
      <c r="C20" s="1945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1944">
        <f>341*Q19</f>
        <v>0</v>
      </c>
      <c r="R20" s="1945"/>
      <c r="S20" s="290">
        <f>341*S19</f>
        <v>2387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684512.75899999996</v>
      </c>
      <c r="C21" s="1951"/>
      <c r="O21" s="1096"/>
      <c r="P21" s="1096"/>
      <c r="Q21" s="1096"/>
      <c r="R21" s="1096"/>
      <c r="T21" s="1952" t="s">
        <v>451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95500</v>
      </c>
      <c r="D22" s="1949">
        <v>95500</v>
      </c>
      <c r="E22" s="1949">
        <v>278875</v>
      </c>
      <c r="F22" s="1949">
        <f>C22-D22+E22</f>
        <v>278875</v>
      </c>
      <c r="G22" s="1096"/>
      <c r="Q22" s="1096"/>
      <c r="R22" s="1096"/>
      <c r="T22" s="1909" t="s">
        <v>83</v>
      </c>
      <c r="U22" s="50" t="s">
        <v>60</v>
      </c>
      <c r="V22" s="1920">
        <v>377410</v>
      </c>
      <c r="W22" s="1920"/>
      <c r="X22" s="1920"/>
      <c r="Y22" s="1927"/>
    </row>
    <row r="23" spans="1:25" ht="39.75" customHeight="1" x14ac:dyDescent="0.25">
      <c r="A23" s="1096"/>
      <c r="B23" s="1947"/>
      <c r="C23" s="1950"/>
      <c r="D23" s="1950"/>
      <c r="E23" s="1950"/>
      <c r="F23" s="1950"/>
      <c r="G23" s="1096"/>
      <c r="Q23" s="1096"/>
      <c r="R23" s="1096"/>
      <c r="T23" s="1910"/>
      <c r="U23" s="50" t="s">
        <v>61</v>
      </c>
      <c r="V23" s="1920">
        <v>95500</v>
      </c>
      <c r="W23" s="1920"/>
      <c r="X23" s="1920"/>
      <c r="Y23" s="1927"/>
    </row>
    <row r="24" spans="1:25" ht="48" customHeight="1" x14ac:dyDescent="0.25">
      <c r="A24" s="1096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1893" t="s">
        <v>47</v>
      </c>
      <c r="U24" s="51" t="s">
        <v>62</v>
      </c>
      <c r="V24" s="1921">
        <f>V14+V16+V17-V18-V19-V20-V22+V23-V21</f>
        <v>25838.308500000043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292806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096"/>
      <c r="J33" s="1096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1900" t="s">
        <v>452</v>
      </c>
      <c r="U3" s="1900"/>
      <c r="V3" s="1900"/>
      <c r="W3" s="1900"/>
      <c r="X3" s="1900"/>
      <c r="Y3" s="1900"/>
    </row>
    <row r="4" spans="1:25" s="110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02" customFormat="1" ht="25.5" customHeight="1" x14ac:dyDescent="0.25">
      <c r="A5" s="1901"/>
      <c r="B5" s="1901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1958" t="s">
        <v>378</v>
      </c>
      <c r="R14" s="1959"/>
      <c r="S14" s="1106" t="s">
        <v>401</v>
      </c>
      <c r="T14" s="1893" t="s">
        <v>46</v>
      </c>
      <c r="U14" s="1100" t="s">
        <v>176</v>
      </c>
      <c r="V14" s="1918">
        <v>25838</v>
      </c>
      <c r="W14" s="1926"/>
      <c r="X14" s="1919"/>
    </row>
    <row r="15" spans="1:25" ht="22.5" customHeight="1" x14ac:dyDescent="0.25">
      <c r="A15" s="100" t="s">
        <v>38</v>
      </c>
      <c r="B15" s="1918">
        <v>286602</v>
      </c>
      <c r="C15" s="1919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1918">
        <v>0</v>
      </c>
      <c r="R15" s="1919"/>
      <c r="S15" s="1100">
        <v>7</v>
      </c>
      <c r="T15" s="1893"/>
      <c r="U15" s="1100" t="s">
        <v>64</v>
      </c>
      <c r="V15" s="1920">
        <v>292806</v>
      </c>
      <c r="W15" s="1920"/>
      <c r="X15" s="1920"/>
    </row>
    <row r="16" spans="1:25" ht="24.75" customHeight="1" x14ac:dyDescent="0.25">
      <c r="A16" s="100" t="s">
        <v>39</v>
      </c>
      <c r="B16" s="1918">
        <v>187013</v>
      </c>
      <c r="C16" s="1919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1883"/>
      <c r="R16" s="1883"/>
      <c r="S16" s="1103"/>
      <c r="T16" s="1912" t="s">
        <v>55</v>
      </c>
      <c r="U16" s="1912"/>
      <c r="V16" s="1925">
        <f>Y12</f>
        <v>149809.32449999999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1883"/>
      <c r="R17" s="1883"/>
      <c r="S17" s="1099"/>
      <c r="T17" s="1952" t="s">
        <v>450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118931</v>
      </c>
      <c r="C18" s="1919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1920"/>
      <c r="R18" s="1920"/>
      <c r="S18" s="1100">
        <v>1</v>
      </c>
      <c r="T18" s="1912" t="s">
        <v>57</v>
      </c>
      <c r="U18" s="1912"/>
      <c r="V18" s="1920">
        <v>49053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354684</v>
      </c>
      <c r="C19" s="1919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1918">
        <f t="shared" si="14"/>
        <v>0</v>
      </c>
      <c r="R19" s="1919"/>
      <c r="S19" s="1100">
        <f>S15+S16-S17-S18</f>
        <v>6</v>
      </c>
      <c r="T19" s="1914" t="s">
        <v>48</v>
      </c>
      <c r="U19" s="49" t="s">
        <v>58</v>
      </c>
      <c r="V19" s="1920">
        <v>278875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341383.35000000003</v>
      </c>
      <c r="C20" s="1945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1944">
        <f>341*Q19</f>
        <v>0</v>
      </c>
      <c r="R20" s="1945"/>
      <c r="S20" s="290">
        <f>341*S19</f>
        <v>2046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716353.73699999996</v>
      </c>
      <c r="C21" s="1951"/>
      <c r="O21" s="1107"/>
      <c r="P21" s="1107"/>
      <c r="Q21" s="1107"/>
      <c r="R21" s="1107"/>
      <c r="T21" s="1952" t="s">
        <v>451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278875</v>
      </c>
      <c r="D22" s="1949">
        <v>278875</v>
      </c>
      <c r="E22" s="1949">
        <v>180000</v>
      </c>
      <c r="F22" s="1949">
        <f>C22-D22+E22</f>
        <v>180000</v>
      </c>
      <c r="G22" s="1107"/>
      <c r="Q22" s="1107"/>
      <c r="R22" s="1107"/>
      <c r="T22" s="1909" t="s">
        <v>83</v>
      </c>
      <c r="U22" s="50" t="s">
        <v>60</v>
      </c>
      <c r="V22" s="1920">
        <v>48000</v>
      </c>
      <c r="W22" s="1920"/>
      <c r="X22" s="1920"/>
      <c r="Y22" s="1927"/>
    </row>
    <row r="23" spans="1:25" ht="39.75" customHeight="1" x14ac:dyDescent="0.25">
      <c r="A23" s="1107"/>
      <c r="B23" s="1947"/>
      <c r="C23" s="1950"/>
      <c r="D23" s="1950"/>
      <c r="E23" s="1950"/>
      <c r="F23" s="1950"/>
      <c r="G23" s="1107"/>
      <c r="Q23" s="1107"/>
      <c r="R23" s="1107"/>
      <c r="T23" s="1910"/>
      <c r="U23" s="50" t="s">
        <v>61</v>
      </c>
      <c r="V23" s="1920">
        <v>278875</v>
      </c>
      <c r="W23" s="1920"/>
      <c r="X23" s="1920"/>
      <c r="Y23" s="1927"/>
    </row>
    <row r="24" spans="1:25" ht="48" customHeight="1" x14ac:dyDescent="0.25">
      <c r="A24" s="1107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1893" t="s">
        <v>47</v>
      </c>
      <c r="U24" s="51" t="s">
        <v>62</v>
      </c>
      <c r="V24" s="1921">
        <f>V14+V16+V17-V18-V19-V20-V22+V23-V21</f>
        <v>78594.324499999988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61931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107"/>
      <c r="J33" s="1107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900" t="s">
        <v>453</v>
      </c>
      <c r="U3" s="1900"/>
      <c r="V3" s="1900"/>
      <c r="W3" s="1900"/>
      <c r="X3" s="1900"/>
      <c r="Y3" s="1900"/>
    </row>
    <row r="4" spans="1:25" s="110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08" customFormat="1" ht="25.5" customHeight="1" x14ac:dyDescent="0.25">
      <c r="A5" s="1901"/>
      <c r="B5" s="1901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1958" t="s">
        <v>378</v>
      </c>
      <c r="R14" s="1959"/>
      <c r="S14" s="1117" t="s">
        <v>401</v>
      </c>
      <c r="T14" s="1893" t="s">
        <v>46</v>
      </c>
      <c r="U14" s="1109" t="s">
        <v>176</v>
      </c>
      <c r="V14" s="1918">
        <v>78594</v>
      </c>
      <c r="W14" s="1926"/>
      <c r="X14" s="1919"/>
    </row>
    <row r="15" spans="1:25" ht="22.5" customHeight="1" x14ac:dyDescent="0.25">
      <c r="A15" s="100" t="s">
        <v>38</v>
      </c>
      <c r="B15" s="1918">
        <v>354684</v>
      </c>
      <c r="C15" s="1919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1918">
        <v>0</v>
      </c>
      <c r="R15" s="1919"/>
      <c r="S15" s="1109">
        <v>6</v>
      </c>
      <c r="T15" s="1893"/>
      <c r="U15" s="1109" t="s">
        <v>64</v>
      </c>
      <c r="V15" s="1920">
        <v>61931</v>
      </c>
      <c r="W15" s="1920"/>
      <c r="X15" s="1920"/>
    </row>
    <row r="16" spans="1:25" ht="24.75" customHeight="1" x14ac:dyDescent="0.25">
      <c r="A16" s="100" t="s">
        <v>39</v>
      </c>
      <c r="B16" s="1918">
        <v>415584</v>
      </c>
      <c r="C16" s="1919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1883"/>
      <c r="R16" s="1883"/>
      <c r="S16" s="1114"/>
      <c r="T16" s="1912" t="s">
        <v>55</v>
      </c>
      <c r="U16" s="1912"/>
      <c r="V16" s="1925">
        <f>Y12</f>
        <v>214477.266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883"/>
      <c r="R17" s="1883"/>
      <c r="S17" s="1111"/>
      <c r="T17" s="1952" t="s">
        <v>450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210484</v>
      </c>
      <c r="C18" s="1919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1920"/>
      <c r="R18" s="1920"/>
      <c r="S18" s="1109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559784</v>
      </c>
      <c r="C19" s="1919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1918">
        <f t="shared" si="14"/>
        <v>0</v>
      </c>
      <c r="R19" s="1919"/>
      <c r="S19" s="1109">
        <f>S15+S16-S17-S18</f>
        <v>6</v>
      </c>
      <c r="T19" s="1914" t="s">
        <v>48</v>
      </c>
      <c r="U19" s="49" t="s">
        <v>58</v>
      </c>
      <c r="V19" s="1920">
        <v>180000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538792.1</v>
      </c>
      <c r="C20" s="1945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1944">
        <f>341*Q19</f>
        <v>0</v>
      </c>
      <c r="R20" s="1945"/>
      <c r="S20" s="290">
        <f>341*S19</f>
        <v>2046</v>
      </c>
      <c r="T20" s="1915"/>
      <c r="U20" s="49" t="s">
        <v>59</v>
      </c>
      <c r="V20" s="1920">
        <v>20000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904019.91099999996</v>
      </c>
      <c r="C21" s="1951"/>
      <c r="O21" s="1118"/>
      <c r="P21" s="1118"/>
      <c r="Q21" s="1118"/>
      <c r="R21" s="1118"/>
      <c r="T21" s="1952" t="s">
        <v>451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180000</v>
      </c>
      <c r="D22" s="1949">
        <v>180000</v>
      </c>
      <c r="E22" s="1949">
        <v>380000</v>
      </c>
      <c r="F22" s="1949">
        <f>C22-D22+E22</f>
        <v>380000</v>
      </c>
      <c r="G22" s="1118"/>
      <c r="Q22" s="1118"/>
      <c r="R22" s="1118"/>
      <c r="T22" s="1909" t="s">
        <v>83</v>
      </c>
      <c r="U22" s="50" t="s">
        <v>60</v>
      </c>
      <c r="V22" s="1920">
        <v>213840</v>
      </c>
      <c r="W22" s="1920"/>
      <c r="X22" s="1920"/>
      <c r="Y22" s="1927"/>
    </row>
    <row r="23" spans="1:25" ht="39.75" customHeight="1" x14ac:dyDescent="0.25">
      <c r="A23" s="1118"/>
      <c r="B23" s="1947"/>
      <c r="C23" s="1950"/>
      <c r="D23" s="1950"/>
      <c r="E23" s="1950"/>
      <c r="F23" s="1950"/>
      <c r="G23" s="1118"/>
      <c r="Q23" s="1118"/>
      <c r="R23" s="1118"/>
      <c r="T23" s="1910"/>
      <c r="U23" s="50" t="s">
        <v>61</v>
      </c>
      <c r="V23" s="1920">
        <v>200000</v>
      </c>
      <c r="W23" s="1920"/>
      <c r="X23" s="1920"/>
      <c r="Y23" s="1927"/>
    </row>
    <row r="24" spans="1:25" ht="48" customHeight="1" x14ac:dyDescent="0.25">
      <c r="A24" s="1118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1893" t="s">
        <v>47</v>
      </c>
      <c r="U24" s="51" t="s">
        <v>62</v>
      </c>
      <c r="V24" s="1921">
        <f>V14+V16+V17-V18-V19-V20-V22+V23-V21</f>
        <v>78711.266000000003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75771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118"/>
      <c r="J33" s="1118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1900" t="s">
        <v>454</v>
      </c>
      <c r="U3" s="1900"/>
      <c r="V3" s="1900"/>
      <c r="W3" s="1900"/>
      <c r="X3" s="1900"/>
      <c r="Y3" s="1900"/>
    </row>
    <row r="4" spans="1:25" s="1124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24" customFormat="1" ht="25.5" customHeight="1" x14ac:dyDescent="0.25">
      <c r="A5" s="1901"/>
      <c r="B5" s="1901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1958" t="s">
        <v>378</v>
      </c>
      <c r="R14" s="1959"/>
      <c r="S14" s="1128" t="s">
        <v>401</v>
      </c>
      <c r="T14" s="1893" t="s">
        <v>46</v>
      </c>
      <c r="U14" s="1122" t="s">
        <v>176</v>
      </c>
      <c r="V14" s="1918">
        <v>78711</v>
      </c>
      <c r="W14" s="1926"/>
      <c r="X14" s="1919"/>
    </row>
    <row r="15" spans="1:25" ht="22.5" customHeight="1" x14ac:dyDescent="0.25">
      <c r="A15" s="100" t="s">
        <v>38</v>
      </c>
      <c r="B15" s="1918">
        <v>559784</v>
      </c>
      <c r="C15" s="1919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1918">
        <v>0</v>
      </c>
      <c r="R15" s="1919"/>
      <c r="S15" s="1122">
        <v>6</v>
      </c>
      <c r="T15" s="1893"/>
      <c r="U15" s="1122" t="s">
        <v>64</v>
      </c>
      <c r="V15" s="1920">
        <v>75771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1883"/>
      <c r="R16" s="1883"/>
      <c r="S16" s="1125"/>
      <c r="T16" s="1912" t="s">
        <v>55</v>
      </c>
      <c r="U16" s="1912"/>
      <c r="V16" s="1925">
        <f>Y12</f>
        <v>257322.73250000001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883"/>
      <c r="R17" s="1883"/>
      <c r="S17" s="1121"/>
      <c r="T17" s="1952" t="s">
        <v>450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92247</v>
      </c>
      <c r="C18" s="1919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1920"/>
      <c r="R18" s="1920"/>
      <c r="S18" s="1122"/>
      <c r="T18" s="1912" t="s">
        <v>57</v>
      </c>
      <c r="U18" s="1912"/>
      <c r="V18" s="1920">
        <v>680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467537</v>
      </c>
      <c r="C19" s="1919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1918">
        <f t="shared" si="14"/>
        <v>0</v>
      </c>
      <c r="R19" s="1919"/>
      <c r="S19" s="1122">
        <f>S15+S16-S17-S18</f>
        <v>6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450004.36249999999</v>
      </c>
      <c r="C20" s="1945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44">
        <f>341*Q19</f>
        <v>0</v>
      </c>
      <c r="R20" s="1945"/>
      <c r="S20" s="290">
        <f>341*S19</f>
        <v>2046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649337.04850000003</v>
      </c>
      <c r="C21" s="1951"/>
      <c r="O21" s="1129"/>
      <c r="P21" s="1129"/>
      <c r="Q21" s="1129"/>
      <c r="R21" s="1129"/>
      <c r="T21" s="1952" t="s">
        <v>451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380000</v>
      </c>
      <c r="D22" s="1949"/>
      <c r="E22" s="1949"/>
      <c r="F22" s="1949">
        <f>C22-D22+E22</f>
        <v>380000</v>
      </c>
      <c r="G22" s="1129"/>
      <c r="Q22" s="1129"/>
      <c r="R22" s="1129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1129"/>
      <c r="B23" s="1947"/>
      <c r="C23" s="1950"/>
      <c r="D23" s="1950"/>
      <c r="E23" s="1950"/>
      <c r="F23" s="1950"/>
      <c r="G23" s="1129"/>
      <c r="Q23" s="1129"/>
      <c r="R23" s="1129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1129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1893" t="s">
        <v>47</v>
      </c>
      <c r="U24" s="51" t="s">
        <v>62</v>
      </c>
      <c r="V24" s="1921">
        <f>V14+V16+V17-V18-V19-V20-V22+V23-V21</f>
        <v>335353.73250000004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75771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129"/>
      <c r="J33" s="1129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900" t="s">
        <v>455</v>
      </c>
      <c r="U3" s="1900"/>
      <c r="V3" s="1900"/>
      <c r="W3" s="1900"/>
      <c r="X3" s="1900"/>
      <c r="Y3" s="1900"/>
    </row>
    <row r="4" spans="1:25" s="1130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30" customFormat="1" ht="25.5" customHeight="1" x14ac:dyDescent="0.25">
      <c r="A5" s="1901"/>
      <c r="B5" s="1901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1958" t="s">
        <v>378</v>
      </c>
      <c r="R14" s="1959"/>
      <c r="S14" s="1139" t="s">
        <v>401</v>
      </c>
      <c r="T14" s="1893" t="s">
        <v>46</v>
      </c>
      <c r="U14" s="1131" t="s">
        <v>176</v>
      </c>
      <c r="V14" s="1918">
        <v>335354</v>
      </c>
      <c r="W14" s="1926"/>
      <c r="X14" s="1919"/>
    </row>
    <row r="15" spans="1:25" ht="22.5" customHeight="1" x14ac:dyDescent="0.25">
      <c r="A15" s="100" t="s">
        <v>38</v>
      </c>
      <c r="B15" s="1918">
        <v>467537</v>
      </c>
      <c r="C15" s="1919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1918">
        <v>0</v>
      </c>
      <c r="R15" s="1919"/>
      <c r="S15" s="1131">
        <v>6</v>
      </c>
      <c r="T15" s="1893"/>
      <c r="U15" s="1131" t="s">
        <v>64</v>
      </c>
      <c r="V15" s="1920">
        <v>75771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1883"/>
      <c r="R16" s="1883"/>
      <c r="S16" s="1136"/>
      <c r="T16" s="1912" t="s">
        <v>55</v>
      </c>
      <c r="U16" s="1912"/>
      <c r="V16" s="1925">
        <f>Y12</f>
        <v>175565.70749999999</v>
      </c>
      <c r="W16" s="1925"/>
      <c r="X16" s="1920"/>
    </row>
    <row r="17" spans="1:25" ht="28.5" customHeight="1" x14ac:dyDescent="0.25">
      <c r="A17" s="101" t="s">
        <v>44</v>
      </c>
      <c r="B17" s="1918">
        <v>16223</v>
      </c>
      <c r="C17" s="1919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883"/>
      <c r="R17" s="1883"/>
      <c r="S17" s="1133"/>
      <c r="T17" s="1952" t="s">
        <v>450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130014</v>
      </c>
      <c r="C18" s="1919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1920"/>
      <c r="R18" s="1920"/>
      <c r="S18" s="1131"/>
      <c r="T18" s="1912" t="s">
        <v>57</v>
      </c>
      <c r="U18" s="1912"/>
      <c r="V18" s="1920">
        <v>4530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353746</v>
      </c>
      <c r="C19" s="1919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1918">
        <f t="shared" si="14"/>
        <v>0</v>
      </c>
      <c r="R19" s="1919"/>
      <c r="S19" s="1131">
        <f>S15+S16-S17-S18</f>
        <v>6</v>
      </c>
      <c r="T19" s="1914" t="s">
        <v>48</v>
      </c>
      <c r="U19" s="49" t="s">
        <v>58</v>
      </c>
      <c r="V19" s="1920">
        <v>380000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340480.52500000002</v>
      </c>
      <c r="C20" s="1945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44">
        <f>341*Q19</f>
        <v>0</v>
      </c>
      <c r="R20" s="1945"/>
      <c r="S20" s="290">
        <f>341*S19</f>
        <v>2046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811548.84850000008</v>
      </c>
      <c r="C21" s="1951"/>
      <c r="O21" s="1140"/>
      <c r="P21" s="1140"/>
      <c r="Q21" s="1140"/>
      <c r="R21" s="1140"/>
      <c r="T21" s="1952" t="s">
        <v>451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380000</v>
      </c>
      <c r="D22" s="1949">
        <v>380000</v>
      </c>
      <c r="E22" s="1949">
        <v>320425</v>
      </c>
      <c r="F22" s="1949">
        <f>C22-D22+E22</f>
        <v>320425</v>
      </c>
      <c r="G22" s="1140"/>
      <c r="Q22" s="1140"/>
      <c r="R22" s="1140"/>
      <c r="T22" s="1909" t="s">
        <v>83</v>
      </c>
      <c r="U22" s="50" t="s">
        <v>60</v>
      </c>
      <c r="V22" s="1920">
        <v>443560</v>
      </c>
      <c r="W22" s="1920"/>
      <c r="X22" s="1920"/>
      <c r="Y22" s="1927"/>
    </row>
    <row r="23" spans="1:25" ht="39.75" customHeight="1" x14ac:dyDescent="0.25">
      <c r="A23" s="1140"/>
      <c r="B23" s="1947"/>
      <c r="C23" s="1950"/>
      <c r="D23" s="1950"/>
      <c r="E23" s="1950"/>
      <c r="F23" s="1950"/>
      <c r="G23" s="1140"/>
      <c r="Q23" s="1140"/>
      <c r="R23" s="1140"/>
      <c r="T23" s="1910"/>
      <c r="U23" s="50" t="s">
        <v>61</v>
      </c>
      <c r="V23" s="1920">
        <v>380000</v>
      </c>
      <c r="W23" s="1920"/>
      <c r="X23" s="1920"/>
      <c r="Y23" s="1927"/>
    </row>
    <row r="24" spans="1:25" ht="48" customHeight="1" x14ac:dyDescent="0.25">
      <c r="A24" s="1140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1893" t="s">
        <v>47</v>
      </c>
      <c r="U24" s="51" t="s">
        <v>62</v>
      </c>
      <c r="V24" s="1921">
        <f>V14+V16+V17-V18-V19-V20-V22+V23-V21</f>
        <v>62829.707500000019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139331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140"/>
      <c r="J33" s="1140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1900" t="s">
        <v>456</v>
      </c>
      <c r="U3" s="1900"/>
      <c r="V3" s="1900"/>
      <c r="W3" s="1900"/>
      <c r="X3" s="1900"/>
      <c r="Y3" s="1900"/>
    </row>
    <row r="4" spans="1:25" s="114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46" customFormat="1" ht="25.5" customHeight="1" x14ac:dyDescent="0.25">
      <c r="A5" s="1901"/>
      <c r="B5" s="1901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1958" t="s">
        <v>378</v>
      </c>
      <c r="R14" s="1959"/>
      <c r="S14" s="1150" t="s">
        <v>401</v>
      </c>
      <c r="T14" s="1893" t="s">
        <v>46</v>
      </c>
      <c r="U14" s="1144" t="s">
        <v>176</v>
      </c>
      <c r="V14" s="1918">
        <v>62830</v>
      </c>
      <c r="W14" s="1926"/>
      <c r="X14" s="1919"/>
    </row>
    <row r="15" spans="1:25" ht="22.5" customHeight="1" x14ac:dyDescent="0.25">
      <c r="A15" s="100" t="s">
        <v>38</v>
      </c>
      <c r="B15" s="1918">
        <v>353746</v>
      </c>
      <c r="C15" s="1919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1918">
        <v>0</v>
      </c>
      <c r="R15" s="1919"/>
      <c r="S15" s="1144">
        <v>6</v>
      </c>
      <c r="T15" s="1893"/>
      <c r="U15" s="1144" t="s">
        <v>64</v>
      </c>
      <c r="V15" s="1920">
        <v>139331</v>
      </c>
      <c r="W15" s="1920"/>
      <c r="X15" s="1920"/>
    </row>
    <row r="16" spans="1:25" ht="24.75" customHeight="1" x14ac:dyDescent="0.25">
      <c r="A16" s="100" t="s">
        <v>39</v>
      </c>
      <c r="B16" s="1918">
        <v>93506</v>
      </c>
      <c r="C16" s="1919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1883"/>
      <c r="R16" s="1883"/>
      <c r="S16" s="1147"/>
      <c r="T16" s="1912" t="s">
        <v>55</v>
      </c>
      <c r="U16" s="1912"/>
      <c r="V16" s="1925">
        <f>Y12</f>
        <v>157576.59050000002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1883"/>
      <c r="R17" s="1883"/>
      <c r="S17" s="1143"/>
      <c r="T17" s="1952" t="s">
        <v>450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129506</v>
      </c>
      <c r="C18" s="1919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1920"/>
      <c r="R18" s="1920"/>
      <c r="S18" s="1144"/>
      <c r="T18" s="1912" t="s">
        <v>57</v>
      </c>
      <c r="U18" s="1912"/>
      <c r="V18" s="1920">
        <v>9820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317746</v>
      </c>
      <c r="C19" s="1919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1918">
        <f t="shared" si="14"/>
        <v>0</v>
      </c>
      <c r="R19" s="1919"/>
      <c r="S19" s="1144">
        <f>S15+S16-S17-S18</f>
        <v>6</v>
      </c>
      <c r="T19" s="1914" t="s">
        <v>48</v>
      </c>
      <c r="U19" s="49" t="s">
        <v>58</v>
      </c>
      <c r="V19" s="1920">
        <v>320425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305830.52500000002</v>
      </c>
      <c r="C20" s="1945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44">
        <f>341*Q19</f>
        <v>0</v>
      </c>
      <c r="R20" s="1945"/>
      <c r="S20" s="290">
        <f>341*S19</f>
        <v>2046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745573.01300000004</v>
      </c>
      <c r="C21" s="1951"/>
      <c r="O21" s="1151"/>
      <c r="P21" s="1151"/>
      <c r="Q21" s="1151"/>
      <c r="R21" s="1151"/>
      <c r="T21" s="1952" t="s">
        <v>451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320425</v>
      </c>
      <c r="D22" s="1949">
        <v>320425</v>
      </c>
      <c r="E22" s="1949">
        <v>90000</v>
      </c>
      <c r="F22" s="1949">
        <f>C22-D22+E22</f>
        <v>90000</v>
      </c>
      <c r="G22" s="1151"/>
      <c r="Q22" s="1151"/>
      <c r="R22" s="1151"/>
      <c r="T22" s="1909" t="s">
        <v>83</v>
      </c>
      <c r="U22" s="50" t="s">
        <v>60</v>
      </c>
      <c r="V22" s="1920">
        <v>187695</v>
      </c>
      <c r="W22" s="1920"/>
      <c r="X22" s="1920"/>
      <c r="Y22" s="1927"/>
    </row>
    <row r="23" spans="1:25" ht="39.75" customHeight="1" x14ac:dyDescent="0.25">
      <c r="A23" s="1151"/>
      <c r="B23" s="1947"/>
      <c r="C23" s="1950"/>
      <c r="D23" s="1950"/>
      <c r="E23" s="1950"/>
      <c r="F23" s="1950"/>
      <c r="G23" s="1151"/>
      <c r="Q23" s="1151"/>
      <c r="R23" s="1151"/>
      <c r="T23" s="1910"/>
      <c r="U23" s="50" t="s">
        <v>61</v>
      </c>
      <c r="V23" s="1920">
        <v>320425</v>
      </c>
      <c r="W23" s="1920"/>
      <c r="X23" s="1920"/>
      <c r="Y23" s="1927"/>
    </row>
    <row r="24" spans="1:25" ht="48" customHeight="1" x14ac:dyDescent="0.25">
      <c r="A24" s="1151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1893" t="s">
        <v>47</v>
      </c>
      <c r="U24" s="51" t="s">
        <v>62</v>
      </c>
      <c r="V24" s="1921">
        <f>V14+V16+V17-V18-V19-V20-V22+V23-V21</f>
        <v>22891.590500000049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6601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151"/>
      <c r="J33" s="1151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900" t="s">
        <v>457</v>
      </c>
      <c r="U3" s="1900"/>
      <c r="V3" s="1900"/>
      <c r="W3" s="1900"/>
      <c r="X3" s="1900"/>
      <c r="Y3" s="1900"/>
    </row>
    <row r="4" spans="1:25" s="115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52" customFormat="1" ht="25.5" customHeight="1" x14ac:dyDescent="0.25">
      <c r="A5" s="1901"/>
      <c r="B5" s="1901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1958" t="s">
        <v>378</v>
      </c>
      <c r="R14" s="1959"/>
      <c r="S14" s="1161" t="s">
        <v>401</v>
      </c>
      <c r="T14" s="1893" t="s">
        <v>46</v>
      </c>
      <c r="U14" s="1153" t="s">
        <v>176</v>
      </c>
      <c r="V14" s="1918">
        <v>22892</v>
      </c>
      <c r="W14" s="1926"/>
      <c r="X14" s="1919"/>
    </row>
    <row r="15" spans="1:25" ht="22.5" customHeight="1" x14ac:dyDescent="0.25">
      <c r="A15" s="100" t="s">
        <v>38</v>
      </c>
      <c r="B15" s="1918">
        <v>317746</v>
      </c>
      <c r="C15" s="1919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1918">
        <v>0</v>
      </c>
      <c r="R15" s="1919"/>
      <c r="S15" s="1153">
        <v>6</v>
      </c>
      <c r="T15" s="1893"/>
      <c r="U15" s="1153" t="s">
        <v>64</v>
      </c>
      <c r="V15" s="1920">
        <v>6601</v>
      </c>
      <c r="W15" s="1920"/>
      <c r="X15" s="1920"/>
    </row>
    <row r="16" spans="1:25" ht="24.75" customHeight="1" x14ac:dyDescent="0.25">
      <c r="A16" s="100" t="s">
        <v>39</v>
      </c>
      <c r="B16" s="1918">
        <v>114285</v>
      </c>
      <c r="C16" s="1919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883"/>
      <c r="R16" s="1883"/>
      <c r="S16" s="1158"/>
      <c r="T16" s="1912" t="s">
        <v>55</v>
      </c>
      <c r="U16" s="1912"/>
      <c r="V16" s="1925">
        <f>Y12</f>
        <v>141723.05050000001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1883"/>
      <c r="R17" s="1883"/>
      <c r="S17" s="1155"/>
      <c r="T17" s="1952" t="s">
        <v>450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133085</v>
      </c>
      <c r="C18" s="1919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1920"/>
      <c r="R18" s="1920"/>
      <c r="S18" s="1153"/>
      <c r="T18" s="1912" t="s">
        <v>57</v>
      </c>
      <c r="U18" s="1912"/>
      <c r="V18" s="1920">
        <v>28549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298946</v>
      </c>
      <c r="C19" s="1919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1918">
        <f t="shared" si="14"/>
        <v>0</v>
      </c>
      <c r="R19" s="1919"/>
      <c r="S19" s="1153">
        <f>S15+S16-S17-S18</f>
        <v>6</v>
      </c>
      <c r="T19" s="1914" t="s">
        <v>48</v>
      </c>
      <c r="U19" s="49" t="s">
        <v>58</v>
      </c>
      <c r="V19" s="1920">
        <v>90000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287735.52500000002</v>
      </c>
      <c r="C20" s="1945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44">
        <f>341*Q19</f>
        <v>0</v>
      </c>
      <c r="R20" s="1945"/>
      <c r="S20" s="290">
        <f>341*S19</f>
        <v>2046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715294.625</v>
      </c>
      <c r="C21" s="1951"/>
      <c r="O21" s="1162"/>
      <c r="P21" s="1162"/>
      <c r="Q21" s="1162"/>
      <c r="R21" s="1162"/>
      <c r="T21" s="1952" t="s">
        <v>451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90000</v>
      </c>
      <c r="D22" s="1949">
        <v>90000</v>
      </c>
      <c r="E22" s="1949">
        <v>110000</v>
      </c>
      <c r="F22" s="1949">
        <f>C22-D22+E22</f>
        <v>110000</v>
      </c>
      <c r="G22" s="1162"/>
      <c r="Q22" s="1162"/>
      <c r="R22" s="1162"/>
      <c r="T22" s="1909" t="s">
        <v>83</v>
      </c>
      <c r="U22" s="50" t="s">
        <v>60</v>
      </c>
      <c r="V22" s="1920">
        <v>112990</v>
      </c>
      <c r="W22" s="1920"/>
      <c r="X22" s="1920"/>
      <c r="Y22" s="1927"/>
    </row>
    <row r="23" spans="1:25" ht="39.75" customHeight="1" x14ac:dyDescent="0.25">
      <c r="A23" s="1162"/>
      <c r="B23" s="1947"/>
      <c r="C23" s="1950"/>
      <c r="D23" s="1950"/>
      <c r="E23" s="1950"/>
      <c r="F23" s="1950"/>
      <c r="G23" s="1162"/>
      <c r="Q23" s="1162"/>
      <c r="R23" s="1162"/>
      <c r="T23" s="1910"/>
      <c r="U23" s="50" t="s">
        <v>61</v>
      </c>
      <c r="V23" s="1920">
        <v>90000</v>
      </c>
      <c r="W23" s="1920"/>
      <c r="X23" s="1920"/>
      <c r="Y23" s="1927"/>
    </row>
    <row r="24" spans="1:25" ht="48" customHeight="1" x14ac:dyDescent="0.25">
      <c r="A24" s="1162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1893" t="s">
        <v>47</v>
      </c>
      <c r="U24" s="51" t="s">
        <v>62</v>
      </c>
      <c r="V24" s="1921">
        <f>V14+V16+V17-V18-V19-V20-V22+V23-V21</f>
        <v>23076.050500000012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29591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162"/>
      <c r="J33" s="1162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1900" t="s">
        <v>458</v>
      </c>
      <c r="U3" s="1900"/>
      <c r="V3" s="1900"/>
      <c r="W3" s="1900"/>
      <c r="X3" s="1900"/>
      <c r="Y3" s="1900"/>
    </row>
    <row r="4" spans="1:25" s="116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68" customFormat="1" ht="25.5" customHeight="1" x14ac:dyDescent="0.25">
      <c r="A5" s="1901"/>
      <c r="B5" s="1901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1958" t="s">
        <v>378</v>
      </c>
      <c r="R14" s="1959"/>
      <c r="S14" s="1172" t="s">
        <v>401</v>
      </c>
      <c r="T14" s="1893" t="s">
        <v>46</v>
      </c>
      <c r="U14" s="1166" t="s">
        <v>176</v>
      </c>
      <c r="V14" s="1918">
        <v>23076</v>
      </c>
      <c r="W14" s="1926"/>
      <c r="X14" s="1919"/>
    </row>
    <row r="15" spans="1:25" ht="22.5" customHeight="1" x14ac:dyDescent="0.25">
      <c r="A15" s="100" t="s">
        <v>38</v>
      </c>
      <c r="B15" s="1918">
        <v>298946</v>
      </c>
      <c r="C15" s="1919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1918">
        <v>0</v>
      </c>
      <c r="R15" s="1919"/>
      <c r="S15" s="1166">
        <v>6</v>
      </c>
      <c r="T15" s="1893"/>
      <c r="U15" s="1166" t="s">
        <v>64</v>
      </c>
      <c r="V15" s="1920">
        <v>29591</v>
      </c>
      <c r="W15" s="1920"/>
      <c r="X15" s="1920"/>
    </row>
    <row r="16" spans="1:25" ht="24.75" customHeight="1" x14ac:dyDescent="0.25">
      <c r="A16" s="100" t="s">
        <v>39</v>
      </c>
      <c r="B16" s="1918">
        <v>166233</v>
      </c>
      <c r="C16" s="1919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1883"/>
      <c r="R16" s="1883"/>
      <c r="S16" s="1169"/>
      <c r="T16" s="1912" t="s">
        <v>55</v>
      </c>
      <c r="U16" s="1912"/>
      <c r="V16" s="1925">
        <f>Y12</f>
        <v>185246.74500000002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1883"/>
      <c r="R17" s="1883"/>
      <c r="S17" s="1165"/>
      <c r="T17" s="1952" t="s">
        <v>450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156882</v>
      </c>
      <c r="C18" s="1919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1920"/>
      <c r="R18" s="1920"/>
      <c r="S18" s="1166"/>
      <c r="T18" s="1912" t="s">
        <v>57</v>
      </c>
      <c r="U18" s="1912"/>
      <c r="V18" s="1920">
        <v>620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308297</v>
      </c>
      <c r="C19" s="1919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1918">
        <f t="shared" si="14"/>
        <v>0</v>
      </c>
      <c r="R19" s="1919"/>
      <c r="S19" s="1166">
        <f>S15+S16-S17-S18</f>
        <v>6</v>
      </c>
      <c r="T19" s="1914" t="s">
        <v>48</v>
      </c>
      <c r="U19" s="49" t="s">
        <v>58</v>
      </c>
      <c r="V19" s="1920">
        <v>110000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296735.86249999999</v>
      </c>
      <c r="C20" s="1945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44">
        <f>341*Q19</f>
        <v>0</v>
      </c>
      <c r="R20" s="1945"/>
      <c r="S20" s="290">
        <f>341*S19</f>
        <v>2046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691949.36250000005</v>
      </c>
      <c r="C21" s="1951"/>
      <c r="O21" s="1173"/>
      <c r="P21" s="1173"/>
      <c r="Q21" s="1173"/>
      <c r="R21" s="1173"/>
      <c r="T21" s="1952" t="s">
        <v>451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110000</v>
      </c>
      <c r="D22" s="1949">
        <v>110000</v>
      </c>
      <c r="E22" s="1949">
        <v>160000</v>
      </c>
      <c r="F22" s="1949">
        <f>C22-D22+E22</f>
        <v>160000</v>
      </c>
      <c r="G22" s="1173"/>
      <c r="Q22" s="1173"/>
      <c r="R22" s="1173"/>
      <c r="T22" s="1909" t="s">
        <v>83</v>
      </c>
      <c r="U22" s="50" t="s">
        <v>60</v>
      </c>
      <c r="V22" s="1920">
        <v>168620</v>
      </c>
      <c r="W22" s="1920"/>
      <c r="X22" s="1920"/>
      <c r="Y22" s="1927"/>
    </row>
    <row r="23" spans="1:25" ht="39.75" customHeight="1" x14ac:dyDescent="0.25">
      <c r="A23" s="1173"/>
      <c r="B23" s="1947"/>
      <c r="C23" s="1950"/>
      <c r="D23" s="1950"/>
      <c r="E23" s="1950"/>
      <c r="F23" s="1950"/>
      <c r="G23" s="1173"/>
      <c r="Q23" s="1173"/>
      <c r="R23" s="1173"/>
      <c r="T23" s="1910"/>
      <c r="U23" s="50" t="s">
        <v>61</v>
      </c>
      <c r="V23" s="1920">
        <v>110000</v>
      </c>
      <c r="W23" s="1920"/>
      <c r="X23" s="1920"/>
      <c r="Y23" s="1927"/>
    </row>
    <row r="24" spans="1:25" ht="48" customHeight="1" x14ac:dyDescent="0.25">
      <c r="A24" s="1173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1893" t="s">
        <v>47</v>
      </c>
      <c r="U24" s="51" t="s">
        <v>62</v>
      </c>
      <c r="V24" s="1921">
        <f>V14+V16+V17-V18-V19-V20-V22+V23-V21</f>
        <v>39082.745000000024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88211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173"/>
      <c r="J33" s="1173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1900" t="s">
        <v>459</v>
      </c>
      <c r="U3" s="1900"/>
      <c r="V3" s="1900"/>
      <c r="W3" s="1900"/>
      <c r="X3" s="1900"/>
      <c r="Y3" s="1900"/>
    </row>
    <row r="4" spans="1:25" s="117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79" customFormat="1" ht="25.5" customHeight="1" x14ac:dyDescent="0.25">
      <c r="A5" s="1901"/>
      <c r="B5" s="1901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1958" t="s">
        <v>378</v>
      </c>
      <c r="R14" s="1959"/>
      <c r="S14" s="1183" t="s">
        <v>401</v>
      </c>
      <c r="T14" s="1893" t="s">
        <v>46</v>
      </c>
      <c r="U14" s="1177" t="s">
        <v>176</v>
      </c>
      <c r="V14" s="1918">
        <v>39083</v>
      </c>
      <c r="W14" s="1926"/>
      <c r="X14" s="1919"/>
    </row>
    <row r="15" spans="1:25" ht="22.5" customHeight="1" x14ac:dyDescent="0.25">
      <c r="A15" s="100" t="s">
        <v>38</v>
      </c>
      <c r="B15" s="1918">
        <v>308297</v>
      </c>
      <c r="C15" s="1919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1918">
        <v>0</v>
      </c>
      <c r="R15" s="1919"/>
      <c r="S15" s="1177">
        <v>6</v>
      </c>
      <c r="T15" s="1893"/>
      <c r="U15" s="1177" t="s">
        <v>64</v>
      </c>
      <c r="V15" s="1920">
        <v>88211</v>
      </c>
      <c r="W15" s="1920"/>
      <c r="X15" s="1920"/>
    </row>
    <row r="16" spans="1:25" ht="24.75" customHeight="1" x14ac:dyDescent="0.25">
      <c r="A16" s="100" t="s">
        <v>39</v>
      </c>
      <c r="B16" s="1918">
        <v>214838</v>
      </c>
      <c r="C16" s="1919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1883"/>
      <c r="R16" s="1883"/>
      <c r="S16" s="1180"/>
      <c r="T16" s="1912" t="s">
        <v>55</v>
      </c>
      <c r="U16" s="1912"/>
      <c r="V16" s="1925">
        <f>Y12</f>
        <v>256540.12000000002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1883"/>
      <c r="R17" s="1883"/>
      <c r="S17" s="1176"/>
      <c r="T17" s="1952" t="s">
        <v>450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208432</v>
      </c>
      <c r="C18" s="1919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1920"/>
      <c r="R18" s="1920"/>
      <c r="S18" s="1177"/>
      <c r="T18" s="1912" t="s">
        <v>57</v>
      </c>
      <c r="U18" s="1912"/>
      <c r="V18" s="1920">
        <v>2946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314703</v>
      </c>
      <c r="C19" s="1919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1918">
        <f t="shared" si="14"/>
        <v>0</v>
      </c>
      <c r="R19" s="1919"/>
      <c r="S19" s="1177">
        <f>S15+S16-S17-S18</f>
        <v>6</v>
      </c>
      <c r="T19" s="1914" t="s">
        <v>48</v>
      </c>
      <c r="U19" s="49" t="s">
        <v>58</v>
      </c>
      <c r="V19" s="1920">
        <v>160000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302901.63750000001</v>
      </c>
      <c r="C20" s="1945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44">
        <f>341*Q19</f>
        <v>0</v>
      </c>
      <c r="R20" s="1945"/>
      <c r="S20" s="290">
        <f>341*S19</f>
        <v>2046</v>
      </c>
      <c r="T20" s="1915"/>
      <c r="U20" s="49" t="s">
        <v>59</v>
      </c>
      <c r="V20" s="1920">
        <v>143000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938235.13749999995</v>
      </c>
      <c r="C21" s="1951"/>
      <c r="O21" s="1184"/>
      <c r="P21" s="1184"/>
      <c r="Q21" s="1184"/>
      <c r="R21" s="1184"/>
      <c r="T21" s="1952" t="s">
        <v>451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160000</v>
      </c>
      <c r="D22" s="1949">
        <v>160000</v>
      </c>
      <c r="E22" s="1949">
        <v>357190</v>
      </c>
      <c r="F22" s="1949">
        <f>C22-D22+E22</f>
        <v>357190</v>
      </c>
      <c r="G22" s="1184"/>
      <c r="Q22" s="1184"/>
      <c r="R22" s="1184"/>
      <c r="T22" s="1909" t="s">
        <v>83</v>
      </c>
      <c r="U22" s="50" t="s">
        <v>60</v>
      </c>
      <c r="V22" s="1920">
        <v>222400</v>
      </c>
      <c r="W22" s="1920"/>
      <c r="X22" s="1920"/>
      <c r="Y22" s="1927"/>
    </row>
    <row r="23" spans="1:25" ht="39.75" customHeight="1" x14ac:dyDescent="0.25">
      <c r="A23" s="1184"/>
      <c r="B23" s="1947"/>
      <c r="C23" s="1950"/>
      <c r="D23" s="1950"/>
      <c r="E23" s="1950"/>
      <c r="F23" s="1950"/>
      <c r="G23" s="1184"/>
      <c r="Q23" s="1184"/>
      <c r="R23" s="1184"/>
      <c r="T23" s="1910"/>
      <c r="U23" s="50" t="s">
        <v>61</v>
      </c>
      <c r="V23" s="1920">
        <v>303000</v>
      </c>
      <c r="W23" s="1920"/>
      <c r="X23" s="1920"/>
      <c r="Y23" s="1927"/>
    </row>
    <row r="24" spans="1:25" ht="48" customHeight="1" x14ac:dyDescent="0.25">
      <c r="A24" s="1184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1893" t="s">
        <v>47</v>
      </c>
      <c r="U24" s="51" t="s">
        <v>62</v>
      </c>
      <c r="V24" s="1921">
        <f>V14+V16+V17-V18-V19-V20-V22+V23-V21</f>
        <v>70277.119999999995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7611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184"/>
      <c r="J33" s="1184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1900" t="s">
        <v>460</v>
      </c>
      <c r="U3" s="1900"/>
      <c r="V3" s="1900"/>
      <c r="W3" s="1900"/>
      <c r="X3" s="1900"/>
      <c r="Y3" s="1900"/>
    </row>
    <row r="4" spans="1:25" s="118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85" customFormat="1" ht="25.5" customHeight="1" x14ac:dyDescent="0.25">
      <c r="A5" s="1901"/>
      <c r="B5" s="1901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1958" t="s">
        <v>378</v>
      </c>
      <c r="R14" s="1959"/>
      <c r="S14" s="1194" t="s">
        <v>401</v>
      </c>
      <c r="T14" s="1893" t="s">
        <v>46</v>
      </c>
      <c r="U14" s="1186" t="s">
        <v>176</v>
      </c>
      <c r="V14" s="1918">
        <v>70277</v>
      </c>
      <c r="W14" s="1926"/>
      <c r="X14" s="1919"/>
    </row>
    <row r="15" spans="1:25" ht="22.5" customHeight="1" x14ac:dyDescent="0.25">
      <c r="A15" s="100" t="s">
        <v>38</v>
      </c>
      <c r="B15" s="1918">
        <v>314703</v>
      </c>
      <c r="C15" s="1919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1918">
        <v>0</v>
      </c>
      <c r="R15" s="1919"/>
      <c r="S15" s="1186">
        <v>6</v>
      </c>
      <c r="T15" s="1893"/>
      <c r="U15" s="1186" t="s">
        <v>64</v>
      </c>
      <c r="V15" s="1920">
        <v>7611</v>
      </c>
      <c r="W15" s="1920"/>
      <c r="X15" s="1920"/>
    </row>
    <row r="16" spans="1:25" ht="24.75" customHeight="1" x14ac:dyDescent="0.25">
      <c r="A16" s="100" t="s">
        <v>39</v>
      </c>
      <c r="B16" s="1918">
        <v>134545</v>
      </c>
      <c r="C16" s="1919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1883"/>
      <c r="R16" s="1883"/>
      <c r="S16" s="1191"/>
      <c r="T16" s="1912" t="s">
        <v>55</v>
      </c>
      <c r="U16" s="1912"/>
      <c r="V16" s="1925">
        <f>Y12</f>
        <v>199181.76250000001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1883"/>
      <c r="R17" s="1883"/>
      <c r="S17" s="1188"/>
      <c r="T17" s="1952" t="s">
        <v>461</v>
      </c>
      <c r="U17" s="1953"/>
      <c r="V17" s="1954">
        <v>1646</v>
      </c>
      <c r="W17" s="1954"/>
      <c r="X17" s="1954"/>
    </row>
    <row r="18" spans="1:25" ht="27" customHeight="1" x14ac:dyDescent="0.25">
      <c r="A18" s="100" t="s">
        <v>40</v>
      </c>
      <c r="B18" s="1922">
        <f>C12</f>
        <v>148045</v>
      </c>
      <c r="C18" s="1919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1920"/>
      <c r="R18" s="1920"/>
      <c r="S18" s="1186"/>
      <c r="T18" s="1912" t="s">
        <v>57</v>
      </c>
      <c r="U18" s="1912"/>
      <c r="V18" s="1920">
        <v>620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301203</v>
      </c>
      <c r="C19" s="1919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1918">
        <f t="shared" si="14"/>
        <v>0</v>
      </c>
      <c r="R19" s="1919"/>
      <c r="S19" s="1186">
        <f>S15+S16-S17-S18</f>
        <v>6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289907.88750000001</v>
      </c>
      <c r="C20" s="1945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44">
        <f>341*Q19</f>
        <v>0</v>
      </c>
      <c r="R20" s="1945"/>
      <c r="S20" s="290">
        <f>341*S19</f>
        <v>2046</v>
      </c>
      <c r="T20" s="1915"/>
      <c r="U20" s="49" t="s">
        <v>59</v>
      </c>
      <c r="V20" s="1920">
        <v>86690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870580.58750000002</v>
      </c>
      <c r="C21" s="1951"/>
      <c r="O21" s="1195"/>
      <c r="P21" s="1195"/>
      <c r="Q21" s="1195"/>
      <c r="R21" s="1195"/>
      <c r="T21" s="1952" t="s">
        <v>451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357190</v>
      </c>
      <c r="D22" s="1949"/>
      <c r="E22" s="1949">
        <v>42810</v>
      </c>
      <c r="F22" s="1949">
        <f>C22-D22+E22</f>
        <v>400000</v>
      </c>
      <c r="G22" s="1195"/>
      <c r="Q22" s="1195"/>
      <c r="R22" s="1195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1195"/>
      <c r="B23" s="1947"/>
      <c r="C23" s="1950"/>
      <c r="D23" s="1950"/>
      <c r="E23" s="1950"/>
      <c r="F23" s="1950"/>
      <c r="G23" s="1195"/>
      <c r="Q23" s="1195"/>
      <c r="R23" s="1195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1195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1893" t="s">
        <v>47</v>
      </c>
      <c r="U24" s="51" t="s">
        <v>62</v>
      </c>
      <c r="V24" s="1921">
        <f>V14+V16+V17-V18-V19-V20-V22+V23-V21</f>
        <v>183794.76250000001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7611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195"/>
      <c r="J33" s="1195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1900" t="s">
        <v>462</v>
      </c>
      <c r="U3" s="1900"/>
      <c r="V3" s="1900"/>
      <c r="W3" s="1900"/>
      <c r="X3" s="1900"/>
      <c r="Y3" s="1900"/>
    </row>
    <row r="4" spans="1:25" s="119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196" customFormat="1" ht="25.5" customHeight="1" x14ac:dyDescent="0.25">
      <c r="A5" s="1901"/>
      <c r="B5" s="1901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1958" t="s">
        <v>378</v>
      </c>
      <c r="R14" s="1959"/>
      <c r="S14" s="1205" t="s">
        <v>401</v>
      </c>
      <c r="T14" s="1893" t="s">
        <v>46</v>
      </c>
      <c r="U14" s="1197" t="s">
        <v>176</v>
      </c>
      <c r="V14" s="1918">
        <v>183795</v>
      </c>
      <c r="W14" s="1926"/>
      <c r="X14" s="1919"/>
    </row>
    <row r="15" spans="1:25" ht="22.5" customHeight="1" x14ac:dyDescent="0.25">
      <c r="A15" s="100" t="s">
        <v>38</v>
      </c>
      <c r="B15" s="1918">
        <v>301203</v>
      </c>
      <c r="C15" s="1919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1918">
        <v>0</v>
      </c>
      <c r="R15" s="1919"/>
      <c r="S15" s="1197">
        <v>6</v>
      </c>
      <c r="T15" s="1893"/>
      <c r="U15" s="1197" t="s">
        <v>64</v>
      </c>
      <c r="V15" s="1920">
        <v>7611</v>
      </c>
      <c r="W15" s="1920"/>
      <c r="X15" s="1920"/>
    </row>
    <row r="16" spans="1:25" ht="24.75" customHeight="1" x14ac:dyDescent="0.25">
      <c r="A16" s="100" t="s">
        <v>39</v>
      </c>
      <c r="B16" s="1918">
        <v>363636</v>
      </c>
      <c r="C16" s="1919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1883"/>
      <c r="R16" s="1883"/>
      <c r="S16" s="1202"/>
      <c r="T16" s="1912" t="s">
        <v>55</v>
      </c>
      <c r="U16" s="1912"/>
      <c r="V16" s="1925">
        <f>Y12</f>
        <v>298061.0625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1883"/>
      <c r="R17" s="1883"/>
      <c r="S17" s="1199"/>
      <c r="T17" s="1952" t="s">
        <v>463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286325</v>
      </c>
      <c r="C18" s="1919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1920"/>
      <c r="R18" s="1920"/>
      <c r="S18" s="1197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378514</v>
      </c>
      <c r="C19" s="1919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1918">
        <f t="shared" si="14"/>
        <v>0</v>
      </c>
      <c r="R19" s="1919"/>
      <c r="S19" s="1197">
        <f>S15+S16-S17-S18</f>
        <v>6</v>
      </c>
      <c r="T19" s="1914" t="s">
        <v>48</v>
      </c>
      <c r="U19" s="49" t="s">
        <v>58</v>
      </c>
      <c r="V19" s="1920">
        <v>400000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364319.72500000003</v>
      </c>
      <c r="C20" s="1945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44">
        <f>341*Q19</f>
        <v>0</v>
      </c>
      <c r="R20" s="1945"/>
      <c r="S20" s="290">
        <f>341*S19</f>
        <v>2046</v>
      </c>
      <c r="T20" s="1915"/>
      <c r="U20" s="49" t="s">
        <v>59</v>
      </c>
      <c r="V20" s="1920">
        <v>50000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925583.82499999995</v>
      </c>
      <c r="C21" s="1951"/>
      <c r="O21" s="1206"/>
      <c r="P21" s="1206"/>
      <c r="Q21" s="1206"/>
      <c r="R21" s="1206"/>
      <c r="T21" s="1952" t="s">
        <v>464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>
        <v>400000</v>
      </c>
      <c r="E22" s="1949">
        <v>300000</v>
      </c>
      <c r="F22" s="1949">
        <f>C22-D22+E22</f>
        <v>300000</v>
      </c>
      <c r="G22" s="1206"/>
      <c r="Q22" s="1206"/>
      <c r="R22" s="1206"/>
      <c r="T22" s="1909" t="s">
        <v>83</v>
      </c>
      <c r="U22" s="50" t="s">
        <v>60</v>
      </c>
      <c r="V22" s="1920">
        <v>460060</v>
      </c>
      <c r="W22" s="1920"/>
      <c r="X22" s="1920"/>
      <c r="Y22" s="1927"/>
    </row>
    <row r="23" spans="1:25" ht="39.75" customHeight="1" x14ac:dyDescent="0.25">
      <c r="A23" s="1206"/>
      <c r="B23" s="1947"/>
      <c r="C23" s="1950"/>
      <c r="D23" s="1950"/>
      <c r="E23" s="1950"/>
      <c r="F23" s="1950"/>
      <c r="G23" s="1206"/>
      <c r="Q23" s="1206"/>
      <c r="R23" s="1206"/>
      <c r="T23" s="1910"/>
      <c r="U23" s="50" t="s">
        <v>61</v>
      </c>
      <c r="V23" s="1920">
        <v>450000</v>
      </c>
      <c r="W23" s="1920"/>
      <c r="X23" s="1920"/>
      <c r="Y23" s="1927"/>
    </row>
    <row r="24" spans="1:25" ht="48" customHeight="1" x14ac:dyDescent="0.25">
      <c r="A24" s="1206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1893" t="s">
        <v>47</v>
      </c>
      <c r="U24" s="51" t="s">
        <v>62</v>
      </c>
      <c r="V24" s="1921">
        <f>V14+V16+V17-V18-V19-V20-V22+V23-V21</f>
        <v>21276.0625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17671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206"/>
      <c r="J33" s="1206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1900" t="s">
        <v>465</v>
      </c>
      <c r="U3" s="1900"/>
      <c r="V3" s="1900"/>
      <c r="W3" s="1900"/>
      <c r="X3" s="1900"/>
      <c r="Y3" s="1900"/>
    </row>
    <row r="4" spans="1:25" s="120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207" customFormat="1" ht="25.5" customHeight="1" x14ac:dyDescent="0.25">
      <c r="A5" s="1901"/>
      <c r="B5" s="1901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1958" t="s">
        <v>378</v>
      </c>
      <c r="R14" s="1959"/>
      <c r="S14" s="1216" t="s">
        <v>401</v>
      </c>
      <c r="T14" s="1893" t="s">
        <v>46</v>
      </c>
      <c r="U14" s="1208" t="s">
        <v>176</v>
      </c>
      <c r="V14" s="1918">
        <v>21276</v>
      </c>
      <c r="W14" s="1926"/>
      <c r="X14" s="1919"/>
    </row>
    <row r="15" spans="1:25" ht="22.5" customHeight="1" x14ac:dyDescent="0.25">
      <c r="A15" s="100" t="s">
        <v>38</v>
      </c>
      <c r="B15" s="1918">
        <v>378514</v>
      </c>
      <c r="C15" s="1919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1918">
        <v>0</v>
      </c>
      <c r="R15" s="1919"/>
      <c r="S15" s="1208">
        <v>6</v>
      </c>
      <c r="T15" s="1893"/>
      <c r="U15" s="1208" t="s">
        <v>64</v>
      </c>
      <c r="V15" s="1920">
        <v>17671</v>
      </c>
      <c r="W15" s="1920"/>
      <c r="X15" s="1920"/>
    </row>
    <row r="16" spans="1:25" ht="24.75" customHeight="1" x14ac:dyDescent="0.25">
      <c r="A16" s="100" t="s">
        <v>39</v>
      </c>
      <c r="B16" s="1918">
        <v>415584</v>
      </c>
      <c r="C16" s="1919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883"/>
      <c r="R16" s="1883"/>
      <c r="S16" s="1213"/>
      <c r="T16" s="1912" t="s">
        <v>55</v>
      </c>
      <c r="U16" s="1912"/>
      <c r="V16" s="1925">
        <f>Y12</f>
        <v>356593.96249999997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1883"/>
      <c r="R17" s="1883"/>
      <c r="S17" s="1210"/>
      <c r="T17" s="1952" t="s">
        <v>463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316365</v>
      </c>
      <c r="C18" s="1919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1920"/>
      <c r="R18" s="1920"/>
      <c r="S18" s="1208"/>
      <c r="T18" s="1912" t="s">
        <v>57</v>
      </c>
      <c r="U18" s="1912"/>
      <c r="V18" s="1920">
        <v>7310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477733</v>
      </c>
      <c r="C19" s="1919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1918">
        <f t="shared" si="14"/>
        <v>0</v>
      </c>
      <c r="R19" s="1919"/>
      <c r="S19" s="1208">
        <f>S15+S16-S17-S18</f>
        <v>6</v>
      </c>
      <c r="T19" s="1914" t="s">
        <v>48</v>
      </c>
      <c r="U19" s="49" t="s">
        <v>58</v>
      </c>
      <c r="V19" s="1920">
        <v>300000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459818.01250000001</v>
      </c>
      <c r="C20" s="1945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44">
        <f>341*Q19</f>
        <v>0</v>
      </c>
      <c r="R20" s="1945"/>
      <c r="S20" s="290">
        <f>341*S19</f>
        <v>2046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972398.21250000002</v>
      </c>
      <c r="C21" s="1951"/>
      <c r="O21" s="1217"/>
      <c r="P21" s="1217"/>
      <c r="Q21" s="1217"/>
      <c r="R21" s="1217"/>
      <c r="T21" s="1952" t="s">
        <v>464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300000</v>
      </c>
      <c r="D22" s="1949">
        <v>300000</v>
      </c>
      <c r="E22" s="1949">
        <v>400000</v>
      </c>
      <c r="F22" s="1949">
        <f>C22-D22+E22</f>
        <v>400000</v>
      </c>
      <c r="G22" s="1217"/>
      <c r="Q22" s="1217"/>
      <c r="R22" s="1217"/>
      <c r="T22" s="1909" t="s">
        <v>83</v>
      </c>
      <c r="U22" s="50" t="s">
        <v>60</v>
      </c>
      <c r="V22" s="1920">
        <v>329120</v>
      </c>
      <c r="W22" s="1920"/>
      <c r="X22" s="1920"/>
      <c r="Y22" s="1927"/>
    </row>
    <row r="23" spans="1:25" ht="39.75" customHeight="1" x14ac:dyDescent="0.25">
      <c r="A23" s="1217"/>
      <c r="B23" s="1947"/>
      <c r="C23" s="1950"/>
      <c r="D23" s="1950"/>
      <c r="E23" s="1950"/>
      <c r="F23" s="1950"/>
      <c r="G23" s="1217"/>
      <c r="Q23" s="1217"/>
      <c r="R23" s="1217"/>
      <c r="T23" s="1910"/>
      <c r="U23" s="50" t="s">
        <v>61</v>
      </c>
      <c r="V23" s="1920">
        <v>300000</v>
      </c>
      <c r="W23" s="1920"/>
      <c r="X23" s="1920"/>
      <c r="Y23" s="1927"/>
    </row>
    <row r="24" spans="1:25" ht="48" customHeight="1" x14ac:dyDescent="0.25">
      <c r="A24" s="1217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1893" t="s">
        <v>47</v>
      </c>
      <c r="U24" s="51" t="s">
        <v>62</v>
      </c>
      <c r="V24" s="1921">
        <f>V14+V16+V17-V18-V19-V20-V22+V23-V21</f>
        <v>41439.962499999965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46791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217"/>
      <c r="J33" s="1217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FE31-F1A1-43A5-AC96-219A083A9F4C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O10" sqref="O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223"/>
      <c r="B3" s="1223"/>
      <c r="C3" s="1223"/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1900" t="s">
        <v>466</v>
      </c>
      <c r="U3" s="1900"/>
      <c r="V3" s="1900"/>
      <c r="W3" s="1900"/>
      <c r="X3" s="1900"/>
      <c r="Y3" s="1900"/>
    </row>
    <row r="4" spans="1:25" s="122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223" customFormat="1" ht="25.5" customHeight="1" x14ac:dyDescent="0.25">
      <c r="A5" s="1901"/>
      <c r="B5" s="1901"/>
      <c r="C5" s="1222" t="s">
        <v>42</v>
      </c>
      <c r="D5" s="1222" t="s">
        <v>43</v>
      </c>
      <c r="E5" s="1222" t="s">
        <v>42</v>
      </c>
      <c r="F5" s="1222" t="s">
        <v>43</v>
      </c>
      <c r="G5" s="1222" t="s">
        <v>42</v>
      </c>
      <c r="H5" s="1222" t="s">
        <v>43</v>
      </c>
      <c r="I5" s="1222" t="s">
        <v>42</v>
      </c>
      <c r="J5" s="1222" t="s">
        <v>43</v>
      </c>
      <c r="K5" s="1222" t="s">
        <v>42</v>
      </c>
      <c r="L5" s="1222" t="s">
        <v>43</v>
      </c>
      <c r="M5" s="1222" t="s">
        <v>42</v>
      </c>
      <c r="N5" s="1222" t="s">
        <v>43</v>
      </c>
      <c r="O5" s="1222" t="s">
        <v>42</v>
      </c>
      <c r="P5" s="1222" t="s">
        <v>43</v>
      </c>
      <c r="Q5" s="1222" t="s">
        <v>42</v>
      </c>
      <c r="R5" s="12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221" t="s">
        <v>71</v>
      </c>
      <c r="C6" s="1219">
        <v>20446</v>
      </c>
      <c r="D6" s="1218">
        <f t="shared" ref="D6:D11" si="0">0.9725*C6</f>
        <v>19883.735000000001</v>
      </c>
      <c r="E6" s="1219"/>
      <c r="F6" s="1218">
        <f>67.1*E6</f>
        <v>0</v>
      </c>
      <c r="G6" s="1219"/>
      <c r="H6" s="1219">
        <f>28.2*G6</f>
        <v>0</v>
      </c>
      <c r="I6" s="1219">
        <v>260</v>
      </c>
      <c r="J6" s="1219">
        <f>18.5*I6</f>
        <v>4810</v>
      </c>
      <c r="K6" s="1219"/>
      <c r="L6" s="1218">
        <f>28.2368*K6</f>
        <v>0</v>
      </c>
      <c r="M6" s="1219"/>
      <c r="N6" s="1218">
        <f>M6*47.6525</f>
        <v>0</v>
      </c>
      <c r="O6" s="1219"/>
      <c r="P6" s="1218">
        <f>O6*8.9</f>
        <v>0</v>
      </c>
      <c r="Q6" s="1218"/>
      <c r="R6" s="1218">
        <f>241*Q6</f>
        <v>0</v>
      </c>
      <c r="S6" s="1219"/>
      <c r="T6" s="1219">
        <f>241*S6</f>
        <v>0</v>
      </c>
      <c r="U6" s="1219"/>
      <c r="V6" s="1219">
        <f>332*U6</f>
        <v>0</v>
      </c>
      <c r="W6" s="1219"/>
      <c r="X6" s="19">
        <f>W6*100</f>
        <v>0</v>
      </c>
      <c r="Y6" s="20">
        <f t="shared" ref="Y6:Y12" si="1">D6+F6+H6+J6+L6+N6+P6+R6+T6+V6+X6</f>
        <v>24693.735000000001</v>
      </c>
    </row>
    <row r="7" spans="1:25" ht="31.5" customHeight="1" x14ac:dyDescent="0.25">
      <c r="A7" s="12">
        <v>1984225578</v>
      </c>
      <c r="B7" s="1221" t="s">
        <v>72</v>
      </c>
      <c r="C7" s="1219">
        <v>42481</v>
      </c>
      <c r="D7" s="1218">
        <f t="shared" si="0"/>
        <v>41312.772499999999</v>
      </c>
      <c r="E7" s="1219"/>
      <c r="F7" s="1219">
        <f t="shared" ref="F7:F11" si="2">67.1*E7</f>
        <v>0</v>
      </c>
      <c r="G7" s="1219"/>
      <c r="H7" s="1219">
        <f t="shared" ref="H7:H11" si="3">28.2*G7</f>
        <v>0</v>
      </c>
      <c r="I7" s="1219">
        <v>490</v>
      </c>
      <c r="J7" s="1219">
        <f t="shared" ref="J7:J11" si="4">18.5*I7</f>
        <v>9065</v>
      </c>
      <c r="K7" s="1219"/>
      <c r="L7" s="1218">
        <f t="shared" ref="L7:L11" si="5">28.2368*K7</f>
        <v>0</v>
      </c>
      <c r="M7" s="1219"/>
      <c r="N7" s="1218">
        <f t="shared" ref="N7:N11" si="6">M7*47.6525</f>
        <v>0</v>
      </c>
      <c r="O7" s="1219"/>
      <c r="P7" s="1218">
        <f t="shared" ref="P7:P11" si="7">O7*8.9</f>
        <v>0</v>
      </c>
      <c r="Q7" s="1218"/>
      <c r="R7" s="1218">
        <f t="shared" ref="R7:R11" si="8">241*Q7</f>
        <v>0</v>
      </c>
      <c r="S7" s="1219"/>
      <c r="T7" s="1219">
        <f t="shared" ref="T7:T10" si="9">241*S7</f>
        <v>0</v>
      </c>
      <c r="U7" s="1219"/>
      <c r="V7" s="1219">
        <f t="shared" ref="V7:V11" si="10">332*U7</f>
        <v>0</v>
      </c>
      <c r="W7" s="1219">
        <v>1</v>
      </c>
      <c r="X7" s="19">
        <f t="shared" ref="X7:X11" si="11">W7*100</f>
        <v>100</v>
      </c>
      <c r="Y7" s="20">
        <f t="shared" si="1"/>
        <v>50477.772499999999</v>
      </c>
    </row>
    <row r="8" spans="1:25" ht="35.25" customHeight="1" x14ac:dyDescent="0.25">
      <c r="A8" s="12">
        <v>1967020280</v>
      </c>
      <c r="B8" s="1221" t="s">
        <v>427</v>
      </c>
      <c r="C8" s="1219">
        <v>11192</v>
      </c>
      <c r="D8" s="1218">
        <f t="shared" si="0"/>
        <v>10884.220000000001</v>
      </c>
      <c r="E8" s="1219"/>
      <c r="F8" s="1219">
        <f t="shared" si="2"/>
        <v>0</v>
      </c>
      <c r="G8" s="1219"/>
      <c r="H8" s="1218">
        <f t="shared" si="3"/>
        <v>0</v>
      </c>
      <c r="I8" s="1219">
        <v>250</v>
      </c>
      <c r="J8" s="1219">
        <f t="shared" si="4"/>
        <v>4625</v>
      </c>
      <c r="K8" s="1219"/>
      <c r="L8" s="1218">
        <f t="shared" si="5"/>
        <v>0</v>
      </c>
      <c r="M8" s="1219"/>
      <c r="N8" s="1218">
        <f t="shared" si="6"/>
        <v>0</v>
      </c>
      <c r="O8" s="1219"/>
      <c r="P8" s="1218">
        <f t="shared" si="7"/>
        <v>0</v>
      </c>
      <c r="Q8" s="1218"/>
      <c r="R8" s="1218">
        <f t="shared" si="8"/>
        <v>0</v>
      </c>
      <c r="S8" s="1219"/>
      <c r="T8" s="1219">
        <f t="shared" si="9"/>
        <v>0</v>
      </c>
      <c r="U8" s="1219"/>
      <c r="V8" s="1219">
        <f t="shared" si="10"/>
        <v>0</v>
      </c>
      <c r="W8" s="1219"/>
      <c r="X8" s="19">
        <f t="shared" si="11"/>
        <v>0</v>
      </c>
      <c r="Y8" s="20">
        <f t="shared" si="1"/>
        <v>15509.220000000001</v>
      </c>
    </row>
    <row r="9" spans="1:25" ht="38.25" customHeight="1" x14ac:dyDescent="0.25">
      <c r="A9" s="12">
        <v>1984225580</v>
      </c>
      <c r="B9" s="1221" t="s">
        <v>75</v>
      </c>
      <c r="C9" s="1219">
        <v>13252</v>
      </c>
      <c r="D9" s="1218">
        <f t="shared" si="0"/>
        <v>12887.57</v>
      </c>
      <c r="E9" s="1219"/>
      <c r="F9" s="1219">
        <f t="shared" si="2"/>
        <v>0</v>
      </c>
      <c r="G9" s="1219"/>
      <c r="H9" s="1219">
        <f t="shared" si="3"/>
        <v>0</v>
      </c>
      <c r="I9" s="1219">
        <v>650</v>
      </c>
      <c r="J9" s="1219">
        <f t="shared" si="4"/>
        <v>12025</v>
      </c>
      <c r="K9" s="1219"/>
      <c r="L9" s="1218">
        <f t="shared" si="5"/>
        <v>0</v>
      </c>
      <c r="M9" s="1219"/>
      <c r="N9" s="1218">
        <f t="shared" si="6"/>
        <v>0</v>
      </c>
      <c r="O9" s="1219"/>
      <c r="P9" s="1218">
        <f t="shared" si="7"/>
        <v>0</v>
      </c>
      <c r="Q9" s="1218"/>
      <c r="R9" s="1218">
        <f t="shared" si="8"/>
        <v>0</v>
      </c>
      <c r="S9" s="1219"/>
      <c r="T9" s="1219">
        <f t="shared" si="9"/>
        <v>0</v>
      </c>
      <c r="U9" s="1219"/>
      <c r="V9" s="1219">
        <f t="shared" si="10"/>
        <v>0</v>
      </c>
      <c r="W9" s="1219"/>
      <c r="X9" s="19">
        <f t="shared" si="11"/>
        <v>0</v>
      </c>
      <c r="Y9" s="20">
        <f t="shared" si="1"/>
        <v>24912.57</v>
      </c>
    </row>
    <row r="10" spans="1:25" ht="35.25" customHeight="1" x14ac:dyDescent="0.25">
      <c r="A10" s="12">
        <v>1409935199</v>
      </c>
      <c r="C10" s="1219"/>
      <c r="D10" s="1218">
        <f t="shared" si="0"/>
        <v>0</v>
      </c>
      <c r="E10" s="1219"/>
      <c r="F10" s="1219">
        <f t="shared" si="2"/>
        <v>0</v>
      </c>
      <c r="G10" s="1219"/>
      <c r="H10" s="1219">
        <f t="shared" si="3"/>
        <v>0</v>
      </c>
      <c r="I10" s="1219"/>
      <c r="J10" s="1219">
        <f t="shared" si="4"/>
        <v>0</v>
      </c>
      <c r="K10" s="1219"/>
      <c r="L10" s="1218">
        <f t="shared" si="5"/>
        <v>0</v>
      </c>
      <c r="M10" s="1219"/>
      <c r="N10" s="1218">
        <f t="shared" si="6"/>
        <v>0</v>
      </c>
      <c r="O10" s="1219"/>
      <c r="P10" s="1218">
        <f t="shared" si="7"/>
        <v>0</v>
      </c>
      <c r="Q10" s="1218"/>
      <c r="R10" s="1218">
        <f t="shared" si="8"/>
        <v>0</v>
      </c>
      <c r="S10" s="1219"/>
      <c r="T10" s="1219">
        <f t="shared" si="9"/>
        <v>0</v>
      </c>
      <c r="U10" s="1219"/>
      <c r="V10" s="1219">
        <f t="shared" si="10"/>
        <v>0</v>
      </c>
      <c r="W10" s="12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20"/>
      <c r="C11" s="1219"/>
      <c r="D11" s="1218">
        <f t="shared" si="0"/>
        <v>0</v>
      </c>
      <c r="E11" s="1219"/>
      <c r="F11" s="1219">
        <f t="shared" si="2"/>
        <v>0</v>
      </c>
      <c r="G11" s="1219"/>
      <c r="H11" s="1219">
        <f t="shared" si="3"/>
        <v>0</v>
      </c>
      <c r="I11" s="1219"/>
      <c r="J11" s="1219">
        <f t="shared" si="4"/>
        <v>0</v>
      </c>
      <c r="K11" s="1219"/>
      <c r="L11" s="1218">
        <f t="shared" si="5"/>
        <v>0</v>
      </c>
      <c r="M11" s="1219"/>
      <c r="N11" s="1218">
        <f t="shared" si="6"/>
        <v>0</v>
      </c>
      <c r="O11" s="1219"/>
      <c r="P11" s="1218">
        <f t="shared" si="7"/>
        <v>0</v>
      </c>
      <c r="Q11" s="1218"/>
      <c r="R11" s="1218">
        <f t="shared" si="8"/>
        <v>0</v>
      </c>
      <c r="S11" s="1219"/>
      <c r="T11" s="1219">
        <f>341*S11</f>
        <v>0</v>
      </c>
      <c r="U11" s="1219"/>
      <c r="V11" s="1219">
        <f t="shared" si="10"/>
        <v>0</v>
      </c>
      <c r="W11" s="12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87371</v>
      </c>
      <c r="D12" s="18">
        <f t="shared" si="12"/>
        <v>84968.297500000015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1650</v>
      </c>
      <c r="J12" s="18">
        <f t="shared" si="12"/>
        <v>30525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115593.29750000002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27" t="s">
        <v>174</v>
      </c>
      <c r="K14" s="30" t="s">
        <v>36</v>
      </c>
      <c r="L14" s="1227" t="s">
        <v>403</v>
      </c>
      <c r="M14" s="30" t="s">
        <v>429</v>
      </c>
      <c r="N14" s="30" t="s">
        <v>442</v>
      </c>
      <c r="O14" s="1227" t="s">
        <v>114</v>
      </c>
      <c r="P14" s="30" t="s">
        <v>70</v>
      </c>
      <c r="Q14" s="1958" t="s">
        <v>378</v>
      </c>
      <c r="R14" s="1959"/>
      <c r="S14" s="1227" t="s">
        <v>401</v>
      </c>
      <c r="T14" s="1893" t="s">
        <v>46</v>
      </c>
      <c r="U14" s="1221" t="s">
        <v>176</v>
      </c>
      <c r="V14" s="1918">
        <v>41440</v>
      </c>
      <c r="W14" s="1926"/>
      <c r="X14" s="1919"/>
    </row>
    <row r="15" spans="1:25" ht="22.5" customHeight="1" x14ac:dyDescent="0.25">
      <c r="A15" s="100" t="s">
        <v>38</v>
      </c>
      <c r="B15" s="1918">
        <v>477733</v>
      </c>
      <c r="C15" s="1919"/>
      <c r="D15" s="1224">
        <v>180</v>
      </c>
      <c r="E15" s="1224">
        <v>1000</v>
      </c>
      <c r="F15" s="1224">
        <v>22380</v>
      </c>
      <c r="G15" s="1224">
        <v>0</v>
      </c>
      <c r="H15" s="1224">
        <v>161</v>
      </c>
      <c r="I15" s="1224">
        <v>18</v>
      </c>
      <c r="J15" s="1224">
        <v>4</v>
      </c>
      <c r="K15" s="1224">
        <v>80</v>
      </c>
      <c r="L15" s="1224">
        <v>0</v>
      </c>
      <c r="M15" s="1224">
        <v>0</v>
      </c>
      <c r="N15" s="1224">
        <v>280</v>
      </c>
      <c r="O15" s="1224">
        <v>0</v>
      </c>
      <c r="P15" s="1224">
        <v>100</v>
      </c>
      <c r="Q15" s="1918">
        <v>0</v>
      </c>
      <c r="R15" s="1919"/>
      <c r="S15" s="1221">
        <v>6</v>
      </c>
      <c r="T15" s="1893"/>
      <c r="U15" s="1221" t="s">
        <v>64</v>
      </c>
      <c r="V15" s="1920">
        <v>46791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224"/>
      <c r="E16" s="1224"/>
      <c r="F16" s="1224"/>
      <c r="G16" s="1224"/>
      <c r="H16" s="1224"/>
      <c r="I16" s="1224"/>
      <c r="J16" s="1224"/>
      <c r="K16" s="1224"/>
      <c r="L16" s="1224"/>
      <c r="M16" s="1224"/>
      <c r="N16" s="1224"/>
      <c r="O16" s="1224"/>
      <c r="P16" s="1224"/>
      <c r="Q16" s="1883"/>
      <c r="R16" s="1883"/>
      <c r="S16" s="1224"/>
      <c r="T16" s="1912" t="s">
        <v>55</v>
      </c>
      <c r="U16" s="1912"/>
      <c r="V16" s="1925">
        <f>Y12</f>
        <v>115593.29750000002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224"/>
      <c r="E17" s="1224"/>
      <c r="F17" s="1224"/>
      <c r="G17" s="1224"/>
      <c r="H17" s="1224"/>
      <c r="I17" s="1224"/>
      <c r="J17" s="1224"/>
      <c r="K17" s="1224"/>
      <c r="L17" s="1224"/>
      <c r="M17" s="1224"/>
      <c r="N17" s="1224"/>
      <c r="O17" s="1224"/>
      <c r="P17" s="1224"/>
      <c r="Q17" s="1883"/>
      <c r="R17" s="1883"/>
      <c r="S17" s="1220"/>
      <c r="T17" s="1952" t="s">
        <v>463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87371</v>
      </c>
      <c r="C18" s="1919"/>
      <c r="D18" s="1226">
        <f>E12</f>
        <v>0</v>
      </c>
      <c r="E18" s="1226">
        <f>G12</f>
        <v>0</v>
      </c>
      <c r="F18" s="1226">
        <f>I12</f>
        <v>1650</v>
      </c>
      <c r="G18" s="1226">
        <f>K12</f>
        <v>0</v>
      </c>
      <c r="H18" s="1224"/>
      <c r="I18" s="1226">
        <f>U12</f>
        <v>0</v>
      </c>
      <c r="J18" s="1224"/>
      <c r="K18" s="1226">
        <f>W12</f>
        <v>1</v>
      </c>
      <c r="L18" s="1224"/>
      <c r="M18" s="1226">
        <f>M12</f>
        <v>0</v>
      </c>
      <c r="N18" s="1226">
        <f>O12</f>
        <v>0</v>
      </c>
      <c r="O18" s="1225">
        <f>Q12</f>
        <v>0</v>
      </c>
      <c r="P18" s="1226"/>
      <c r="Q18" s="1920"/>
      <c r="R18" s="1920"/>
      <c r="S18" s="1221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390362</v>
      </c>
      <c r="C19" s="1919"/>
      <c r="D19" s="1224">
        <f>D15+D16+D17-D18</f>
        <v>180</v>
      </c>
      <c r="E19" s="1224">
        <f t="shared" ref="E19:N19" si="13">E15+E16+E17-E18</f>
        <v>1000</v>
      </c>
      <c r="F19" s="1224">
        <f t="shared" si="13"/>
        <v>20730</v>
      </c>
      <c r="G19" s="1224">
        <f t="shared" si="13"/>
        <v>0</v>
      </c>
      <c r="H19" s="1224">
        <f t="shared" si="13"/>
        <v>161</v>
      </c>
      <c r="I19" s="1224">
        <f t="shared" si="13"/>
        <v>18</v>
      </c>
      <c r="J19" s="1224">
        <f t="shared" si="13"/>
        <v>4</v>
      </c>
      <c r="K19" s="1224">
        <f t="shared" si="13"/>
        <v>79</v>
      </c>
      <c r="L19" s="1224">
        <f t="shared" si="13"/>
        <v>0</v>
      </c>
      <c r="M19" s="1224">
        <f t="shared" si="13"/>
        <v>0</v>
      </c>
      <c r="N19" s="1224">
        <f t="shared" si="13"/>
        <v>280</v>
      </c>
      <c r="O19" s="1224">
        <f>O15+O16+O17-O18</f>
        <v>0</v>
      </c>
      <c r="P19" s="1224">
        <f t="shared" ref="P19:Q19" si="14">P15+P16+P17-P18</f>
        <v>100</v>
      </c>
      <c r="Q19" s="1918">
        <f t="shared" si="14"/>
        <v>0</v>
      </c>
      <c r="R19" s="1919"/>
      <c r="S19" s="1221">
        <f>S15+S16-S17-S18</f>
        <v>6</v>
      </c>
      <c r="T19" s="1914" t="s">
        <v>48</v>
      </c>
      <c r="U19" s="49" t="s">
        <v>58</v>
      </c>
      <c r="V19" s="1920">
        <v>157000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375723.42499999999</v>
      </c>
      <c r="C20" s="1945"/>
      <c r="D20" s="290">
        <f>D19*66.41</f>
        <v>11953.8</v>
      </c>
      <c r="E20" s="290">
        <f>27.9368*E19</f>
        <v>27936.800000000003</v>
      </c>
      <c r="F20" s="290">
        <f>18.31*F19</f>
        <v>379566.3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44">
        <f>341*Q19</f>
        <v>0</v>
      </c>
      <c r="R20" s="1945"/>
      <c r="S20" s="290">
        <f>341*S19</f>
        <v>2046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857992.125</v>
      </c>
      <c r="C21" s="1951"/>
      <c r="O21" s="1228"/>
      <c r="P21" s="1228"/>
      <c r="Q21" s="1228"/>
      <c r="R21" s="1228"/>
      <c r="T21" s="1952" t="s">
        <v>464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>
        <v>157000</v>
      </c>
      <c r="E22" s="1949"/>
      <c r="F22" s="1949">
        <f>C22-D22+E22</f>
        <v>243000</v>
      </c>
      <c r="G22" s="1228"/>
      <c r="Q22" s="1228"/>
      <c r="R22" s="1228"/>
      <c r="T22" s="1909" t="s">
        <v>83</v>
      </c>
      <c r="U22" s="50" t="s">
        <v>60</v>
      </c>
      <c r="V22" s="1920">
        <v>122848</v>
      </c>
      <c r="W22" s="1920"/>
      <c r="X22" s="1920"/>
      <c r="Y22" s="1927"/>
    </row>
    <row r="23" spans="1:25" ht="39.75" customHeight="1" x14ac:dyDescent="0.25">
      <c r="A23" s="1228"/>
      <c r="B23" s="1947"/>
      <c r="C23" s="1950"/>
      <c r="D23" s="1950"/>
      <c r="E23" s="1950"/>
      <c r="F23" s="1950"/>
      <c r="G23" s="1228"/>
      <c r="Q23" s="1228"/>
      <c r="R23" s="1228"/>
      <c r="T23" s="1910"/>
      <c r="U23" s="50" t="s">
        <v>61</v>
      </c>
      <c r="V23" s="1920">
        <v>157000</v>
      </c>
      <c r="W23" s="1920"/>
      <c r="X23" s="1920"/>
      <c r="Y23" s="1927"/>
    </row>
    <row r="24" spans="1:25" ht="48" customHeight="1" x14ac:dyDescent="0.25">
      <c r="A24" s="1228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228"/>
      <c r="Q24" s="1228"/>
      <c r="R24" s="1228"/>
      <c r="T24" s="1893" t="s">
        <v>47</v>
      </c>
      <c r="U24" s="51" t="s">
        <v>62</v>
      </c>
      <c r="V24" s="1921">
        <f>V14+V16+V17-V18-V19-V20-V22+V23-V21</f>
        <v>33665.297500000015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12639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228"/>
      <c r="J33" s="1228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E3FC-4244-4373-AE76-8DB1587E4EC3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229"/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1900" t="s">
        <v>467</v>
      </c>
      <c r="U3" s="1900"/>
      <c r="V3" s="1900"/>
      <c r="W3" s="1900"/>
      <c r="X3" s="1900"/>
      <c r="Y3" s="1900"/>
    </row>
    <row r="4" spans="1:25" s="122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229" customFormat="1" ht="25.5" customHeight="1" x14ac:dyDescent="0.25">
      <c r="A5" s="1901"/>
      <c r="B5" s="1901"/>
      <c r="C5" s="1231" t="s">
        <v>42</v>
      </c>
      <c r="D5" s="1231" t="s">
        <v>43</v>
      </c>
      <c r="E5" s="1231" t="s">
        <v>42</v>
      </c>
      <c r="F5" s="1231" t="s">
        <v>43</v>
      </c>
      <c r="G5" s="1231" t="s">
        <v>42</v>
      </c>
      <c r="H5" s="1231" t="s">
        <v>43</v>
      </c>
      <c r="I5" s="1231" t="s">
        <v>42</v>
      </c>
      <c r="J5" s="1231" t="s">
        <v>43</v>
      </c>
      <c r="K5" s="1231" t="s">
        <v>42</v>
      </c>
      <c r="L5" s="1231" t="s">
        <v>43</v>
      </c>
      <c r="M5" s="1231" t="s">
        <v>42</v>
      </c>
      <c r="N5" s="1231" t="s">
        <v>43</v>
      </c>
      <c r="O5" s="1231" t="s">
        <v>42</v>
      </c>
      <c r="P5" s="1231" t="s">
        <v>43</v>
      </c>
      <c r="Q5" s="1231" t="s">
        <v>42</v>
      </c>
      <c r="R5" s="12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230" t="s">
        <v>71</v>
      </c>
      <c r="C6" s="1233">
        <v>12319</v>
      </c>
      <c r="D6" s="1234">
        <f t="shared" ref="D6:D11" si="0">0.9725*C6</f>
        <v>11980.227500000001</v>
      </c>
      <c r="E6" s="1233"/>
      <c r="F6" s="1234">
        <f>67.1*E6</f>
        <v>0</v>
      </c>
      <c r="G6" s="1233">
        <v>180</v>
      </c>
      <c r="H6" s="1233">
        <f>28.2*G6</f>
        <v>5076</v>
      </c>
      <c r="I6" s="1233">
        <v>540</v>
      </c>
      <c r="J6" s="1233">
        <f>18.5*I6</f>
        <v>9990</v>
      </c>
      <c r="K6" s="1233"/>
      <c r="L6" s="1234">
        <f>28.2368*K6</f>
        <v>0</v>
      </c>
      <c r="M6" s="1233"/>
      <c r="N6" s="1234">
        <f>M6*47.6525</f>
        <v>0</v>
      </c>
      <c r="O6" s="1233"/>
      <c r="P6" s="1234">
        <f>O6*8.9</f>
        <v>0</v>
      </c>
      <c r="Q6" s="1234"/>
      <c r="R6" s="1234">
        <f>241*Q6</f>
        <v>0</v>
      </c>
      <c r="S6" s="1233"/>
      <c r="T6" s="1233">
        <f>241*S6</f>
        <v>0</v>
      </c>
      <c r="U6" s="1233"/>
      <c r="V6" s="1233">
        <f>332*U6</f>
        <v>0</v>
      </c>
      <c r="W6" s="1233"/>
      <c r="X6" s="19">
        <f>W6*100</f>
        <v>0</v>
      </c>
      <c r="Y6" s="20">
        <f t="shared" ref="Y6:Y12" si="1">D6+F6+H6+J6+L6+N6+P6+R6+T6+V6+X6</f>
        <v>27046.227500000001</v>
      </c>
    </row>
    <row r="7" spans="1:25" ht="31.5" customHeight="1" x14ac:dyDescent="0.25">
      <c r="A7" s="12">
        <v>1984225578</v>
      </c>
      <c r="B7" s="1230" t="s">
        <v>72</v>
      </c>
      <c r="C7" s="1233">
        <v>12526</v>
      </c>
      <c r="D7" s="1234">
        <f t="shared" si="0"/>
        <v>12181.535</v>
      </c>
      <c r="E7" s="1233"/>
      <c r="F7" s="1233">
        <f t="shared" ref="F7:F11" si="2">67.1*E7</f>
        <v>0</v>
      </c>
      <c r="G7" s="1233"/>
      <c r="H7" s="1233">
        <f t="shared" ref="H7:H11" si="3">28.2*G7</f>
        <v>0</v>
      </c>
      <c r="I7" s="1233">
        <v>1500</v>
      </c>
      <c r="J7" s="1233">
        <f t="shared" ref="J7:J11" si="4">18.5*I7</f>
        <v>27750</v>
      </c>
      <c r="K7" s="1233"/>
      <c r="L7" s="1234">
        <f t="shared" ref="L7:L11" si="5">28.2368*K7</f>
        <v>0</v>
      </c>
      <c r="M7" s="1233"/>
      <c r="N7" s="1234">
        <f t="shared" ref="N7:N11" si="6">M7*47.6525</f>
        <v>0</v>
      </c>
      <c r="O7" s="1233"/>
      <c r="P7" s="1234">
        <f t="shared" ref="P7:P11" si="7">O7*8.9</f>
        <v>0</v>
      </c>
      <c r="Q7" s="1234"/>
      <c r="R7" s="1234">
        <f t="shared" ref="R7:R11" si="8">241*Q7</f>
        <v>0</v>
      </c>
      <c r="S7" s="1233"/>
      <c r="T7" s="1233">
        <f t="shared" ref="T7:T10" si="9">241*S7</f>
        <v>0</v>
      </c>
      <c r="U7" s="1233"/>
      <c r="V7" s="1233">
        <f t="shared" ref="V7:V11" si="10">332*U7</f>
        <v>0</v>
      </c>
      <c r="W7" s="1233"/>
      <c r="X7" s="19">
        <f t="shared" ref="X7:X11" si="11">W7*100</f>
        <v>0</v>
      </c>
      <c r="Y7" s="20">
        <f t="shared" si="1"/>
        <v>39931.535000000003</v>
      </c>
    </row>
    <row r="8" spans="1:25" ht="35.25" customHeight="1" x14ac:dyDescent="0.25">
      <c r="A8" s="12">
        <v>1967020280</v>
      </c>
      <c r="B8" s="1230" t="s">
        <v>427</v>
      </c>
      <c r="C8" s="1233">
        <v>11702</v>
      </c>
      <c r="D8" s="1234">
        <f t="shared" si="0"/>
        <v>11380.195</v>
      </c>
      <c r="E8" s="1233"/>
      <c r="F8" s="1233">
        <f t="shared" si="2"/>
        <v>0</v>
      </c>
      <c r="G8" s="1233">
        <v>10</v>
      </c>
      <c r="H8" s="1234">
        <f t="shared" si="3"/>
        <v>282</v>
      </c>
      <c r="I8" s="1233">
        <v>360</v>
      </c>
      <c r="J8" s="1233">
        <f t="shared" si="4"/>
        <v>6660</v>
      </c>
      <c r="K8" s="1233"/>
      <c r="L8" s="1234">
        <f t="shared" si="5"/>
        <v>0</v>
      </c>
      <c r="M8" s="1233"/>
      <c r="N8" s="1234">
        <f t="shared" si="6"/>
        <v>0</v>
      </c>
      <c r="O8" s="1233"/>
      <c r="P8" s="1234">
        <f t="shared" si="7"/>
        <v>0</v>
      </c>
      <c r="Q8" s="1234"/>
      <c r="R8" s="1234">
        <f t="shared" si="8"/>
        <v>0</v>
      </c>
      <c r="S8" s="1233"/>
      <c r="T8" s="1233">
        <f t="shared" si="9"/>
        <v>0</v>
      </c>
      <c r="U8" s="1233">
        <v>3</v>
      </c>
      <c r="V8" s="1233">
        <f t="shared" si="10"/>
        <v>996</v>
      </c>
      <c r="W8" s="1233"/>
      <c r="X8" s="19">
        <f t="shared" si="11"/>
        <v>0</v>
      </c>
      <c r="Y8" s="20">
        <f t="shared" si="1"/>
        <v>19318.195</v>
      </c>
    </row>
    <row r="9" spans="1:25" ht="38.25" customHeight="1" x14ac:dyDescent="0.25">
      <c r="A9" s="12">
        <v>1984225580</v>
      </c>
      <c r="B9" s="1230" t="s">
        <v>75</v>
      </c>
      <c r="C9" s="1233">
        <v>14882</v>
      </c>
      <c r="D9" s="1234">
        <f t="shared" si="0"/>
        <v>14472.745000000001</v>
      </c>
      <c r="E9" s="1233"/>
      <c r="F9" s="1233">
        <f t="shared" si="2"/>
        <v>0</v>
      </c>
      <c r="G9" s="1233">
        <v>250</v>
      </c>
      <c r="H9" s="1233">
        <f t="shared" si="3"/>
        <v>7050</v>
      </c>
      <c r="I9" s="1233">
        <v>840</v>
      </c>
      <c r="J9" s="1233">
        <f t="shared" si="4"/>
        <v>15540</v>
      </c>
      <c r="K9" s="1233"/>
      <c r="L9" s="1234">
        <f t="shared" si="5"/>
        <v>0</v>
      </c>
      <c r="M9" s="1233"/>
      <c r="N9" s="1234">
        <f t="shared" si="6"/>
        <v>0</v>
      </c>
      <c r="O9" s="1233"/>
      <c r="P9" s="1234">
        <f t="shared" si="7"/>
        <v>0</v>
      </c>
      <c r="Q9" s="1234"/>
      <c r="R9" s="1234">
        <f t="shared" si="8"/>
        <v>0</v>
      </c>
      <c r="S9" s="1233"/>
      <c r="T9" s="1233">
        <f t="shared" si="9"/>
        <v>0</v>
      </c>
      <c r="U9" s="1233"/>
      <c r="V9" s="1233">
        <f t="shared" si="10"/>
        <v>0</v>
      </c>
      <c r="W9" s="1233"/>
      <c r="X9" s="19">
        <f t="shared" si="11"/>
        <v>0</v>
      </c>
      <c r="Y9" s="20">
        <f t="shared" si="1"/>
        <v>37062.745000000003</v>
      </c>
    </row>
    <row r="10" spans="1:25" ht="35.25" customHeight="1" x14ac:dyDescent="0.25">
      <c r="A10" s="12">
        <v>1409935199</v>
      </c>
      <c r="C10" s="1233"/>
      <c r="D10" s="1234">
        <f t="shared" si="0"/>
        <v>0</v>
      </c>
      <c r="E10" s="1233"/>
      <c r="F10" s="1233">
        <f t="shared" si="2"/>
        <v>0</v>
      </c>
      <c r="G10" s="1233"/>
      <c r="H10" s="1233">
        <f t="shared" si="3"/>
        <v>0</v>
      </c>
      <c r="I10" s="1233"/>
      <c r="J10" s="1233">
        <f t="shared" si="4"/>
        <v>0</v>
      </c>
      <c r="K10" s="1233"/>
      <c r="L10" s="1234">
        <f t="shared" si="5"/>
        <v>0</v>
      </c>
      <c r="M10" s="1233"/>
      <c r="N10" s="1234">
        <f t="shared" si="6"/>
        <v>0</v>
      </c>
      <c r="O10" s="1233"/>
      <c r="P10" s="1234">
        <f t="shared" si="7"/>
        <v>0</v>
      </c>
      <c r="Q10" s="1234"/>
      <c r="R10" s="1234">
        <f t="shared" si="8"/>
        <v>0</v>
      </c>
      <c r="S10" s="1233"/>
      <c r="T10" s="1233">
        <f t="shared" si="9"/>
        <v>0</v>
      </c>
      <c r="U10" s="1233"/>
      <c r="V10" s="1233">
        <f t="shared" si="10"/>
        <v>0</v>
      </c>
      <c r="W10" s="123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32"/>
      <c r="C11" s="1233"/>
      <c r="D11" s="1234">
        <f t="shared" si="0"/>
        <v>0</v>
      </c>
      <c r="E11" s="1233"/>
      <c r="F11" s="1233">
        <f t="shared" si="2"/>
        <v>0</v>
      </c>
      <c r="G11" s="1233"/>
      <c r="H11" s="1233">
        <f t="shared" si="3"/>
        <v>0</v>
      </c>
      <c r="I11" s="1233"/>
      <c r="J11" s="1233">
        <f t="shared" si="4"/>
        <v>0</v>
      </c>
      <c r="K11" s="1233"/>
      <c r="L11" s="1234">
        <f t="shared" si="5"/>
        <v>0</v>
      </c>
      <c r="M11" s="1233"/>
      <c r="N11" s="1234">
        <f t="shared" si="6"/>
        <v>0</v>
      </c>
      <c r="O11" s="1233"/>
      <c r="P11" s="1234">
        <f t="shared" si="7"/>
        <v>0</v>
      </c>
      <c r="Q11" s="1234"/>
      <c r="R11" s="1234">
        <f t="shared" si="8"/>
        <v>0</v>
      </c>
      <c r="S11" s="1233"/>
      <c r="T11" s="1233">
        <f>341*S11</f>
        <v>0</v>
      </c>
      <c r="U11" s="1233"/>
      <c r="V11" s="1233">
        <f t="shared" si="10"/>
        <v>0</v>
      </c>
      <c r="W11" s="123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51429</v>
      </c>
      <c r="D12" s="18">
        <f t="shared" si="12"/>
        <v>50014.702500000007</v>
      </c>
      <c r="E12" s="18">
        <f t="shared" si="12"/>
        <v>0</v>
      </c>
      <c r="F12" s="18">
        <f t="shared" si="12"/>
        <v>0</v>
      </c>
      <c r="G12" s="18">
        <f t="shared" si="12"/>
        <v>440</v>
      </c>
      <c r="H12" s="18">
        <f t="shared" si="12"/>
        <v>12408</v>
      </c>
      <c r="I12" s="18">
        <f t="shared" si="12"/>
        <v>3240</v>
      </c>
      <c r="J12" s="18">
        <f t="shared" si="12"/>
        <v>59940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123358.70250000001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38" t="s">
        <v>174</v>
      </c>
      <c r="K14" s="30" t="s">
        <v>36</v>
      </c>
      <c r="L14" s="1238" t="s">
        <v>403</v>
      </c>
      <c r="M14" s="30" t="s">
        <v>429</v>
      </c>
      <c r="N14" s="30" t="s">
        <v>442</v>
      </c>
      <c r="O14" s="1238" t="s">
        <v>114</v>
      </c>
      <c r="P14" s="30" t="s">
        <v>70</v>
      </c>
      <c r="Q14" s="1958" t="s">
        <v>378</v>
      </c>
      <c r="R14" s="1959"/>
      <c r="S14" s="1238" t="s">
        <v>401</v>
      </c>
      <c r="T14" s="1893" t="s">
        <v>46</v>
      </c>
      <c r="U14" s="1230" t="s">
        <v>176</v>
      </c>
      <c r="V14" s="1918">
        <v>33665</v>
      </c>
      <c r="W14" s="1926"/>
      <c r="X14" s="1919"/>
    </row>
    <row r="15" spans="1:25" ht="22.5" customHeight="1" x14ac:dyDescent="0.25">
      <c r="A15" s="100" t="s">
        <v>38</v>
      </c>
      <c r="B15" s="1918">
        <v>390362</v>
      </c>
      <c r="C15" s="1919"/>
      <c r="D15" s="1235">
        <v>180</v>
      </c>
      <c r="E15" s="1235">
        <v>1000</v>
      </c>
      <c r="F15" s="1235">
        <v>20730</v>
      </c>
      <c r="G15" s="1235">
        <v>0</v>
      </c>
      <c r="H15" s="1235">
        <v>161</v>
      </c>
      <c r="I15" s="1235">
        <v>18</v>
      </c>
      <c r="J15" s="1235">
        <v>4</v>
      </c>
      <c r="K15" s="1235">
        <v>79</v>
      </c>
      <c r="L15" s="1235">
        <v>0</v>
      </c>
      <c r="M15" s="1235">
        <v>0</v>
      </c>
      <c r="N15" s="1235">
        <v>280</v>
      </c>
      <c r="O15" s="1235">
        <v>0</v>
      </c>
      <c r="P15" s="1235">
        <v>100</v>
      </c>
      <c r="Q15" s="1918">
        <v>0</v>
      </c>
      <c r="R15" s="1919"/>
      <c r="S15" s="1230">
        <v>6</v>
      </c>
      <c r="T15" s="1893"/>
      <c r="U15" s="1230" t="s">
        <v>64</v>
      </c>
      <c r="V15" s="1920">
        <v>12639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235"/>
      <c r="E16" s="1235"/>
      <c r="F16" s="1235"/>
      <c r="G16" s="1235"/>
      <c r="H16" s="1235"/>
      <c r="I16" s="1235"/>
      <c r="J16" s="1235"/>
      <c r="K16" s="1235"/>
      <c r="L16" s="1235"/>
      <c r="M16" s="1235"/>
      <c r="N16" s="1235"/>
      <c r="O16" s="1235"/>
      <c r="P16" s="1235"/>
      <c r="Q16" s="1883"/>
      <c r="R16" s="1883"/>
      <c r="S16" s="1235"/>
      <c r="T16" s="1912" t="s">
        <v>55</v>
      </c>
      <c r="U16" s="1912"/>
      <c r="V16" s="1925">
        <f>Y12</f>
        <v>123358.70250000001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235"/>
      <c r="E17" s="1235"/>
      <c r="F17" s="1235"/>
      <c r="G17" s="1235"/>
      <c r="H17" s="1235"/>
      <c r="I17" s="1235"/>
      <c r="J17" s="1235"/>
      <c r="K17" s="1235"/>
      <c r="L17" s="1235"/>
      <c r="M17" s="1235"/>
      <c r="N17" s="1235"/>
      <c r="O17" s="1235"/>
      <c r="P17" s="1235"/>
      <c r="Q17" s="1883"/>
      <c r="R17" s="1883"/>
      <c r="S17" s="1232"/>
      <c r="T17" s="1952" t="s">
        <v>463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51429</v>
      </c>
      <c r="C18" s="1919"/>
      <c r="D18" s="1236">
        <f>E12</f>
        <v>0</v>
      </c>
      <c r="E18" s="1236">
        <f>G12</f>
        <v>440</v>
      </c>
      <c r="F18" s="1236">
        <f>I12</f>
        <v>3240</v>
      </c>
      <c r="G18" s="1236">
        <f>K12</f>
        <v>0</v>
      </c>
      <c r="H18" s="1235"/>
      <c r="I18" s="1236">
        <f>U12</f>
        <v>3</v>
      </c>
      <c r="J18" s="1235"/>
      <c r="K18" s="1236">
        <f>W12</f>
        <v>0</v>
      </c>
      <c r="L18" s="1235"/>
      <c r="M18" s="1236">
        <f>M12</f>
        <v>0</v>
      </c>
      <c r="N18" s="1236">
        <f>O12</f>
        <v>0</v>
      </c>
      <c r="O18" s="1237">
        <f>Q12</f>
        <v>0</v>
      </c>
      <c r="P18" s="1236"/>
      <c r="Q18" s="1920"/>
      <c r="R18" s="1920"/>
      <c r="S18" s="1230"/>
      <c r="T18" s="1912" t="s">
        <v>57</v>
      </c>
      <c r="U18" s="1912"/>
      <c r="V18" s="1920">
        <v>620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338933</v>
      </c>
      <c r="C19" s="1919"/>
      <c r="D19" s="1235">
        <f>D15+D16+D17-D18</f>
        <v>180</v>
      </c>
      <c r="E19" s="1235">
        <f t="shared" ref="E19:N19" si="13">E15+E16+E17-E18</f>
        <v>560</v>
      </c>
      <c r="F19" s="1235">
        <f t="shared" si="13"/>
        <v>17490</v>
      </c>
      <c r="G19" s="1235">
        <f t="shared" si="13"/>
        <v>0</v>
      </c>
      <c r="H19" s="1235">
        <f t="shared" si="13"/>
        <v>161</v>
      </c>
      <c r="I19" s="1235">
        <f t="shared" si="13"/>
        <v>15</v>
      </c>
      <c r="J19" s="1235">
        <f t="shared" si="13"/>
        <v>4</v>
      </c>
      <c r="K19" s="1235">
        <f t="shared" si="13"/>
        <v>79</v>
      </c>
      <c r="L19" s="1235">
        <f t="shared" si="13"/>
        <v>0</v>
      </c>
      <c r="M19" s="1235">
        <f t="shared" si="13"/>
        <v>0</v>
      </c>
      <c r="N19" s="1235">
        <f t="shared" si="13"/>
        <v>280</v>
      </c>
      <c r="O19" s="1235">
        <f>O15+O16+O17-O18</f>
        <v>0</v>
      </c>
      <c r="P19" s="1235">
        <f t="shared" ref="P19:Q19" si="14">P15+P16+P17-P18</f>
        <v>100</v>
      </c>
      <c r="Q19" s="1918">
        <f t="shared" si="14"/>
        <v>0</v>
      </c>
      <c r="R19" s="1919"/>
      <c r="S19" s="1230">
        <f>S15+S16-S17-S18</f>
        <v>6</v>
      </c>
      <c r="T19" s="1914" t="s">
        <v>48</v>
      </c>
      <c r="U19" s="49" t="s">
        <v>58</v>
      </c>
      <c r="V19" s="1920">
        <v>125000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326223.01250000001</v>
      </c>
      <c r="C20" s="1945"/>
      <c r="D20" s="290">
        <f>D19*66.41</f>
        <v>11953.8</v>
      </c>
      <c r="E20" s="290">
        <f>27.9368*E19</f>
        <v>15644.608</v>
      </c>
      <c r="F20" s="290">
        <f>18.31*F19</f>
        <v>320241.89999999997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44">
        <f>341*Q19</f>
        <v>0</v>
      </c>
      <c r="R20" s="1945"/>
      <c r="S20" s="290">
        <f>341*S19</f>
        <v>2046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735906.12049999996</v>
      </c>
      <c r="C21" s="1951"/>
      <c r="O21" s="1239"/>
      <c r="P21" s="1239"/>
      <c r="Q21" s="1239"/>
      <c r="R21" s="1239"/>
      <c r="T21" s="1952" t="s">
        <v>464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243000</v>
      </c>
      <c r="D22" s="1949">
        <v>125000</v>
      </c>
      <c r="E22" s="1949"/>
      <c r="F22" s="1949">
        <f>C22-D22+E22</f>
        <v>118000</v>
      </c>
      <c r="G22" s="1239"/>
      <c r="Q22" s="1239"/>
      <c r="R22" s="1239"/>
      <c r="T22" s="1909" t="s">
        <v>83</v>
      </c>
      <c r="U22" s="50" t="s">
        <v>60</v>
      </c>
      <c r="V22" s="1920">
        <v>122610</v>
      </c>
      <c r="W22" s="1920"/>
      <c r="X22" s="1920"/>
      <c r="Y22" s="1927"/>
    </row>
    <row r="23" spans="1:25" ht="39.75" customHeight="1" x14ac:dyDescent="0.25">
      <c r="A23" s="1239"/>
      <c r="B23" s="1947"/>
      <c r="C23" s="1950"/>
      <c r="D23" s="1950"/>
      <c r="E23" s="1950"/>
      <c r="F23" s="1950"/>
      <c r="G23" s="1239"/>
      <c r="Q23" s="1239"/>
      <c r="R23" s="1239"/>
      <c r="T23" s="1910"/>
      <c r="U23" s="50" t="s">
        <v>61</v>
      </c>
      <c r="V23" s="1920">
        <v>125000</v>
      </c>
      <c r="W23" s="1920"/>
      <c r="X23" s="1920"/>
      <c r="Y23" s="1927"/>
    </row>
    <row r="24" spans="1:25" ht="48" customHeight="1" x14ac:dyDescent="0.25">
      <c r="A24" s="1239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239"/>
      <c r="Q24" s="1239"/>
      <c r="R24" s="1239"/>
      <c r="T24" s="1893" t="s">
        <v>47</v>
      </c>
      <c r="U24" s="51" t="s">
        <v>62</v>
      </c>
      <c r="V24" s="1921">
        <f>V14+V16+V17-V18-V19-V20-V22+V23-V21</f>
        <v>33793.702500000014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10249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239"/>
      <c r="J33" s="1239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3437-DD94-4970-AD05-E8533AFCEDF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245"/>
      <c r="B3" s="1245"/>
      <c r="C3" s="1245"/>
      <c r="D3" s="1245"/>
      <c r="E3" s="1245"/>
      <c r="F3" s="1245"/>
      <c r="G3" s="1245"/>
      <c r="H3" s="1245"/>
      <c r="I3" s="1245"/>
      <c r="J3" s="1245"/>
      <c r="K3" s="1245"/>
      <c r="L3" s="1245"/>
      <c r="M3" s="1245"/>
      <c r="N3" s="1245"/>
      <c r="O3" s="1245"/>
      <c r="P3" s="1245"/>
      <c r="Q3" s="1245"/>
      <c r="R3" s="1245"/>
      <c r="S3" s="1245"/>
      <c r="T3" s="1900" t="s">
        <v>468</v>
      </c>
      <c r="U3" s="1900"/>
      <c r="V3" s="1900"/>
      <c r="W3" s="1900"/>
      <c r="X3" s="1900"/>
      <c r="Y3" s="1900"/>
    </row>
    <row r="4" spans="1:25" s="124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245" customFormat="1" ht="25.5" customHeight="1" x14ac:dyDescent="0.25">
      <c r="A5" s="1901"/>
      <c r="B5" s="1901"/>
      <c r="C5" s="1244" t="s">
        <v>42</v>
      </c>
      <c r="D5" s="1244" t="s">
        <v>43</v>
      </c>
      <c r="E5" s="1244" t="s">
        <v>42</v>
      </c>
      <c r="F5" s="1244" t="s">
        <v>43</v>
      </c>
      <c r="G5" s="1244" t="s">
        <v>42</v>
      </c>
      <c r="H5" s="1244" t="s">
        <v>43</v>
      </c>
      <c r="I5" s="1244" t="s">
        <v>42</v>
      </c>
      <c r="J5" s="1244" t="s">
        <v>43</v>
      </c>
      <c r="K5" s="1244" t="s">
        <v>42</v>
      </c>
      <c r="L5" s="1244" t="s">
        <v>43</v>
      </c>
      <c r="M5" s="1244" t="s">
        <v>42</v>
      </c>
      <c r="N5" s="1244" t="s">
        <v>43</v>
      </c>
      <c r="O5" s="1244" t="s">
        <v>42</v>
      </c>
      <c r="P5" s="1244" t="s">
        <v>43</v>
      </c>
      <c r="Q5" s="1244" t="s">
        <v>42</v>
      </c>
      <c r="R5" s="1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243" t="s">
        <v>71</v>
      </c>
      <c r="C6" s="1241">
        <v>18190</v>
      </c>
      <c r="D6" s="1240">
        <f t="shared" ref="D6:D11" si="0">0.9725*C6</f>
        <v>17689.775000000001</v>
      </c>
      <c r="E6" s="1241"/>
      <c r="F6" s="1240">
        <f>67.1*E6</f>
        <v>0</v>
      </c>
      <c r="G6" s="1241">
        <v>80</v>
      </c>
      <c r="H6" s="1241">
        <f>28.2*G6</f>
        <v>2256</v>
      </c>
      <c r="I6" s="1241">
        <v>200</v>
      </c>
      <c r="J6" s="1241">
        <f>18.5*I6</f>
        <v>3700</v>
      </c>
      <c r="K6" s="1241"/>
      <c r="L6" s="1240">
        <f>28.2368*K6</f>
        <v>0</v>
      </c>
      <c r="M6" s="1241"/>
      <c r="N6" s="1240">
        <f>M6*47.6525</f>
        <v>0</v>
      </c>
      <c r="O6" s="1241"/>
      <c r="P6" s="1240">
        <f>O6*8.9</f>
        <v>0</v>
      </c>
      <c r="Q6" s="1240"/>
      <c r="R6" s="1240">
        <f>241*Q6</f>
        <v>0</v>
      </c>
      <c r="S6" s="1241"/>
      <c r="T6" s="1241">
        <f>241*S6</f>
        <v>0</v>
      </c>
      <c r="U6" s="1241"/>
      <c r="V6" s="1241">
        <f>332*U6</f>
        <v>0</v>
      </c>
      <c r="W6" s="1241"/>
      <c r="X6" s="19">
        <f>W6*100</f>
        <v>0</v>
      </c>
      <c r="Y6" s="20">
        <f t="shared" ref="Y6:Y12" si="1">D6+F6+H6+J6+L6+N6+P6+R6+T6+V6+X6</f>
        <v>23645.775000000001</v>
      </c>
    </row>
    <row r="7" spans="1:25" ht="31.5" customHeight="1" x14ac:dyDescent="0.25">
      <c r="A7" s="12">
        <v>1984225578</v>
      </c>
      <c r="B7" s="1243" t="s">
        <v>72</v>
      </c>
      <c r="C7" s="1241">
        <v>19109</v>
      </c>
      <c r="D7" s="1240">
        <f t="shared" si="0"/>
        <v>18583.502500000002</v>
      </c>
      <c r="E7" s="1241"/>
      <c r="F7" s="1241">
        <f t="shared" ref="F7:F11" si="2">67.1*E7</f>
        <v>0</v>
      </c>
      <c r="G7" s="1241"/>
      <c r="H7" s="1241">
        <f t="shared" ref="H7:H11" si="3">28.2*G7</f>
        <v>0</v>
      </c>
      <c r="I7" s="1241">
        <v>560</v>
      </c>
      <c r="J7" s="1241">
        <f t="shared" ref="J7:J11" si="4">18.5*I7</f>
        <v>10360</v>
      </c>
      <c r="K7" s="1241"/>
      <c r="L7" s="1240">
        <f t="shared" ref="L7:L11" si="5">28.2368*K7</f>
        <v>0</v>
      </c>
      <c r="M7" s="1241"/>
      <c r="N7" s="1240">
        <f t="shared" ref="N7:N11" si="6">M7*47.6525</f>
        <v>0</v>
      </c>
      <c r="O7" s="1241"/>
      <c r="P7" s="1240">
        <f t="shared" ref="P7:P11" si="7">O7*8.9</f>
        <v>0</v>
      </c>
      <c r="Q7" s="1240"/>
      <c r="R7" s="1240">
        <f t="shared" ref="R7:R11" si="8">241*Q7</f>
        <v>0</v>
      </c>
      <c r="S7" s="1241"/>
      <c r="T7" s="1241">
        <f t="shared" ref="T7:T10" si="9">241*S7</f>
        <v>0</v>
      </c>
      <c r="U7" s="1241"/>
      <c r="V7" s="1241">
        <f t="shared" ref="V7:V11" si="10">332*U7</f>
        <v>0</v>
      </c>
      <c r="W7" s="1241"/>
      <c r="X7" s="19">
        <f t="shared" ref="X7:X11" si="11">W7*100</f>
        <v>0</v>
      </c>
      <c r="Y7" s="20">
        <f t="shared" si="1"/>
        <v>28943.502500000002</v>
      </c>
    </row>
    <row r="8" spans="1:25" ht="35.25" customHeight="1" x14ac:dyDescent="0.25">
      <c r="A8" s="12">
        <v>1967020280</v>
      </c>
      <c r="B8" s="1243" t="s">
        <v>427</v>
      </c>
      <c r="C8" s="1241">
        <v>24253</v>
      </c>
      <c r="D8" s="1240">
        <f t="shared" si="0"/>
        <v>23586.0425</v>
      </c>
      <c r="E8" s="1241"/>
      <c r="F8" s="1241">
        <f t="shared" si="2"/>
        <v>0</v>
      </c>
      <c r="G8" s="1241">
        <v>40</v>
      </c>
      <c r="H8" s="1240">
        <f t="shared" si="3"/>
        <v>1128</v>
      </c>
      <c r="I8" s="1241">
        <v>260</v>
      </c>
      <c r="J8" s="1241">
        <f t="shared" si="4"/>
        <v>4810</v>
      </c>
      <c r="K8" s="1241"/>
      <c r="L8" s="1240">
        <f t="shared" si="5"/>
        <v>0</v>
      </c>
      <c r="M8" s="1241"/>
      <c r="N8" s="1240">
        <f t="shared" si="6"/>
        <v>0</v>
      </c>
      <c r="O8" s="1241"/>
      <c r="P8" s="1240">
        <f t="shared" si="7"/>
        <v>0</v>
      </c>
      <c r="Q8" s="1240"/>
      <c r="R8" s="1240">
        <f t="shared" si="8"/>
        <v>0</v>
      </c>
      <c r="S8" s="1241"/>
      <c r="T8" s="1241">
        <f t="shared" si="9"/>
        <v>0</v>
      </c>
      <c r="U8" s="1241"/>
      <c r="V8" s="1241">
        <f t="shared" si="10"/>
        <v>0</v>
      </c>
      <c r="W8" s="1241"/>
      <c r="X8" s="19">
        <f t="shared" si="11"/>
        <v>0</v>
      </c>
      <c r="Y8" s="20">
        <f t="shared" si="1"/>
        <v>29524.0425</v>
      </c>
    </row>
    <row r="9" spans="1:25" ht="38.25" customHeight="1" x14ac:dyDescent="0.25">
      <c r="A9" s="12">
        <v>1984225580</v>
      </c>
      <c r="B9" s="1243" t="s">
        <v>75</v>
      </c>
      <c r="C9" s="1241">
        <v>13145</v>
      </c>
      <c r="D9" s="1240">
        <f t="shared" si="0"/>
        <v>12783.512500000001</v>
      </c>
      <c r="E9" s="1241"/>
      <c r="F9" s="1241">
        <f t="shared" si="2"/>
        <v>0</v>
      </c>
      <c r="G9" s="1241"/>
      <c r="H9" s="1241">
        <f t="shared" si="3"/>
        <v>0</v>
      </c>
      <c r="I9" s="1241">
        <v>120</v>
      </c>
      <c r="J9" s="1241">
        <f t="shared" si="4"/>
        <v>2220</v>
      </c>
      <c r="K9" s="1241"/>
      <c r="L9" s="1240">
        <f t="shared" si="5"/>
        <v>0</v>
      </c>
      <c r="M9" s="1241"/>
      <c r="N9" s="1240">
        <f t="shared" si="6"/>
        <v>0</v>
      </c>
      <c r="O9" s="1241"/>
      <c r="P9" s="1240">
        <f t="shared" si="7"/>
        <v>0</v>
      </c>
      <c r="Q9" s="1240"/>
      <c r="R9" s="1240">
        <f t="shared" si="8"/>
        <v>0</v>
      </c>
      <c r="S9" s="1241"/>
      <c r="T9" s="1241">
        <f t="shared" si="9"/>
        <v>0</v>
      </c>
      <c r="U9" s="1241"/>
      <c r="V9" s="1241">
        <f t="shared" si="10"/>
        <v>0</v>
      </c>
      <c r="W9" s="1241"/>
      <c r="X9" s="19">
        <f t="shared" si="11"/>
        <v>0</v>
      </c>
      <c r="Y9" s="20">
        <f t="shared" si="1"/>
        <v>15003.512500000001</v>
      </c>
    </row>
    <row r="10" spans="1:25" ht="35.25" customHeight="1" x14ac:dyDescent="0.25">
      <c r="A10" s="12">
        <v>1409935199</v>
      </c>
      <c r="C10" s="1241">
        <v>10280</v>
      </c>
      <c r="D10" s="1240">
        <f t="shared" si="0"/>
        <v>9997.3000000000011</v>
      </c>
      <c r="E10" s="1241"/>
      <c r="F10" s="1241">
        <f t="shared" si="2"/>
        <v>0</v>
      </c>
      <c r="G10" s="1241"/>
      <c r="H10" s="1241">
        <f t="shared" si="3"/>
        <v>0</v>
      </c>
      <c r="I10" s="1241"/>
      <c r="J10" s="1241">
        <f t="shared" si="4"/>
        <v>0</v>
      </c>
      <c r="K10" s="1241"/>
      <c r="L10" s="1240">
        <f t="shared" si="5"/>
        <v>0</v>
      </c>
      <c r="M10" s="1241"/>
      <c r="N10" s="1240">
        <f t="shared" si="6"/>
        <v>0</v>
      </c>
      <c r="O10" s="1241"/>
      <c r="P10" s="1240">
        <f t="shared" si="7"/>
        <v>0</v>
      </c>
      <c r="Q10" s="1240"/>
      <c r="R10" s="1240">
        <f t="shared" si="8"/>
        <v>0</v>
      </c>
      <c r="S10" s="1241"/>
      <c r="T10" s="1241">
        <f t="shared" si="9"/>
        <v>0</v>
      </c>
      <c r="U10" s="1241"/>
      <c r="V10" s="1241">
        <f t="shared" si="10"/>
        <v>0</v>
      </c>
      <c r="W10" s="1241"/>
      <c r="X10" s="19">
        <f t="shared" si="11"/>
        <v>0</v>
      </c>
      <c r="Y10" s="20">
        <f t="shared" si="1"/>
        <v>9997.3000000000011</v>
      </c>
    </row>
    <row r="11" spans="1:25" ht="37.5" customHeight="1" x14ac:dyDescent="0.25">
      <c r="A11" s="12"/>
      <c r="B11" s="1242"/>
      <c r="C11" s="1241"/>
      <c r="D11" s="1240">
        <f t="shared" si="0"/>
        <v>0</v>
      </c>
      <c r="E11" s="1241"/>
      <c r="F11" s="1241">
        <f t="shared" si="2"/>
        <v>0</v>
      </c>
      <c r="G11" s="1241"/>
      <c r="H11" s="1241">
        <f t="shared" si="3"/>
        <v>0</v>
      </c>
      <c r="I11" s="1241"/>
      <c r="J11" s="1241">
        <f t="shared" si="4"/>
        <v>0</v>
      </c>
      <c r="K11" s="1241"/>
      <c r="L11" s="1240">
        <f t="shared" si="5"/>
        <v>0</v>
      </c>
      <c r="M11" s="1241"/>
      <c r="N11" s="1240">
        <f t="shared" si="6"/>
        <v>0</v>
      </c>
      <c r="O11" s="1241"/>
      <c r="P11" s="1240">
        <f t="shared" si="7"/>
        <v>0</v>
      </c>
      <c r="Q11" s="1240"/>
      <c r="R11" s="1240">
        <f t="shared" si="8"/>
        <v>0</v>
      </c>
      <c r="S11" s="1241"/>
      <c r="T11" s="1241">
        <f>341*S11</f>
        <v>0</v>
      </c>
      <c r="U11" s="1241"/>
      <c r="V11" s="1241">
        <f t="shared" si="10"/>
        <v>0</v>
      </c>
      <c r="W11" s="124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84977</v>
      </c>
      <c r="D12" s="18">
        <f t="shared" si="12"/>
        <v>82640.132500000007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107114.13250000001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49" t="s">
        <v>174</v>
      </c>
      <c r="K14" s="30" t="s">
        <v>36</v>
      </c>
      <c r="L14" s="1249" t="s">
        <v>403</v>
      </c>
      <c r="M14" s="30" t="s">
        <v>429</v>
      </c>
      <c r="N14" s="30" t="s">
        <v>442</v>
      </c>
      <c r="O14" s="1249" t="s">
        <v>114</v>
      </c>
      <c r="P14" s="30" t="s">
        <v>70</v>
      </c>
      <c r="Q14" s="1958" t="s">
        <v>378</v>
      </c>
      <c r="R14" s="1959"/>
      <c r="S14" s="1249" t="s">
        <v>401</v>
      </c>
      <c r="T14" s="1893" t="s">
        <v>46</v>
      </c>
      <c r="U14" s="1243" t="s">
        <v>176</v>
      </c>
      <c r="V14" s="1918">
        <v>33794</v>
      </c>
      <c r="W14" s="1926"/>
      <c r="X14" s="1919"/>
    </row>
    <row r="15" spans="1:25" ht="22.5" customHeight="1" x14ac:dyDescent="0.25">
      <c r="A15" s="100" t="s">
        <v>38</v>
      </c>
      <c r="B15" s="1918">
        <v>338933</v>
      </c>
      <c r="C15" s="1919"/>
      <c r="D15" s="1246">
        <v>180</v>
      </c>
      <c r="E15" s="1246">
        <v>560</v>
      </c>
      <c r="F15" s="1246">
        <v>17490</v>
      </c>
      <c r="G15" s="1246">
        <v>0</v>
      </c>
      <c r="H15" s="1246">
        <v>161</v>
      </c>
      <c r="I15" s="1246">
        <v>15</v>
      </c>
      <c r="J15" s="1246">
        <v>4</v>
      </c>
      <c r="K15" s="1246">
        <v>79</v>
      </c>
      <c r="L15" s="1246">
        <v>0</v>
      </c>
      <c r="M15" s="1246">
        <v>0</v>
      </c>
      <c r="N15" s="1246">
        <v>280</v>
      </c>
      <c r="O15" s="1246">
        <v>0</v>
      </c>
      <c r="P15" s="1246">
        <v>100</v>
      </c>
      <c r="Q15" s="1918">
        <v>0</v>
      </c>
      <c r="R15" s="1919"/>
      <c r="S15" s="1243">
        <v>6</v>
      </c>
      <c r="T15" s="1893"/>
      <c r="U15" s="1243" t="s">
        <v>64</v>
      </c>
      <c r="V15" s="1920">
        <v>10249</v>
      </c>
      <c r="W15" s="1920"/>
      <c r="X15" s="1920"/>
    </row>
    <row r="16" spans="1:25" ht="24.75" customHeight="1" x14ac:dyDescent="0.25">
      <c r="A16" s="100" t="s">
        <v>39</v>
      </c>
      <c r="B16" s="1918">
        <v>233766</v>
      </c>
      <c r="C16" s="1919"/>
      <c r="D16" s="1246"/>
      <c r="E16" s="1246">
        <v>500</v>
      </c>
      <c r="F16" s="1246">
        <v>500</v>
      </c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1883"/>
      <c r="R16" s="1883"/>
      <c r="S16" s="1246"/>
      <c r="T16" s="1912" t="s">
        <v>55</v>
      </c>
      <c r="U16" s="1912"/>
      <c r="V16" s="1925">
        <f>Y12</f>
        <v>107114.13250000001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246"/>
      <c r="E17" s="1246"/>
      <c r="F17" s="1246"/>
      <c r="G17" s="1246"/>
      <c r="H17" s="1246"/>
      <c r="I17" s="1246"/>
      <c r="J17" s="1246"/>
      <c r="K17" s="1246"/>
      <c r="L17" s="1246"/>
      <c r="M17" s="1246"/>
      <c r="N17" s="1246"/>
      <c r="O17" s="1246"/>
      <c r="P17" s="1246"/>
      <c r="Q17" s="1883"/>
      <c r="R17" s="1883"/>
      <c r="S17" s="1242"/>
      <c r="T17" s="1952" t="s">
        <v>463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84977</v>
      </c>
      <c r="C18" s="1919"/>
      <c r="D18" s="1248">
        <f>E12</f>
        <v>0</v>
      </c>
      <c r="E18" s="1248">
        <f>G12</f>
        <v>120</v>
      </c>
      <c r="F18" s="1248">
        <f>I12</f>
        <v>1140</v>
      </c>
      <c r="G18" s="1248">
        <f>K12</f>
        <v>0</v>
      </c>
      <c r="H18" s="1246"/>
      <c r="I18" s="1248">
        <f>U12</f>
        <v>0</v>
      </c>
      <c r="J18" s="1246"/>
      <c r="K18" s="1248">
        <f>W12</f>
        <v>0</v>
      </c>
      <c r="L18" s="1246"/>
      <c r="M18" s="1248">
        <f>M12</f>
        <v>0</v>
      </c>
      <c r="N18" s="1248">
        <f>O12</f>
        <v>0</v>
      </c>
      <c r="O18" s="1247">
        <f>Q12</f>
        <v>0</v>
      </c>
      <c r="P18" s="1248"/>
      <c r="Q18" s="1920"/>
      <c r="R18" s="1920"/>
      <c r="S18" s="1243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487722</v>
      </c>
      <c r="C19" s="1919"/>
      <c r="D19" s="1246">
        <f>D15+D16+D17-D18</f>
        <v>180</v>
      </c>
      <c r="E19" s="1246">
        <f t="shared" ref="E19:N19" si="13">E15+E16+E17-E18</f>
        <v>940</v>
      </c>
      <c r="F19" s="1246">
        <f t="shared" si="13"/>
        <v>16850</v>
      </c>
      <c r="G19" s="1246">
        <f t="shared" si="13"/>
        <v>0</v>
      </c>
      <c r="H19" s="1246">
        <f t="shared" si="13"/>
        <v>161</v>
      </c>
      <c r="I19" s="1246">
        <f t="shared" si="13"/>
        <v>15</v>
      </c>
      <c r="J19" s="1246">
        <f t="shared" si="13"/>
        <v>4</v>
      </c>
      <c r="K19" s="1246">
        <f t="shared" si="13"/>
        <v>79</v>
      </c>
      <c r="L19" s="1246">
        <f t="shared" si="13"/>
        <v>0</v>
      </c>
      <c r="M19" s="1246">
        <f t="shared" si="13"/>
        <v>0</v>
      </c>
      <c r="N19" s="1246">
        <f t="shared" si="13"/>
        <v>280</v>
      </c>
      <c r="O19" s="1246">
        <f>O15+O16+O17-O18</f>
        <v>0</v>
      </c>
      <c r="P19" s="1246">
        <f t="shared" ref="P19:Q19" si="14">P15+P16+P17-P18</f>
        <v>100</v>
      </c>
      <c r="Q19" s="1918">
        <f t="shared" si="14"/>
        <v>0</v>
      </c>
      <c r="R19" s="1919"/>
      <c r="S19" s="1243">
        <f>S15+S16-S17-S18</f>
        <v>6</v>
      </c>
      <c r="T19" s="1914" t="s">
        <v>48</v>
      </c>
      <c r="U19" s="49" t="s">
        <v>58</v>
      </c>
      <c r="V19" s="1920">
        <v>118000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469432.42499999999</v>
      </c>
      <c r="C20" s="1945"/>
      <c r="D20" s="290">
        <f>D19*66.41</f>
        <v>11953.8</v>
      </c>
      <c r="E20" s="290">
        <f>27.9368*E19</f>
        <v>26260.592000000001</v>
      </c>
      <c r="F20" s="290">
        <f>18.31*F19</f>
        <v>308523.5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44">
        <f>341*Q19</f>
        <v>0</v>
      </c>
      <c r="R20" s="1945"/>
      <c r="S20" s="290">
        <f>341*S19</f>
        <v>2046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878013.11700000009</v>
      </c>
      <c r="C21" s="1951"/>
      <c r="O21" s="1250"/>
      <c r="P21" s="1250"/>
      <c r="Q21" s="1250"/>
      <c r="R21" s="1250"/>
      <c r="T21" s="1952" t="s">
        <v>464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118000</v>
      </c>
      <c r="D22" s="1949">
        <v>118000</v>
      </c>
      <c r="E22" s="1949">
        <v>248110</v>
      </c>
      <c r="F22" s="1949">
        <f>C22-D22+E22</f>
        <v>248110</v>
      </c>
      <c r="G22" s="1250"/>
      <c r="Q22" s="1250"/>
      <c r="R22" s="1250"/>
      <c r="T22" s="1909" t="s">
        <v>83</v>
      </c>
      <c r="U22" s="50" t="s">
        <v>60</v>
      </c>
      <c r="V22" s="1920">
        <v>119550</v>
      </c>
      <c r="W22" s="1920"/>
      <c r="X22" s="1920"/>
      <c r="Y22" s="1927"/>
    </row>
    <row r="23" spans="1:25" ht="39.75" customHeight="1" x14ac:dyDescent="0.25">
      <c r="A23" s="1250"/>
      <c r="B23" s="1947"/>
      <c r="C23" s="1950"/>
      <c r="D23" s="1950"/>
      <c r="E23" s="1950"/>
      <c r="F23" s="1950"/>
      <c r="G23" s="1250"/>
      <c r="Q23" s="1250"/>
      <c r="R23" s="1250"/>
      <c r="T23" s="1910"/>
      <c r="U23" s="50" t="s">
        <v>61</v>
      </c>
      <c r="V23" s="1920">
        <v>118000</v>
      </c>
      <c r="W23" s="1920"/>
      <c r="X23" s="1920"/>
      <c r="Y23" s="1927"/>
    </row>
    <row r="24" spans="1:25" ht="48" customHeight="1" x14ac:dyDescent="0.25">
      <c r="A24" s="1250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250"/>
      <c r="Q24" s="1250"/>
      <c r="R24" s="1250"/>
      <c r="T24" s="1893" t="s">
        <v>47</v>
      </c>
      <c r="U24" s="51" t="s">
        <v>62</v>
      </c>
      <c r="V24" s="1921">
        <f>V14+V16+V17-V18-V19-V20-V22+V23-V21</f>
        <v>20838.132500000007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11799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250"/>
      <c r="J33" s="1250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49EE-DBAF-4A6A-8464-8497E9F30A10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K30" sqref="K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251"/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1900" t="s">
        <v>469</v>
      </c>
      <c r="U3" s="1900"/>
      <c r="V3" s="1900"/>
      <c r="W3" s="1900"/>
      <c r="X3" s="1900"/>
      <c r="Y3" s="1900"/>
    </row>
    <row r="4" spans="1:25" s="1251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251" customFormat="1" ht="25.5" customHeight="1" x14ac:dyDescent="0.25">
      <c r="A5" s="1901"/>
      <c r="B5" s="1901"/>
      <c r="C5" s="1253" t="s">
        <v>42</v>
      </c>
      <c r="D5" s="1253" t="s">
        <v>43</v>
      </c>
      <c r="E5" s="1253" t="s">
        <v>42</v>
      </c>
      <c r="F5" s="1253" t="s">
        <v>43</v>
      </c>
      <c r="G5" s="1253" t="s">
        <v>42</v>
      </c>
      <c r="H5" s="1253" t="s">
        <v>43</v>
      </c>
      <c r="I5" s="1253" t="s">
        <v>42</v>
      </c>
      <c r="J5" s="1253" t="s">
        <v>43</v>
      </c>
      <c r="K5" s="1253" t="s">
        <v>42</v>
      </c>
      <c r="L5" s="1253" t="s">
        <v>43</v>
      </c>
      <c r="M5" s="1253" t="s">
        <v>42</v>
      </c>
      <c r="N5" s="1253" t="s">
        <v>43</v>
      </c>
      <c r="O5" s="1253" t="s">
        <v>42</v>
      </c>
      <c r="P5" s="1253" t="s">
        <v>43</v>
      </c>
      <c r="Q5" s="1253" t="s">
        <v>42</v>
      </c>
      <c r="R5" s="12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252" t="s">
        <v>71</v>
      </c>
      <c r="C6" s="1255">
        <v>29810</v>
      </c>
      <c r="D6" s="1256">
        <f t="shared" ref="D6:D11" si="0">0.9725*C6</f>
        <v>28990.225000000002</v>
      </c>
      <c r="E6" s="1255"/>
      <c r="F6" s="1256">
        <f>67.1*E6</f>
        <v>0</v>
      </c>
      <c r="G6" s="1255">
        <v>30</v>
      </c>
      <c r="H6" s="1255">
        <f>28.2*G6</f>
        <v>846</v>
      </c>
      <c r="I6" s="1255">
        <v>750</v>
      </c>
      <c r="J6" s="1255">
        <f>18.5*I6</f>
        <v>13875</v>
      </c>
      <c r="K6" s="1255"/>
      <c r="L6" s="1256">
        <f>28.2368*K6</f>
        <v>0</v>
      </c>
      <c r="M6" s="1255"/>
      <c r="N6" s="1256">
        <f>M6*47.6525</f>
        <v>0</v>
      </c>
      <c r="O6" s="1255"/>
      <c r="P6" s="1256">
        <f>O6*8.9</f>
        <v>0</v>
      </c>
      <c r="Q6" s="1256"/>
      <c r="R6" s="1256">
        <f>241*Q6</f>
        <v>0</v>
      </c>
      <c r="S6" s="1255"/>
      <c r="T6" s="1255">
        <f>241*S6</f>
        <v>0</v>
      </c>
      <c r="U6" s="1255"/>
      <c r="V6" s="1255">
        <f>332*U6</f>
        <v>0</v>
      </c>
      <c r="W6" s="1255"/>
      <c r="X6" s="19">
        <f>W6*100</f>
        <v>0</v>
      </c>
      <c r="Y6" s="20">
        <f t="shared" ref="Y6:Y12" si="1">D6+F6+H6+J6+L6+N6+P6+R6+T6+V6+X6</f>
        <v>43711.225000000006</v>
      </c>
    </row>
    <row r="7" spans="1:25" ht="31.5" customHeight="1" x14ac:dyDescent="0.25">
      <c r="A7" s="12">
        <v>1984225578</v>
      </c>
      <c r="B7" s="1252" t="s">
        <v>72</v>
      </c>
      <c r="C7" s="1255">
        <v>21142</v>
      </c>
      <c r="D7" s="1256">
        <f t="shared" si="0"/>
        <v>20560.595000000001</v>
      </c>
      <c r="E7" s="1255"/>
      <c r="F7" s="1255">
        <f t="shared" ref="F7:F11" si="2">67.1*E7</f>
        <v>0</v>
      </c>
      <c r="G7" s="1255"/>
      <c r="H7" s="1255">
        <f t="shared" ref="H7:H11" si="3">28.2*G7</f>
        <v>0</v>
      </c>
      <c r="I7" s="1255">
        <v>1740</v>
      </c>
      <c r="J7" s="1255">
        <f t="shared" ref="J7:J11" si="4">18.5*I7</f>
        <v>32190</v>
      </c>
      <c r="K7" s="1255"/>
      <c r="L7" s="1256">
        <f t="shared" ref="L7:L11" si="5">28.2368*K7</f>
        <v>0</v>
      </c>
      <c r="M7" s="1255"/>
      <c r="N7" s="1256">
        <f t="shared" ref="N7:N11" si="6">M7*47.6525</f>
        <v>0</v>
      </c>
      <c r="O7" s="1255"/>
      <c r="P7" s="1256">
        <f t="shared" ref="P7:P11" si="7">O7*8.9</f>
        <v>0</v>
      </c>
      <c r="Q7" s="1256"/>
      <c r="R7" s="1256">
        <f t="shared" ref="R7:R11" si="8">241*Q7</f>
        <v>0</v>
      </c>
      <c r="S7" s="1255"/>
      <c r="T7" s="1255">
        <f t="shared" ref="T7:T10" si="9">241*S7</f>
        <v>0</v>
      </c>
      <c r="U7" s="1255"/>
      <c r="V7" s="1255">
        <f t="shared" ref="V7:V11" si="10">332*U7</f>
        <v>0</v>
      </c>
      <c r="W7" s="1255"/>
      <c r="X7" s="19">
        <f t="shared" ref="X7:X11" si="11">W7*100</f>
        <v>0</v>
      </c>
      <c r="Y7" s="20">
        <f t="shared" si="1"/>
        <v>52750.595000000001</v>
      </c>
    </row>
    <row r="8" spans="1:25" ht="35.25" customHeight="1" x14ac:dyDescent="0.25">
      <c r="A8" s="12">
        <v>1967020280</v>
      </c>
      <c r="B8" s="1252" t="s">
        <v>427</v>
      </c>
      <c r="C8" s="1255">
        <v>13001</v>
      </c>
      <c r="D8" s="1256">
        <f t="shared" si="0"/>
        <v>12643.4725</v>
      </c>
      <c r="E8" s="1255"/>
      <c r="F8" s="1255">
        <f t="shared" si="2"/>
        <v>0</v>
      </c>
      <c r="G8" s="1255">
        <v>50</v>
      </c>
      <c r="H8" s="1256">
        <f t="shared" si="3"/>
        <v>1410</v>
      </c>
      <c r="I8" s="1255">
        <v>90</v>
      </c>
      <c r="J8" s="1255">
        <f t="shared" si="4"/>
        <v>1665</v>
      </c>
      <c r="K8" s="1255"/>
      <c r="L8" s="1256">
        <f t="shared" si="5"/>
        <v>0</v>
      </c>
      <c r="M8" s="1255"/>
      <c r="N8" s="1256">
        <f t="shared" si="6"/>
        <v>0</v>
      </c>
      <c r="O8" s="1255"/>
      <c r="P8" s="1256">
        <f t="shared" si="7"/>
        <v>0</v>
      </c>
      <c r="Q8" s="1256"/>
      <c r="R8" s="1256">
        <f t="shared" si="8"/>
        <v>0</v>
      </c>
      <c r="S8" s="1255"/>
      <c r="T8" s="1255">
        <f t="shared" si="9"/>
        <v>0</v>
      </c>
      <c r="U8" s="1255"/>
      <c r="V8" s="1255">
        <f t="shared" si="10"/>
        <v>0</v>
      </c>
      <c r="W8" s="1255">
        <v>3</v>
      </c>
      <c r="X8" s="19">
        <f t="shared" si="11"/>
        <v>300</v>
      </c>
      <c r="Y8" s="20">
        <f t="shared" si="1"/>
        <v>16018.4725</v>
      </c>
    </row>
    <row r="9" spans="1:25" ht="38.25" customHeight="1" x14ac:dyDescent="0.25">
      <c r="A9" s="12">
        <v>1984225580</v>
      </c>
      <c r="B9" s="1252" t="s">
        <v>75</v>
      </c>
      <c r="C9" s="1255">
        <v>21775</v>
      </c>
      <c r="D9" s="1256">
        <f t="shared" si="0"/>
        <v>21176.1875</v>
      </c>
      <c r="E9" s="1255">
        <v>10</v>
      </c>
      <c r="F9" s="1255">
        <f t="shared" si="2"/>
        <v>671</v>
      </c>
      <c r="G9" s="1255"/>
      <c r="H9" s="1255">
        <f t="shared" si="3"/>
        <v>0</v>
      </c>
      <c r="I9" s="1255">
        <v>1070</v>
      </c>
      <c r="J9" s="1255">
        <f t="shared" si="4"/>
        <v>19795</v>
      </c>
      <c r="K9" s="1255"/>
      <c r="L9" s="1256">
        <f t="shared" si="5"/>
        <v>0</v>
      </c>
      <c r="M9" s="1255"/>
      <c r="N9" s="1256">
        <f t="shared" si="6"/>
        <v>0</v>
      </c>
      <c r="O9" s="1255"/>
      <c r="P9" s="1256">
        <f t="shared" si="7"/>
        <v>0</v>
      </c>
      <c r="Q9" s="1256"/>
      <c r="R9" s="1256">
        <f t="shared" si="8"/>
        <v>0</v>
      </c>
      <c r="S9" s="1255"/>
      <c r="T9" s="1255">
        <f t="shared" si="9"/>
        <v>0</v>
      </c>
      <c r="U9" s="1255"/>
      <c r="V9" s="1255">
        <f t="shared" si="10"/>
        <v>0</v>
      </c>
      <c r="W9" s="1255"/>
      <c r="X9" s="19">
        <f t="shared" si="11"/>
        <v>0</v>
      </c>
      <c r="Y9" s="20">
        <f t="shared" si="1"/>
        <v>41642.1875</v>
      </c>
    </row>
    <row r="10" spans="1:25" ht="35.25" customHeight="1" x14ac:dyDescent="0.25">
      <c r="A10" s="12">
        <v>1409935199</v>
      </c>
      <c r="C10" s="1255">
        <v>5140</v>
      </c>
      <c r="D10" s="1256">
        <f t="shared" si="0"/>
        <v>4998.6500000000005</v>
      </c>
      <c r="E10" s="1255"/>
      <c r="F10" s="1255">
        <f t="shared" si="2"/>
        <v>0</v>
      </c>
      <c r="G10" s="1255"/>
      <c r="H10" s="1255">
        <f t="shared" si="3"/>
        <v>0</v>
      </c>
      <c r="I10" s="1255"/>
      <c r="J10" s="1255">
        <f t="shared" si="4"/>
        <v>0</v>
      </c>
      <c r="K10" s="1255"/>
      <c r="L10" s="1256">
        <f t="shared" si="5"/>
        <v>0</v>
      </c>
      <c r="M10" s="1255"/>
      <c r="N10" s="1256">
        <f t="shared" si="6"/>
        <v>0</v>
      </c>
      <c r="O10" s="1255"/>
      <c r="P10" s="1256">
        <f t="shared" si="7"/>
        <v>0</v>
      </c>
      <c r="Q10" s="1256"/>
      <c r="R10" s="1256">
        <f t="shared" si="8"/>
        <v>0</v>
      </c>
      <c r="S10" s="1255"/>
      <c r="T10" s="1255">
        <f t="shared" si="9"/>
        <v>0</v>
      </c>
      <c r="U10" s="1255"/>
      <c r="V10" s="1255">
        <f t="shared" si="10"/>
        <v>0</v>
      </c>
      <c r="W10" s="1255"/>
      <c r="X10" s="19">
        <f t="shared" si="11"/>
        <v>0</v>
      </c>
      <c r="Y10" s="20">
        <f t="shared" si="1"/>
        <v>4998.6500000000005</v>
      </c>
    </row>
    <row r="11" spans="1:25" ht="37.5" customHeight="1" x14ac:dyDescent="0.25">
      <c r="A11" s="12"/>
      <c r="B11" s="1254"/>
      <c r="C11" s="1255"/>
      <c r="D11" s="1256">
        <f t="shared" si="0"/>
        <v>0</v>
      </c>
      <c r="E11" s="1255"/>
      <c r="F11" s="1255">
        <f t="shared" si="2"/>
        <v>0</v>
      </c>
      <c r="G11" s="1255"/>
      <c r="H11" s="1255">
        <f t="shared" si="3"/>
        <v>0</v>
      </c>
      <c r="I11" s="1255"/>
      <c r="J11" s="1255">
        <f t="shared" si="4"/>
        <v>0</v>
      </c>
      <c r="K11" s="1255"/>
      <c r="L11" s="1256">
        <f t="shared" si="5"/>
        <v>0</v>
      </c>
      <c r="M11" s="1255"/>
      <c r="N11" s="1256">
        <f t="shared" si="6"/>
        <v>0</v>
      </c>
      <c r="O11" s="1255"/>
      <c r="P11" s="1256">
        <f t="shared" si="7"/>
        <v>0</v>
      </c>
      <c r="Q11" s="1256"/>
      <c r="R11" s="1256">
        <f t="shared" si="8"/>
        <v>0</v>
      </c>
      <c r="S11" s="1255"/>
      <c r="T11" s="1255">
        <f>341*S11</f>
        <v>0</v>
      </c>
      <c r="U11" s="1255"/>
      <c r="V11" s="1255">
        <f t="shared" si="10"/>
        <v>0</v>
      </c>
      <c r="W11" s="125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90868</v>
      </c>
      <c r="D12" s="18">
        <f t="shared" si="12"/>
        <v>88369.13</v>
      </c>
      <c r="E12" s="18">
        <f t="shared" si="12"/>
        <v>10</v>
      </c>
      <c r="F12" s="18">
        <f t="shared" si="12"/>
        <v>671</v>
      </c>
      <c r="G12" s="18">
        <f t="shared" si="12"/>
        <v>80</v>
      </c>
      <c r="H12" s="18">
        <f t="shared" si="12"/>
        <v>2256</v>
      </c>
      <c r="I12" s="18">
        <f t="shared" si="12"/>
        <v>3650</v>
      </c>
      <c r="J12" s="18">
        <f t="shared" si="12"/>
        <v>67525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159121.13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60" t="s">
        <v>174</v>
      </c>
      <c r="K14" s="30" t="s">
        <v>36</v>
      </c>
      <c r="L14" s="1260" t="s">
        <v>403</v>
      </c>
      <c r="M14" s="30" t="s">
        <v>429</v>
      </c>
      <c r="N14" s="30" t="s">
        <v>442</v>
      </c>
      <c r="O14" s="1260" t="s">
        <v>114</v>
      </c>
      <c r="P14" s="30" t="s">
        <v>70</v>
      </c>
      <c r="Q14" s="1958" t="s">
        <v>378</v>
      </c>
      <c r="R14" s="1959"/>
      <c r="S14" s="1260" t="s">
        <v>401</v>
      </c>
      <c r="T14" s="1893" t="s">
        <v>46</v>
      </c>
      <c r="U14" s="1252" t="s">
        <v>176</v>
      </c>
      <c r="V14" s="1918">
        <v>20838</v>
      </c>
      <c r="W14" s="1926"/>
      <c r="X14" s="1919"/>
    </row>
    <row r="15" spans="1:25" ht="22.5" customHeight="1" x14ac:dyDescent="0.25">
      <c r="A15" s="100" t="s">
        <v>38</v>
      </c>
      <c r="B15" s="1918">
        <v>487722</v>
      </c>
      <c r="C15" s="1919"/>
      <c r="D15" s="1257">
        <v>180</v>
      </c>
      <c r="E15" s="1257">
        <v>940</v>
      </c>
      <c r="F15" s="1257">
        <v>16850</v>
      </c>
      <c r="G15" s="1257">
        <v>0</v>
      </c>
      <c r="H15" s="1257">
        <v>161</v>
      </c>
      <c r="I15" s="1257">
        <v>15</v>
      </c>
      <c r="J15" s="1257">
        <v>4</v>
      </c>
      <c r="K15" s="1257">
        <v>79</v>
      </c>
      <c r="L15" s="1257">
        <v>0</v>
      </c>
      <c r="M15" s="1257">
        <v>0</v>
      </c>
      <c r="N15" s="1257">
        <v>280</v>
      </c>
      <c r="O15" s="1257">
        <v>0</v>
      </c>
      <c r="P15" s="1257">
        <v>100</v>
      </c>
      <c r="Q15" s="1918">
        <v>0</v>
      </c>
      <c r="R15" s="1919"/>
      <c r="S15" s="1252">
        <v>6</v>
      </c>
      <c r="T15" s="1893"/>
      <c r="U15" s="1252" t="s">
        <v>64</v>
      </c>
      <c r="V15" s="1920">
        <v>11799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1883"/>
      <c r="R16" s="1883"/>
      <c r="S16" s="1257"/>
      <c r="T16" s="1912" t="s">
        <v>55</v>
      </c>
      <c r="U16" s="1912"/>
      <c r="V16" s="1925">
        <f>Y12</f>
        <v>159121.13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1883"/>
      <c r="R17" s="1883"/>
      <c r="S17" s="1254"/>
      <c r="T17" s="1952" t="s">
        <v>463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90868</v>
      </c>
      <c r="C18" s="1919"/>
      <c r="D18" s="1258">
        <f>E12</f>
        <v>10</v>
      </c>
      <c r="E18" s="1258">
        <f>G12</f>
        <v>80</v>
      </c>
      <c r="F18" s="1258">
        <f>I12</f>
        <v>3650</v>
      </c>
      <c r="G18" s="1258">
        <f>K12</f>
        <v>0</v>
      </c>
      <c r="H18" s="1257"/>
      <c r="I18" s="1258">
        <f>U12</f>
        <v>0</v>
      </c>
      <c r="J18" s="1257"/>
      <c r="K18" s="1258">
        <f>W12</f>
        <v>3</v>
      </c>
      <c r="L18" s="1257"/>
      <c r="M18" s="1258">
        <f>M12</f>
        <v>0</v>
      </c>
      <c r="N18" s="1258">
        <f>O12</f>
        <v>0</v>
      </c>
      <c r="O18" s="1259">
        <f>Q12</f>
        <v>0</v>
      </c>
      <c r="P18" s="1258"/>
      <c r="Q18" s="1920"/>
      <c r="R18" s="1920"/>
      <c r="S18" s="1252"/>
      <c r="T18" s="1912" t="s">
        <v>57</v>
      </c>
      <c r="U18" s="1912"/>
      <c r="V18" s="1920">
        <v>2782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396854</v>
      </c>
      <c r="C19" s="1919"/>
      <c r="D19" s="1257">
        <f>D15+D16+D17-D18</f>
        <v>170</v>
      </c>
      <c r="E19" s="1257">
        <f t="shared" ref="E19:N19" si="13">E15+E16+E17-E18</f>
        <v>860</v>
      </c>
      <c r="F19" s="1257">
        <f t="shared" si="13"/>
        <v>13200</v>
      </c>
      <c r="G19" s="1257">
        <f t="shared" si="13"/>
        <v>0</v>
      </c>
      <c r="H19" s="1257">
        <f t="shared" si="13"/>
        <v>161</v>
      </c>
      <c r="I19" s="1257">
        <f t="shared" si="13"/>
        <v>15</v>
      </c>
      <c r="J19" s="1257">
        <f t="shared" si="13"/>
        <v>4</v>
      </c>
      <c r="K19" s="1257">
        <f t="shared" si="13"/>
        <v>76</v>
      </c>
      <c r="L19" s="1257">
        <f t="shared" si="13"/>
        <v>0</v>
      </c>
      <c r="M19" s="1257">
        <f t="shared" si="13"/>
        <v>0</v>
      </c>
      <c r="N19" s="1257">
        <f t="shared" si="13"/>
        <v>280</v>
      </c>
      <c r="O19" s="1257">
        <f>O15+O16+O17-O18</f>
        <v>0</v>
      </c>
      <c r="P19" s="1257">
        <f t="shared" ref="P19:Q19" si="14">P15+P16+P17-P18</f>
        <v>100</v>
      </c>
      <c r="Q19" s="1918">
        <f t="shared" si="14"/>
        <v>0</v>
      </c>
      <c r="R19" s="1919"/>
      <c r="S19" s="1252">
        <f>S15+S16-S17-S18</f>
        <v>6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381971.97500000003</v>
      </c>
      <c r="C20" s="1945"/>
      <c r="D20" s="290">
        <f>D19*66.41</f>
        <v>11289.699999999999</v>
      </c>
      <c r="E20" s="290">
        <f>27.9368*E19</f>
        <v>24025.648000000001</v>
      </c>
      <c r="F20" s="290">
        <f>18.31*F19</f>
        <v>241691.99999999997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44">
        <f>341*Q19</f>
        <v>0</v>
      </c>
      <c r="R20" s="1945"/>
      <c r="S20" s="290">
        <f>341*S19</f>
        <v>2046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720522.12300000002</v>
      </c>
      <c r="C21" s="1951"/>
      <c r="O21" s="1261"/>
      <c r="P21" s="1261"/>
      <c r="Q21" s="1261"/>
      <c r="R21" s="1261"/>
      <c r="T21" s="1952" t="s">
        <v>464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248110</v>
      </c>
      <c r="D22" s="1949"/>
      <c r="E22" s="1949"/>
      <c r="F22" s="1949">
        <f>C22-D22+E22</f>
        <v>248110</v>
      </c>
      <c r="G22" s="1261"/>
      <c r="Q22" s="1261"/>
      <c r="R22" s="1261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1261"/>
      <c r="B23" s="1947"/>
      <c r="C23" s="1950"/>
      <c r="D23" s="1950"/>
      <c r="E23" s="1950"/>
      <c r="F23" s="1950"/>
      <c r="G23" s="1261"/>
      <c r="Q23" s="1261"/>
      <c r="R23" s="1261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1261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261"/>
      <c r="Q24" s="1261"/>
      <c r="R24" s="1261"/>
      <c r="T24" s="1893" t="s">
        <v>47</v>
      </c>
      <c r="U24" s="51" t="s">
        <v>62</v>
      </c>
      <c r="V24" s="1921">
        <f>V14+V16+V17-V18-V19-V20-V22+V23-V21</f>
        <v>177177.13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11799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261"/>
      <c r="J33" s="1261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323C-95AF-40F8-B9F7-F1BE04A627CE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267"/>
      <c r="B3" s="1267"/>
      <c r="C3" s="1267"/>
      <c r="D3" s="1267"/>
      <c r="E3" s="1267"/>
      <c r="F3" s="1267"/>
      <c r="G3" s="1267"/>
      <c r="H3" s="1267"/>
      <c r="I3" s="1267"/>
      <c r="J3" s="1267"/>
      <c r="K3" s="1267"/>
      <c r="L3" s="1267"/>
      <c r="M3" s="1267"/>
      <c r="N3" s="1267"/>
      <c r="O3" s="1267"/>
      <c r="P3" s="1267"/>
      <c r="Q3" s="1267"/>
      <c r="R3" s="1267"/>
      <c r="S3" s="1267"/>
      <c r="T3" s="1900" t="s">
        <v>470</v>
      </c>
      <c r="U3" s="1900"/>
      <c r="V3" s="1900"/>
      <c r="W3" s="1900"/>
      <c r="X3" s="1900"/>
      <c r="Y3" s="1900"/>
    </row>
    <row r="4" spans="1:25" s="126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267" customFormat="1" ht="25.5" customHeight="1" x14ac:dyDescent="0.25">
      <c r="A5" s="1901"/>
      <c r="B5" s="1901"/>
      <c r="C5" s="1266" t="s">
        <v>42</v>
      </c>
      <c r="D5" s="1266" t="s">
        <v>43</v>
      </c>
      <c r="E5" s="1266" t="s">
        <v>42</v>
      </c>
      <c r="F5" s="1266" t="s">
        <v>43</v>
      </c>
      <c r="G5" s="1266" t="s">
        <v>42</v>
      </c>
      <c r="H5" s="1266" t="s">
        <v>43</v>
      </c>
      <c r="I5" s="1266" t="s">
        <v>42</v>
      </c>
      <c r="J5" s="1266" t="s">
        <v>43</v>
      </c>
      <c r="K5" s="1266" t="s">
        <v>42</v>
      </c>
      <c r="L5" s="1266" t="s">
        <v>43</v>
      </c>
      <c r="M5" s="1266" t="s">
        <v>42</v>
      </c>
      <c r="N5" s="1266" t="s">
        <v>43</v>
      </c>
      <c r="O5" s="1266" t="s">
        <v>42</v>
      </c>
      <c r="P5" s="1266" t="s">
        <v>43</v>
      </c>
      <c r="Q5" s="1266" t="s">
        <v>42</v>
      </c>
      <c r="R5" s="126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265" t="s">
        <v>71</v>
      </c>
      <c r="C6" s="1263">
        <v>30288</v>
      </c>
      <c r="D6" s="1262">
        <f t="shared" ref="D6:D11" si="0">0.9725*C6</f>
        <v>29455.08</v>
      </c>
      <c r="E6" s="1263"/>
      <c r="F6" s="1262">
        <f>67.1*E6</f>
        <v>0</v>
      </c>
      <c r="G6" s="1263">
        <v>50</v>
      </c>
      <c r="H6" s="1263">
        <f>28.2*G6</f>
        <v>1410</v>
      </c>
      <c r="I6" s="1263">
        <v>830</v>
      </c>
      <c r="J6" s="1263">
        <f>18.5*I6</f>
        <v>15355</v>
      </c>
      <c r="K6" s="1263"/>
      <c r="L6" s="1262">
        <f>28.2368*K6</f>
        <v>0</v>
      </c>
      <c r="M6" s="1263"/>
      <c r="N6" s="1262">
        <f>M6*47.6525</f>
        <v>0</v>
      </c>
      <c r="O6" s="1263"/>
      <c r="P6" s="1262">
        <f>O6*8.9</f>
        <v>0</v>
      </c>
      <c r="Q6" s="1262"/>
      <c r="R6" s="1262">
        <f>241*Q6</f>
        <v>0</v>
      </c>
      <c r="S6" s="1263"/>
      <c r="T6" s="1263">
        <f>241*S6</f>
        <v>0</v>
      </c>
      <c r="U6" s="1263"/>
      <c r="V6" s="1263">
        <f>332*U6</f>
        <v>0</v>
      </c>
      <c r="W6" s="1263"/>
      <c r="X6" s="19">
        <f>W6*100</f>
        <v>0</v>
      </c>
      <c r="Y6" s="20">
        <f t="shared" ref="Y6:Y12" si="1">D6+F6+H6+J6+L6+N6+P6+R6+T6+V6+X6</f>
        <v>46220.08</v>
      </c>
    </row>
    <row r="7" spans="1:25" ht="31.5" customHeight="1" x14ac:dyDescent="0.25">
      <c r="A7" s="12">
        <v>1984225578</v>
      </c>
      <c r="B7" s="1265" t="s">
        <v>72</v>
      </c>
      <c r="C7" s="1263">
        <v>19550</v>
      </c>
      <c r="D7" s="1262">
        <f t="shared" si="0"/>
        <v>19012.375</v>
      </c>
      <c r="E7" s="1263"/>
      <c r="F7" s="1263">
        <f t="shared" ref="F7:F11" si="2">67.1*E7</f>
        <v>0</v>
      </c>
      <c r="G7" s="1263"/>
      <c r="H7" s="1263">
        <f t="shared" ref="H7:H11" si="3">28.2*G7</f>
        <v>0</v>
      </c>
      <c r="I7" s="1263">
        <v>320</v>
      </c>
      <c r="J7" s="1263">
        <f t="shared" ref="J7:J11" si="4">18.5*I7</f>
        <v>5920</v>
      </c>
      <c r="K7" s="1263"/>
      <c r="L7" s="1262">
        <f t="shared" ref="L7:L11" si="5">28.2368*K7</f>
        <v>0</v>
      </c>
      <c r="M7" s="1263"/>
      <c r="N7" s="1262">
        <f t="shared" ref="N7:N11" si="6">M7*47.6525</f>
        <v>0</v>
      </c>
      <c r="O7" s="1263"/>
      <c r="P7" s="1262">
        <f t="shared" ref="P7:P11" si="7">O7*8.9</f>
        <v>0</v>
      </c>
      <c r="Q7" s="1262"/>
      <c r="R7" s="1262">
        <f t="shared" ref="R7:R11" si="8">241*Q7</f>
        <v>0</v>
      </c>
      <c r="S7" s="1263"/>
      <c r="T7" s="1263">
        <f t="shared" ref="T7:T10" si="9">241*S7</f>
        <v>0</v>
      </c>
      <c r="U7" s="1263"/>
      <c r="V7" s="1263">
        <f t="shared" ref="V7:V11" si="10">332*U7</f>
        <v>0</v>
      </c>
      <c r="W7" s="1263"/>
      <c r="X7" s="19">
        <f t="shared" ref="X7:X11" si="11">W7*100</f>
        <v>0</v>
      </c>
      <c r="Y7" s="20">
        <f t="shared" si="1"/>
        <v>24932.375</v>
      </c>
    </row>
    <row r="8" spans="1:25" ht="35.25" customHeight="1" x14ac:dyDescent="0.25">
      <c r="A8" s="12">
        <v>1967020280</v>
      </c>
      <c r="B8" s="1265" t="s">
        <v>427</v>
      </c>
      <c r="C8" s="1263">
        <v>32789</v>
      </c>
      <c r="D8" s="1262">
        <f t="shared" si="0"/>
        <v>31887.302500000002</v>
      </c>
      <c r="E8" s="1263"/>
      <c r="F8" s="1263">
        <f t="shared" si="2"/>
        <v>0</v>
      </c>
      <c r="G8" s="1263">
        <v>150</v>
      </c>
      <c r="H8" s="1262">
        <f t="shared" si="3"/>
        <v>4230</v>
      </c>
      <c r="I8" s="1263">
        <v>1030</v>
      </c>
      <c r="J8" s="1263">
        <f t="shared" si="4"/>
        <v>19055</v>
      </c>
      <c r="K8" s="1263"/>
      <c r="L8" s="1262">
        <f t="shared" si="5"/>
        <v>0</v>
      </c>
      <c r="M8" s="1263"/>
      <c r="N8" s="1262">
        <f t="shared" si="6"/>
        <v>0</v>
      </c>
      <c r="O8" s="1263"/>
      <c r="P8" s="1262">
        <f t="shared" si="7"/>
        <v>0</v>
      </c>
      <c r="Q8" s="1262"/>
      <c r="R8" s="1262">
        <f t="shared" si="8"/>
        <v>0</v>
      </c>
      <c r="S8" s="1263"/>
      <c r="T8" s="1263">
        <f t="shared" si="9"/>
        <v>0</v>
      </c>
      <c r="U8" s="1263"/>
      <c r="V8" s="1263">
        <f t="shared" si="10"/>
        <v>0</v>
      </c>
      <c r="W8" s="1263"/>
      <c r="X8" s="19">
        <f t="shared" si="11"/>
        <v>0</v>
      </c>
      <c r="Y8" s="20">
        <f t="shared" si="1"/>
        <v>55172.302500000005</v>
      </c>
    </row>
    <row r="9" spans="1:25" ht="38.25" customHeight="1" x14ac:dyDescent="0.25">
      <c r="A9" s="12">
        <v>1984225580</v>
      </c>
      <c r="B9" s="1265" t="s">
        <v>75</v>
      </c>
      <c r="C9" s="1263">
        <v>49788</v>
      </c>
      <c r="D9" s="1262">
        <f t="shared" si="0"/>
        <v>48418.83</v>
      </c>
      <c r="E9" s="1263">
        <v>10</v>
      </c>
      <c r="F9" s="1263">
        <f t="shared" si="2"/>
        <v>671</v>
      </c>
      <c r="G9" s="1263"/>
      <c r="H9" s="1263">
        <f t="shared" si="3"/>
        <v>0</v>
      </c>
      <c r="I9" s="1263">
        <v>810</v>
      </c>
      <c r="J9" s="1263">
        <f t="shared" si="4"/>
        <v>14985</v>
      </c>
      <c r="K9" s="1263"/>
      <c r="L9" s="1262">
        <f t="shared" si="5"/>
        <v>0</v>
      </c>
      <c r="M9" s="1263"/>
      <c r="N9" s="1262">
        <f t="shared" si="6"/>
        <v>0</v>
      </c>
      <c r="O9" s="1263"/>
      <c r="P9" s="1262">
        <f t="shared" si="7"/>
        <v>0</v>
      </c>
      <c r="Q9" s="1262"/>
      <c r="R9" s="1262">
        <f t="shared" si="8"/>
        <v>0</v>
      </c>
      <c r="S9" s="1263"/>
      <c r="T9" s="1263">
        <f t="shared" si="9"/>
        <v>0</v>
      </c>
      <c r="U9" s="1263"/>
      <c r="V9" s="1263">
        <f t="shared" si="10"/>
        <v>0</v>
      </c>
      <c r="W9" s="1263"/>
      <c r="X9" s="19">
        <f t="shared" si="11"/>
        <v>0</v>
      </c>
      <c r="Y9" s="20">
        <f t="shared" si="1"/>
        <v>64074.83</v>
      </c>
    </row>
    <row r="10" spans="1:25" ht="35.25" customHeight="1" x14ac:dyDescent="0.25">
      <c r="A10" s="12">
        <v>1409935199</v>
      </c>
      <c r="C10" s="1263"/>
      <c r="D10" s="1262">
        <f t="shared" si="0"/>
        <v>0</v>
      </c>
      <c r="E10" s="1263"/>
      <c r="F10" s="1263">
        <f t="shared" si="2"/>
        <v>0</v>
      </c>
      <c r="G10" s="1263"/>
      <c r="H10" s="1263">
        <f t="shared" si="3"/>
        <v>0</v>
      </c>
      <c r="I10" s="1263"/>
      <c r="J10" s="1263">
        <f t="shared" si="4"/>
        <v>0</v>
      </c>
      <c r="K10" s="1263"/>
      <c r="L10" s="1262">
        <f t="shared" si="5"/>
        <v>0</v>
      </c>
      <c r="M10" s="1263"/>
      <c r="N10" s="1262">
        <f t="shared" si="6"/>
        <v>0</v>
      </c>
      <c r="O10" s="1263">
        <v>280</v>
      </c>
      <c r="P10" s="1262">
        <f t="shared" si="7"/>
        <v>2492</v>
      </c>
      <c r="Q10" s="1262"/>
      <c r="R10" s="1262">
        <f t="shared" si="8"/>
        <v>0</v>
      </c>
      <c r="S10" s="1263"/>
      <c r="T10" s="1263">
        <f t="shared" si="9"/>
        <v>0</v>
      </c>
      <c r="U10" s="1263"/>
      <c r="V10" s="1263">
        <f t="shared" si="10"/>
        <v>0</v>
      </c>
      <c r="W10" s="1263"/>
      <c r="X10" s="19">
        <f t="shared" si="11"/>
        <v>0</v>
      </c>
      <c r="Y10" s="20">
        <f t="shared" si="1"/>
        <v>2492</v>
      </c>
    </row>
    <row r="11" spans="1:25" ht="37.5" customHeight="1" x14ac:dyDescent="0.25">
      <c r="A11" s="12"/>
      <c r="B11" s="1264"/>
      <c r="C11" s="1263"/>
      <c r="D11" s="1262">
        <f t="shared" si="0"/>
        <v>0</v>
      </c>
      <c r="E11" s="1263"/>
      <c r="F11" s="1263">
        <f t="shared" si="2"/>
        <v>0</v>
      </c>
      <c r="G11" s="1263"/>
      <c r="H11" s="1263">
        <f t="shared" si="3"/>
        <v>0</v>
      </c>
      <c r="I11" s="1263"/>
      <c r="J11" s="1263">
        <f t="shared" si="4"/>
        <v>0</v>
      </c>
      <c r="K11" s="1263"/>
      <c r="L11" s="1262">
        <f t="shared" si="5"/>
        <v>0</v>
      </c>
      <c r="M11" s="1263"/>
      <c r="N11" s="1262">
        <f t="shared" si="6"/>
        <v>0</v>
      </c>
      <c r="O11" s="1263"/>
      <c r="P11" s="1262">
        <f t="shared" si="7"/>
        <v>0</v>
      </c>
      <c r="Q11" s="1262"/>
      <c r="R11" s="1262">
        <f t="shared" si="8"/>
        <v>0</v>
      </c>
      <c r="S11" s="1263"/>
      <c r="T11" s="1263">
        <f>341*S11</f>
        <v>0</v>
      </c>
      <c r="U11" s="1263"/>
      <c r="V11" s="1263">
        <f t="shared" si="10"/>
        <v>0</v>
      </c>
      <c r="W11" s="12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132415</v>
      </c>
      <c r="D12" s="18">
        <f t="shared" si="12"/>
        <v>128773.58750000001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2990</v>
      </c>
      <c r="J12" s="18">
        <f t="shared" si="12"/>
        <v>55315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280</v>
      </c>
      <c r="P12" s="23">
        <f t="shared" si="12"/>
        <v>2492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192891.58750000002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71" t="s">
        <v>174</v>
      </c>
      <c r="K14" s="30" t="s">
        <v>36</v>
      </c>
      <c r="L14" s="1271" t="s">
        <v>403</v>
      </c>
      <c r="M14" s="30" t="s">
        <v>429</v>
      </c>
      <c r="N14" s="30" t="s">
        <v>442</v>
      </c>
      <c r="O14" s="1271" t="s">
        <v>114</v>
      </c>
      <c r="P14" s="30" t="s">
        <v>70</v>
      </c>
      <c r="Q14" s="1958" t="s">
        <v>378</v>
      </c>
      <c r="R14" s="1959"/>
      <c r="S14" s="1271" t="s">
        <v>401</v>
      </c>
      <c r="T14" s="1893" t="s">
        <v>46</v>
      </c>
      <c r="U14" s="1265" t="s">
        <v>176</v>
      </c>
      <c r="V14" s="1918">
        <v>177177</v>
      </c>
      <c r="W14" s="1926"/>
      <c r="X14" s="1919"/>
    </row>
    <row r="15" spans="1:25" ht="22.5" customHeight="1" x14ac:dyDescent="0.25">
      <c r="A15" s="100" t="s">
        <v>38</v>
      </c>
      <c r="B15" s="1918">
        <v>396854</v>
      </c>
      <c r="C15" s="1919"/>
      <c r="D15" s="1268">
        <v>170</v>
      </c>
      <c r="E15" s="1268">
        <v>860</v>
      </c>
      <c r="F15" s="1268">
        <v>13200</v>
      </c>
      <c r="G15" s="1268">
        <v>0</v>
      </c>
      <c r="H15" s="1268">
        <v>161</v>
      </c>
      <c r="I15" s="1268">
        <v>15</v>
      </c>
      <c r="J15" s="1268">
        <v>4</v>
      </c>
      <c r="K15" s="1268">
        <v>76</v>
      </c>
      <c r="L15" s="1268">
        <v>0</v>
      </c>
      <c r="M15" s="1268">
        <v>0</v>
      </c>
      <c r="N15" s="1268">
        <v>280</v>
      </c>
      <c r="O15" s="1268">
        <v>0</v>
      </c>
      <c r="P15" s="1268">
        <v>100</v>
      </c>
      <c r="Q15" s="1918">
        <v>0</v>
      </c>
      <c r="R15" s="1919"/>
      <c r="S15" s="1265">
        <v>6</v>
      </c>
      <c r="T15" s="1893"/>
      <c r="U15" s="1265" t="s">
        <v>64</v>
      </c>
      <c r="V15" s="1920">
        <v>11799</v>
      </c>
      <c r="W15" s="1920"/>
      <c r="X15" s="1920"/>
    </row>
    <row r="16" spans="1:25" ht="24.75" customHeight="1" x14ac:dyDescent="0.25">
      <c r="A16" s="100" t="s">
        <v>39</v>
      </c>
      <c r="B16" s="1918">
        <v>72727</v>
      </c>
      <c r="C16" s="1919"/>
      <c r="D16" s="1268"/>
      <c r="E16" s="1268"/>
      <c r="F16" s="1268">
        <v>7500</v>
      </c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1883"/>
      <c r="R16" s="1883"/>
      <c r="S16" s="1268"/>
      <c r="T16" s="1912" t="s">
        <v>55</v>
      </c>
      <c r="U16" s="1912"/>
      <c r="V16" s="1925">
        <f>Y12</f>
        <v>192891.58750000002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268"/>
      <c r="E17" s="1268"/>
      <c r="F17" s="1268"/>
      <c r="G17" s="1268"/>
      <c r="H17" s="1268"/>
      <c r="I17" s="1268"/>
      <c r="J17" s="1268"/>
      <c r="K17" s="1268"/>
      <c r="L17" s="1268"/>
      <c r="M17" s="1268"/>
      <c r="N17" s="1268"/>
      <c r="O17" s="1268"/>
      <c r="P17" s="1268"/>
      <c r="Q17" s="1883"/>
      <c r="R17" s="1883"/>
      <c r="S17" s="1264"/>
      <c r="T17" s="1952" t="s">
        <v>463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132415</v>
      </c>
      <c r="C18" s="1919"/>
      <c r="D18" s="1270">
        <f>E12</f>
        <v>10</v>
      </c>
      <c r="E18" s="1270">
        <f>G12</f>
        <v>200</v>
      </c>
      <c r="F18" s="1270">
        <f>I12</f>
        <v>2990</v>
      </c>
      <c r="G18" s="1270">
        <f>K12</f>
        <v>0</v>
      </c>
      <c r="H18" s="1268"/>
      <c r="I18" s="1270">
        <f>U12</f>
        <v>0</v>
      </c>
      <c r="J18" s="1268"/>
      <c r="K18" s="1270">
        <f>W12</f>
        <v>0</v>
      </c>
      <c r="L18" s="1268"/>
      <c r="M18" s="1270">
        <f>M12</f>
        <v>0</v>
      </c>
      <c r="N18" s="1270">
        <f>O12</f>
        <v>280</v>
      </c>
      <c r="O18" s="1269">
        <f>Q12</f>
        <v>0</v>
      </c>
      <c r="P18" s="1270"/>
      <c r="Q18" s="1920"/>
      <c r="R18" s="1920"/>
      <c r="S18" s="1265"/>
      <c r="T18" s="1912" t="s">
        <v>57</v>
      </c>
      <c r="U18" s="1912"/>
      <c r="V18" s="1920">
        <v>972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337166</v>
      </c>
      <c r="C19" s="1919"/>
      <c r="D19" s="1268">
        <f>D15+D16+D17-D18</f>
        <v>160</v>
      </c>
      <c r="E19" s="1268">
        <f t="shared" ref="E19:N19" si="13">E15+E16+E17-E18</f>
        <v>660</v>
      </c>
      <c r="F19" s="1268">
        <f t="shared" si="13"/>
        <v>17710</v>
      </c>
      <c r="G19" s="1268">
        <f t="shared" si="13"/>
        <v>0</v>
      </c>
      <c r="H19" s="1268">
        <f t="shared" si="13"/>
        <v>161</v>
      </c>
      <c r="I19" s="1268">
        <f t="shared" si="13"/>
        <v>15</v>
      </c>
      <c r="J19" s="1268">
        <f t="shared" si="13"/>
        <v>4</v>
      </c>
      <c r="K19" s="1268">
        <f t="shared" si="13"/>
        <v>76</v>
      </c>
      <c r="L19" s="1268">
        <f t="shared" si="13"/>
        <v>0</v>
      </c>
      <c r="M19" s="1268">
        <f t="shared" si="13"/>
        <v>0</v>
      </c>
      <c r="N19" s="1268">
        <f t="shared" si="13"/>
        <v>0</v>
      </c>
      <c r="O19" s="1268">
        <f>O15+O16+O17-O18</f>
        <v>0</v>
      </c>
      <c r="P19" s="1268">
        <f t="shared" ref="P19:Q19" si="14">P15+P16+P17-P18</f>
        <v>100</v>
      </c>
      <c r="Q19" s="1918">
        <f t="shared" si="14"/>
        <v>0</v>
      </c>
      <c r="R19" s="1919"/>
      <c r="S19" s="1265">
        <f>S15+S16-S17-S18</f>
        <v>6</v>
      </c>
      <c r="T19" s="1914" t="s">
        <v>48</v>
      </c>
      <c r="U19" s="49" t="s">
        <v>58</v>
      </c>
      <c r="V19" s="1920">
        <v>248110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324522.27500000002</v>
      </c>
      <c r="C20" s="1945"/>
      <c r="D20" s="290">
        <f>D19*66.41</f>
        <v>10625.599999999999</v>
      </c>
      <c r="E20" s="290">
        <f>27.9368*E19</f>
        <v>18438.288</v>
      </c>
      <c r="F20" s="290">
        <f>18.31*F19</f>
        <v>324270.09999999998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341*Q19</f>
        <v>0</v>
      </c>
      <c r="R20" s="1945"/>
      <c r="S20" s="290">
        <f>341*S19</f>
        <v>2046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736932.26300000004</v>
      </c>
      <c r="C21" s="1951"/>
      <c r="O21" s="1272"/>
      <c r="P21" s="1272"/>
      <c r="Q21" s="1272"/>
      <c r="R21" s="1272"/>
      <c r="T21" s="1952" t="s">
        <v>464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248110</v>
      </c>
      <c r="D22" s="1949">
        <v>248110</v>
      </c>
      <c r="E22" s="1949">
        <v>207325</v>
      </c>
      <c r="F22" s="1949">
        <f>C22-D22+E22</f>
        <v>207325</v>
      </c>
      <c r="G22" s="1272"/>
      <c r="Q22" s="1272"/>
      <c r="R22" s="1272"/>
      <c r="T22" s="1909" t="s">
        <v>83</v>
      </c>
      <c r="U22" s="50" t="s">
        <v>60</v>
      </c>
      <c r="V22" s="1920">
        <v>332780</v>
      </c>
      <c r="W22" s="1920"/>
      <c r="X22" s="1920"/>
      <c r="Y22" s="1927"/>
    </row>
    <row r="23" spans="1:25" ht="39.75" customHeight="1" x14ac:dyDescent="0.25">
      <c r="A23" s="1272"/>
      <c r="B23" s="1947"/>
      <c r="C23" s="1950"/>
      <c r="D23" s="1950"/>
      <c r="E23" s="1950"/>
      <c r="F23" s="1950"/>
      <c r="G23" s="1272"/>
      <c r="Q23" s="1272"/>
      <c r="R23" s="1272"/>
      <c r="T23" s="1910"/>
      <c r="U23" s="50" t="s">
        <v>61</v>
      </c>
      <c r="V23" s="1920">
        <v>248110</v>
      </c>
      <c r="W23" s="1920"/>
      <c r="X23" s="1920"/>
      <c r="Y23" s="1927"/>
    </row>
    <row r="24" spans="1:25" ht="48" customHeight="1" x14ac:dyDescent="0.25">
      <c r="A24" s="1272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272"/>
      <c r="Q24" s="1272"/>
      <c r="R24" s="1272"/>
      <c r="T24" s="1893" t="s">
        <v>47</v>
      </c>
      <c r="U24" s="51" t="s">
        <v>62</v>
      </c>
      <c r="V24" s="1921">
        <f>V14+V16+V17-V18-V19-V20-V22+V23-V21</f>
        <v>36316.587500000023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96469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272"/>
      <c r="J33" s="1272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CAB8-6670-43E3-B990-D04EA34024B0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273"/>
      <c r="B3" s="1273"/>
      <c r="C3" s="1273"/>
      <c r="D3" s="1273"/>
      <c r="E3" s="1273"/>
      <c r="F3" s="1273"/>
      <c r="G3" s="1273"/>
      <c r="H3" s="1273"/>
      <c r="I3" s="1273"/>
      <c r="J3" s="1273"/>
      <c r="K3" s="1273"/>
      <c r="L3" s="1273"/>
      <c r="M3" s="1273"/>
      <c r="N3" s="1273"/>
      <c r="O3" s="1273"/>
      <c r="P3" s="1273"/>
      <c r="Q3" s="1273"/>
      <c r="R3" s="1273"/>
      <c r="S3" s="1273"/>
      <c r="T3" s="1900" t="s">
        <v>471</v>
      </c>
      <c r="U3" s="1900"/>
      <c r="V3" s="1900"/>
      <c r="W3" s="1900"/>
      <c r="X3" s="1900"/>
      <c r="Y3" s="1900"/>
    </row>
    <row r="4" spans="1:25" s="127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273" customFormat="1" ht="25.5" customHeight="1" x14ac:dyDescent="0.25">
      <c r="A5" s="1901"/>
      <c r="B5" s="1901"/>
      <c r="C5" s="1275" t="s">
        <v>42</v>
      </c>
      <c r="D5" s="1275" t="s">
        <v>43</v>
      </c>
      <c r="E5" s="1275" t="s">
        <v>42</v>
      </c>
      <c r="F5" s="1275" t="s">
        <v>43</v>
      </c>
      <c r="G5" s="1275" t="s">
        <v>42</v>
      </c>
      <c r="H5" s="1275" t="s">
        <v>43</v>
      </c>
      <c r="I5" s="1275" t="s">
        <v>42</v>
      </c>
      <c r="J5" s="1275" t="s">
        <v>43</v>
      </c>
      <c r="K5" s="1275" t="s">
        <v>42</v>
      </c>
      <c r="L5" s="1275" t="s">
        <v>43</v>
      </c>
      <c r="M5" s="1275" t="s">
        <v>42</v>
      </c>
      <c r="N5" s="1275" t="s">
        <v>43</v>
      </c>
      <c r="O5" s="1275" t="s">
        <v>42</v>
      </c>
      <c r="P5" s="1275" t="s">
        <v>43</v>
      </c>
      <c r="Q5" s="1275" t="s">
        <v>42</v>
      </c>
      <c r="R5" s="12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274" t="s">
        <v>71</v>
      </c>
      <c r="C6" s="1277">
        <v>34889</v>
      </c>
      <c r="D6" s="1278">
        <f t="shared" ref="D6:D11" si="0">0.9725*C6</f>
        <v>33929.552499999998</v>
      </c>
      <c r="E6" s="1277"/>
      <c r="F6" s="1278">
        <f>67.1*E6</f>
        <v>0</v>
      </c>
      <c r="G6" s="1277">
        <v>20</v>
      </c>
      <c r="H6" s="1277">
        <f>28.2*G6</f>
        <v>564</v>
      </c>
      <c r="I6" s="1277">
        <v>410</v>
      </c>
      <c r="J6" s="1277">
        <f>18.5*I6</f>
        <v>7585</v>
      </c>
      <c r="K6" s="1277"/>
      <c r="L6" s="1278">
        <f>28.2368*K6</f>
        <v>0</v>
      </c>
      <c r="M6" s="1277"/>
      <c r="N6" s="1278">
        <f>M6*47.6525</f>
        <v>0</v>
      </c>
      <c r="O6" s="1277"/>
      <c r="P6" s="1278">
        <f>O6*8.9</f>
        <v>0</v>
      </c>
      <c r="Q6" s="1278"/>
      <c r="R6" s="1278">
        <f>241*Q6</f>
        <v>0</v>
      </c>
      <c r="S6" s="1277"/>
      <c r="T6" s="1277">
        <f>241*S6</f>
        <v>0</v>
      </c>
      <c r="U6" s="1277"/>
      <c r="V6" s="1277">
        <f>332*U6</f>
        <v>0</v>
      </c>
      <c r="W6" s="1277"/>
      <c r="X6" s="19">
        <f>W6*100</f>
        <v>0</v>
      </c>
      <c r="Y6" s="20">
        <f t="shared" ref="Y6:Y12" si="1">D6+F6+H6+J6+L6+N6+P6+R6+T6+V6+X6</f>
        <v>42078.552499999998</v>
      </c>
    </row>
    <row r="7" spans="1:25" ht="31.5" customHeight="1" x14ac:dyDescent="0.25">
      <c r="A7" s="12">
        <v>1984225578</v>
      </c>
      <c r="B7" s="1274" t="s">
        <v>72</v>
      </c>
      <c r="C7" s="1277">
        <v>22306</v>
      </c>
      <c r="D7" s="1278">
        <f t="shared" si="0"/>
        <v>21692.584999999999</v>
      </c>
      <c r="E7" s="1277"/>
      <c r="F7" s="1277">
        <f t="shared" ref="F7:F11" si="2">67.1*E7</f>
        <v>0</v>
      </c>
      <c r="G7" s="1277"/>
      <c r="H7" s="1277">
        <f t="shared" ref="H7:H11" si="3">28.2*G7</f>
        <v>0</v>
      </c>
      <c r="I7" s="1277">
        <v>440</v>
      </c>
      <c r="J7" s="1277">
        <f t="shared" ref="J7:J11" si="4">18.5*I7</f>
        <v>8140</v>
      </c>
      <c r="K7" s="1277"/>
      <c r="L7" s="1278">
        <f t="shared" ref="L7:L11" si="5">28.2368*K7</f>
        <v>0</v>
      </c>
      <c r="M7" s="1277"/>
      <c r="N7" s="1278">
        <f t="shared" ref="N7:N11" si="6">M7*47.6525</f>
        <v>0</v>
      </c>
      <c r="O7" s="1277"/>
      <c r="P7" s="1278">
        <f t="shared" ref="P7:P11" si="7">O7*8.9</f>
        <v>0</v>
      </c>
      <c r="Q7" s="1278"/>
      <c r="R7" s="1278">
        <f t="shared" ref="R7:R11" si="8">241*Q7</f>
        <v>0</v>
      </c>
      <c r="S7" s="1277"/>
      <c r="T7" s="1277">
        <f t="shared" ref="T7:T10" si="9">241*S7</f>
        <v>0</v>
      </c>
      <c r="U7" s="1277"/>
      <c r="V7" s="1277">
        <f t="shared" ref="V7:V11" si="10">332*U7</f>
        <v>0</v>
      </c>
      <c r="W7" s="1277"/>
      <c r="X7" s="19">
        <f t="shared" ref="X7:X11" si="11">W7*100</f>
        <v>0</v>
      </c>
      <c r="Y7" s="20">
        <f t="shared" si="1"/>
        <v>29832.584999999999</v>
      </c>
    </row>
    <row r="8" spans="1:25" ht="35.25" customHeight="1" x14ac:dyDescent="0.25">
      <c r="A8" s="12">
        <v>1967020280</v>
      </c>
      <c r="B8" s="1274" t="s">
        <v>427</v>
      </c>
      <c r="C8" s="1277">
        <v>27308</v>
      </c>
      <c r="D8" s="1278">
        <f t="shared" si="0"/>
        <v>26557.030000000002</v>
      </c>
      <c r="E8" s="1277"/>
      <c r="F8" s="1277">
        <f t="shared" si="2"/>
        <v>0</v>
      </c>
      <c r="G8" s="1277"/>
      <c r="H8" s="1278">
        <f t="shared" si="3"/>
        <v>0</v>
      </c>
      <c r="I8" s="1277">
        <v>260</v>
      </c>
      <c r="J8" s="1277">
        <f t="shared" si="4"/>
        <v>4810</v>
      </c>
      <c r="K8" s="1277"/>
      <c r="L8" s="1278">
        <f t="shared" si="5"/>
        <v>0</v>
      </c>
      <c r="M8" s="1277"/>
      <c r="N8" s="1278">
        <f t="shared" si="6"/>
        <v>0</v>
      </c>
      <c r="O8" s="1277"/>
      <c r="P8" s="1278">
        <f t="shared" si="7"/>
        <v>0</v>
      </c>
      <c r="Q8" s="1278"/>
      <c r="R8" s="1278">
        <f t="shared" si="8"/>
        <v>0</v>
      </c>
      <c r="S8" s="1277"/>
      <c r="T8" s="1277">
        <f t="shared" si="9"/>
        <v>0</v>
      </c>
      <c r="U8" s="1277"/>
      <c r="V8" s="1277">
        <f t="shared" si="10"/>
        <v>0</v>
      </c>
      <c r="W8" s="1277"/>
      <c r="X8" s="19">
        <f t="shared" si="11"/>
        <v>0</v>
      </c>
      <c r="Y8" s="20">
        <f t="shared" si="1"/>
        <v>31367.030000000002</v>
      </c>
    </row>
    <row r="9" spans="1:25" ht="38.25" customHeight="1" x14ac:dyDescent="0.25">
      <c r="A9" s="12">
        <v>1984225580</v>
      </c>
      <c r="B9" s="1274" t="s">
        <v>75</v>
      </c>
      <c r="C9" s="1277">
        <v>24664</v>
      </c>
      <c r="D9" s="1278">
        <f t="shared" si="0"/>
        <v>23985.74</v>
      </c>
      <c r="E9" s="1277"/>
      <c r="F9" s="1277">
        <f t="shared" si="2"/>
        <v>0</v>
      </c>
      <c r="G9" s="1277"/>
      <c r="H9" s="1277">
        <f t="shared" si="3"/>
        <v>0</v>
      </c>
      <c r="I9" s="1277">
        <v>1630</v>
      </c>
      <c r="J9" s="1277">
        <f t="shared" si="4"/>
        <v>30155</v>
      </c>
      <c r="K9" s="1277"/>
      <c r="L9" s="1278">
        <f t="shared" si="5"/>
        <v>0</v>
      </c>
      <c r="M9" s="1277"/>
      <c r="N9" s="1278">
        <f t="shared" si="6"/>
        <v>0</v>
      </c>
      <c r="O9" s="1277"/>
      <c r="P9" s="1278">
        <f t="shared" si="7"/>
        <v>0</v>
      </c>
      <c r="Q9" s="1278"/>
      <c r="R9" s="1278">
        <f t="shared" si="8"/>
        <v>0</v>
      </c>
      <c r="S9" s="1277"/>
      <c r="T9" s="1277">
        <f t="shared" si="9"/>
        <v>0</v>
      </c>
      <c r="U9" s="1277"/>
      <c r="V9" s="1277">
        <f t="shared" si="10"/>
        <v>0</v>
      </c>
      <c r="W9" s="1277">
        <v>1</v>
      </c>
      <c r="X9" s="19">
        <f t="shared" si="11"/>
        <v>100</v>
      </c>
      <c r="Y9" s="20">
        <f t="shared" si="1"/>
        <v>54240.740000000005</v>
      </c>
    </row>
    <row r="10" spans="1:25" ht="35.25" customHeight="1" x14ac:dyDescent="0.25">
      <c r="A10" s="12">
        <v>1409935199</v>
      </c>
      <c r="C10" s="1277"/>
      <c r="D10" s="1278">
        <f t="shared" si="0"/>
        <v>0</v>
      </c>
      <c r="E10" s="1277"/>
      <c r="F10" s="1277">
        <f t="shared" si="2"/>
        <v>0</v>
      </c>
      <c r="G10" s="1277"/>
      <c r="H10" s="1277">
        <f t="shared" si="3"/>
        <v>0</v>
      </c>
      <c r="I10" s="1277"/>
      <c r="J10" s="1277">
        <f t="shared" si="4"/>
        <v>0</v>
      </c>
      <c r="K10" s="1277"/>
      <c r="L10" s="1278">
        <f t="shared" si="5"/>
        <v>0</v>
      </c>
      <c r="M10" s="1277"/>
      <c r="N10" s="1278">
        <f t="shared" si="6"/>
        <v>0</v>
      </c>
      <c r="O10" s="1277"/>
      <c r="P10" s="1278">
        <f t="shared" si="7"/>
        <v>0</v>
      </c>
      <c r="Q10" s="1278"/>
      <c r="R10" s="1278">
        <f t="shared" si="8"/>
        <v>0</v>
      </c>
      <c r="S10" s="1277"/>
      <c r="T10" s="1277">
        <f t="shared" si="9"/>
        <v>0</v>
      </c>
      <c r="U10" s="1277"/>
      <c r="V10" s="1277">
        <f t="shared" si="10"/>
        <v>0</v>
      </c>
      <c r="W10" s="127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76"/>
      <c r="C11" s="1277"/>
      <c r="D11" s="1278">
        <f t="shared" si="0"/>
        <v>0</v>
      </c>
      <c r="E11" s="1277"/>
      <c r="F11" s="1277">
        <f t="shared" si="2"/>
        <v>0</v>
      </c>
      <c r="G11" s="1277"/>
      <c r="H11" s="1277">
        <f t="shared" si="3"/>
        <v>0</v>
      </c>
      <c r="I11" s="1277"/>
      <c r="J11" s="1277">
        <f t="shared" si="4"/>
        <v>0</v>
      </c>
      <c r="K11" s="1277"/>
      <c r="L11" s="1278">
        <f t="shared" si="5"/>
        <v>0</v>
      </c>
      <c r="M11" s="1277"/>
      <c r="N11" s="1278">
        <f t="shared" si="6"/>
        <v>0</v>
      </c>
      <c r="O11" s="1277"/>
      <c r="P11" s="1278">
        <f t="shared" si="7"/>
        <v>0</v>
      </c>
      <c r="Q11" s="1278"/>
      <c r="R11" s="1278">
        <f t="shared" si="8"/>
        <v>0</v>
      </c>
      <c r="S11" s="1277"/>
      <c r="T11" s="1277">
        <f>341*S11</f>
        <v>0</v>
      </c>
      <c r="U11" s="1277"/>
      <c r="V11" s="1277">
        <f t="shared" si="10"/>
        <v>0</v>
      </c>
      <c r="W11" s="127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109167</v>
      </c>
      <c r="D12" s="18">
        <f t="shared" si="12"/>
        <v>106164.9075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2740</v>
      </c>
      <c r="J12" s="18">
        <f t="shared" si="12"/>
        <v>50690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157518.9075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82" t="s">
        <v>174</v>
      </c>
      <c r="K14" s="30" t="s">
        <v>36</v>
      </c>
      <c r="L14" s="1282" t="s">
        <v>403</v>
      </c>
      <c r="M14" s="30" t="s">
        <v>429</v>
      </c>
      <c r="N14" s="30" t="s">
        <v>442</v>
      </c>
      <c r="O14" s="1282" t="s">
        <v>114</v>
      </c>
      <c r="P14" s="30" t="s">
        <v>70</v>
      </c>
      <c r="Q14" s="1958" t="s">
        <v>378</v>
      </c>
      <c r="R14" s="1959"/>
      <c r="S14" s="1282" t="s">
        <v>401</v>
      </c>
      <c r="T14" s="1893" t="s">
        <v>46</v>
      </c>
      <c r="U14" s="1274" t="s">
        <v>176</v>
      </c>
      <c r="V14" s="1918">
        <v>36317</v>
      </c>
      <c r="W14" s="1926"/>
      <c r="X14" s="1919"/>
    </row>
    <row r="15" spans="1:25" ht="22.5" customHeight="1" x14ac:dyDescent="0.25">
      <c r="A15" s="100" t="s">
        <v>38</v>
      </c>
      <c r="B15" s="1918">
        <v>337166</v>
      </c>
      <c r="C15" s="1919"/>
      <c r="D15" s="1279">
        <v>160</v>
      </c>
      <c r="E15" s="1279">
        <v>660</v>
      </c>
      <c r="F15" s="1279">
        <v>17710</v>
      </c>
      <c r="G15" s="1279">
        <v>0</v>
      </c>
      <c r="H15" s="1279">
        <v>161</v>
      </c>
      <c r="I15" s="1279">
        <v>15</v>
      </c>
      <c r="J15" s="1279">
        <v>4</v>
      </c>
      <c r="K15" s="1279">
        <v>76</v>
      </c>
      <c r="L15" s="1279">
        <v>0</v>
      </c>
      <c r="M15" s="1279">
        <v>0</v>
      </c>
      <c r="N15" s="1279">
        <v>0</v>
      </c>
      <c r="O15" s="1279">
        <v>0</v>
      </c>
      <c r="P15" s="1279">
        <v>100</v>
      </c>
      <c r="Q15" s="1918">
        <v>0</v>
      </c>
      <c r="R15" s="1919"/>
      <c r="S15" s="1274">
        <v>6</v>
      </c>
      <c r="T15" s="1893"/>
      <c r="U15" s="1274" t="s">
        <v>64</v>
      </c>
      <c r="V15" s="1920">
        <v>96469</v>
      </c>
      <c r="W15" s="1920"/>
      <c r="X15" s="1920"/>
    </row>
    <row r="16" spans="1:25" ht="24.75" customHeight="1" x14ac:dyDescent="0.25">
      <c r="A16" s="100" t="s">
        <v>39</v>
      </c>
      <c r="B16" s="1918">
        <v>114285</v>
      </c>
      <c r="C16" s="1919"/>
      <c r="D16" s="1279"/>
      <c r="E16" s="1279"/>
      <c r="F16" s="1279"/>
      <c r="G16" s="1279"/>
      <c r="H16" s="1279"/>
      <c r="I16" s="1279"/>
      <c r="J16" s="1279"/>
      <c r="K16" s="1279"/>
      <c r="L16" s="1279"/>
      <c r="M16" s="1279"/>
      <c r="N16" s="1279"/>
      <c r="O16" s="1279"/>
      <c r="P16" s="1279"/>
      <c r="Q16" s="1883"/>
      <c r="R16" s="1883"/>
      <c r="S16" s="1279"/>
      <c r="T16" s="1912" t="s">
        <v>55</v>
      </c>
      <c r="U16" s="1912"/>
      <c r="V16" s="1925">
        <f>Y12</f>
        <v>157518.9075</v>
      </c>
      <c r="W16" s="1925"/>
      <c r="X16" s="1920"/>
    </row>
    <row r="17" spans="1:25" ht="28.5" customHeight="1" x14ac:dyDescent="0.25">
      <c r="A17" s="101" t="s">
        <v>44</v>
      </c>
      <c r="B17" s="1918">
        <v>7030</v>
      </c>
      <c r="C17" s="1919"/>
      <c r="D17" s="1279"/>
      <c r="E17" s="1279"/>
      <c r="F17" s="1279"/>
      <c r="G17" s="1279"/>
      <c r="H17" s="1279"/>
      <c r="I17" s="1279"/>
      <c r="J17" s="1279"/>
      <c r="K17" s="1279"/>
      <c r="L17" s="1279"/>
      <c r="M17" s="1279"/>
      <c r="N17" s="1279"/>
      <c r="O17" s="1279"/>
      <c r="P17" s="1279"/>
      <c r="Q17" s="1883"/>
      <c r="R17" s="1883"/>
      <c r="S17" s="1276"/>
      <c r="T17" s="1952" t="s">
        <v>463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109167</v>
      </c>
      <c r="C18" s="1919"/>
      <c r="D18" s="1280">
        <f>E12</f>
        <v>0</v>
      </c>
      <c r="E18" s="1280">
        <f>G12</f>
        <v>20</v>
      </c>
      <c r="F18" s="1280">
        <f>I12</f>
        <v>2740</v>
      </c>
      <c r="G18" s="1280">
        <f>K12</f>
        <v>0</v>
      </c>
      <c r="H18" s="1279"/>
      <c r="I18" s="1280">
        <f>U12</f>
        <v>0</v>
      </c>
      <c r="J18" s="1279"/>
      <c r="K18" s="1280">
        <f>W12</f>
        <v>1</v>
      </c>
      <c r="L18" s="1279"/>
      <c r="M18" s="1280">
        <f>M12</f>
        <v>0</v>
      </c>
      <c r="N18" s="1280">
        <f>O12</f>
        <v>0</v>
      </c>
      <c r="O18" s="1281">
        <f>Q12</f>
        <v>0</v>
      </c>
      <c r="P18" s="1280"/>
      <c r="Q18" s="1920"/>
      <c r="R18" s="1920"/>
      <c r="S18" s="1274"/>
      <c r="T18" s="1912" t="s">
        <v>57</v>
      </c>
      <c r="U18" s="1912"/>
      <c r="V18" s="1920">
        <v>41620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349314</v>
      </c>
      <c r="C19" s="1919"/>
      <c r="D19" s="1279">
        <f>D15+D16+D17-D18</f>
        <v>160</v>
      </c>
      <c r="E19" s="1279">
        <f t="shared" ref="E19:N19" si="13">E15+E16+E17-E18</f>
        <v>640</v>
      </c>
      <c r="F19" s="1279">
        <f t="shared" si="13"/>
        <v>14970</v>
      </c>
      <c r="G19" s="1279">
        <f t="shared" si="13"/>
        <v>0</v>
      </c>
      <c r="H19" s="1279">
        <f t="shared" si="13"/>
        <v>161</v>
      </c>
      <c r="I19" s="1279">
        <f t="shared" si="13"/>
        <v>15</v>
      </c>
      <c r="J19" s="1279">
        <f t="shared" si="13"/>
        <v>4</v>
      </c>
      <c r="K19" s="1279">
        <f t="shared" si="13"/>
        <v>75</v>
      </c>
      <c r="L19" s="1279">
        <f t="shared" si="13"/>
        <v>0</v>
      </c>
      <c r="M19" s="1279">
        <f t="shared" si="13"/>
        <v>0</v>
      </c>
      <c r="N19" s="1279">
        <f t="shared" si="13"/>
        <v>0</v>
      </c>
      <c r="O19" s="1279">
        <f>O15+O16+O17-O18</f>
        <v>0</v>
      </c>
      <c r="P19" s="1279">
        <f t="shared" ref="P19:Q19" si="14">P15+P16+P17-P18</f>
        <v>100</v>
      </c>
      <c r="Q19" s="1918">
        <f t="shared" si="14"/>
        <v>0</v>
      </c>
      <c r="R19" s="1919"/>
      <c r="S19" s="1274">
        <f>S15+S16-S17-S18</f>
        <v>6</v>
      </c>
      <c r="T19" s="1914" t="s">
        <v>48</v>
      </c>
      <c r="U19" s="49" t="s">
        <v>58</v>
      </c>
      <c r="V19" s="1920">
        <v>207325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336214.72500000003</v>
      </c>
      <c r="C20" s="1945"/>
      <c r="D20" s="290">
        <f>D19*66.41</f>
        <v>10625.599999999999</v>
      </c>
      <c r="E20" s="290">
        <f>27.9368*E19</f>
        <v>17879.552</v>
      </c>
      <c r="F20" s="290">
        <f>18.31*F19</f>
        <v>274100.69999999995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341*Q19</f>
        <v>0</v>
      </c>
      <c r="R20" s="1945"/>
      <c r="S20" s="290">
        <f>341*S19</f>
        <v>2046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697796.57700000005</v>
      </c>
      <c r="C21" s="1951"/>
      <c r="O21" s="1283"/>
      <c r="P21" s="1283"/>
      <c r="Q21" s="1283"/>
      <c r="R21" s="1283"/>
      <c r="T21" s="1952" t="s">
        <v>464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207325</v>
      </c>
      <c r="D22" s="1949">
        <v>207325</v>
      </c>
      <c r="E22" s="1949">
        <v>110000</v>
      </c>
      <c r="F22" s="1949">
        <f>C22-D22+E22</f>
        <v>110000</v>
      </c>
      <c r="G22" s="1283"/>
      <c r="Q22" s="1283"/>
      <c r="R22" s="1283"/>
      <c r="T22" s="1909" t="s">
        <v>83</v>
      </c>
      <c r="U22" s="50" t="s">
        <v>60</v>
      </c>
      <c r="V22" s="1920">
        <v>127760</v>
      </c>
      <c r="W22" s="1920"/>
      <c r="X22" s="1920"/>
      <c r="Y22" s="1927"/>
    </row>
    <row r="23" spans="1:25" ht="39.75" customHeight="1" x14ac:dyDescent="0.25">
      <c r="A23" s="1283"/>
      <c r="B23" s="1947"/>
      <c r="C23" s="1950"/>
      <c r="D23" s="1950"/>
      <c r="E23" s="1950"/>
      <c r="F23" s="1950"/>
      <c r="G23" s="1283"/>
      <c r="Q23" s="1283"/>
      <c r="R23" s="1283"/>
      <c r="T23" s="1910"/>
      <c r="U23" s="50" t="s">
        <v>61</v>
      </c>
      <c r="V23" s="1920">
        <v>207325</v>
      </c>
      <c r="W23" s="1920"/>
      <c r="X23" s="1920"/>
      <c r="Y23" s="1927"/>
    </row>
    <row r="24" spans="1:25" ht="48" customHeight="1" x14ac:dyDescent="0.25">
      <c r="A24" s="1283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283"/>
      <c r="Q24" s="1283"/>
      <c r="R24" s="1283"/>
      <c r="T24" s="1893" t="s">
        <v>47</v>
      </c>
      <c r="U24" s="51" t="s">
        <v>62</v>
      </c>
      <c r="V24" s="1921">
        <f>V14+V16+V17-V18-V19-V20-V22+V23-V21</f>
        <v>24455.907500000001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16904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283"/>
      <c r="J33" s="1283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5B30-3353-4C2E-890E-D90A34B17473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289"/>
      <c r="B3" s="1289"/>
      <c r="C3" s="1289"/>
      <c r="D3" s="1289"/>
      <c r="E3" s="1289"/>
      <c r="F3" s="1289"/>
      <c r="G3" s="1289"/>
      <c r="H3" s="1289"/>
      <c r="I3" s="1289"/>
      <c r="J3" s="1289"/>
      <c r="K3" s="1289"/>
      <c r="L3" s="1289"/>
      <c r="M3" s="1289"/>
      <c r="N3" s="1289"/>
      <c r="O3" s="1289"/>
      <c r="P3" s="1289"/>
      <c r="Q3" s="1289"/>
      <c r="R3" s="1289"/>
      <c r="S3" s="1289"/>
      <c r="T3" s="1900" t="s">
        <v>472</v>
      </c>
      <c r="U3" s="1900"/>
      <c r="V3" s="1900"/>
      <c r="W3" s="1900"/>
      <c r="X3" s="1900"/>
      <c r="Y3" s="1900"/>
    </row>
    <row r="4" spans="1:25" s="128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289" customFormat="1" ht="25.5" customHeight="1" x14ac:dyDescent="0.25">
      <c r="A5" s="1901"/>
      <c r="B5" s="1901"/>
      <c r="C5" s="1288" t="s">
        <v>42</v>
      </c>
      <c r="D5" s="1288" t="s">
        <v>43</v>
      </c>
      <c r="E5" s="1288" t="s">
        <v>42</v>
      </c>
      <c r="F5" s="1288" t="s">
        <v>43</v>
      </c>
      <c r="G5" s="1288" t="s">
        <v>42</v>
      </c>
      <c r="H5" s="1288" t="s">
        <v>43</v>
      </c>
      <c r="I5" s="1288" t="s">
        <v>42</v>
      </c>
      <c r="J5" s="1288" t="s">
        <v>43</v>
      </c>
      <c r="K5" s="1288" t="s">
        <v>42</v>
      </c>
      <c r="L5" s="1288" t="s">
        <v>43</v>
      </c>
      <c r="M5" s="1288" t="s">
        <v>42</v>
      </c>
      <c r="N5" s="1288" t="s">
        <v>43</v>
      </c>
      <c r="O5" s="1288" t="s">
        <v>42</v>
      </c>
      <c r="P5" s="1288" t="s">
        <v>43</v>
      </c>
      <c r="Q5" s="1288" t="s">
        <v>42</v>
      </c>
      <c r="R5" s="12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287" t="s">
        <v>71</v>
      </c>
      <c r="C6" s="1285">
        <v>31815</v>
      </c>
      <c r="D6" s="1284">
        <f t="shared" ref="D6:D11" si="0">0.9725*C6</f>
        <v>30940.087500000001</v>
      </c>
      <c r="E6" s="1285"/>
      <c r="F6" s="1284">
        <f>67.1*E6</f>
        <v>0</v>
      </c>
      <c r="G6" s="1285">
        <v>40</v>
      </c>
      <c r="H6" s="1285">
        <f>28.2*G6</f>
        <v>1128</v>
      </c>
      <c r="I6" s="1285">
        <v>150</v>
      </c>
      <c r="J6" s="1285">
        <f>18.5*I6</f>
        <v>2775</v>
      </c>
      <c r="K6" s="1285"/>
      <c r="L6" s="1284">
        <f>28.2368*K6</f>
        <v>0</v>
      </c>
      <c r="M6" s="1285"/>
      <c r="N6" s="1284">
        <f>M6*47.6525</f>
        <v>0</v>
      </c>
      <c r="O6" s="1285"/>
      <c r="P6" s="1284">
        <f>O6*8.9</f>
        <v>0</v>
      </c>
      <c r="Q6" s="1284"/>
      <c r="R6" s="1284">
        <f>241*Q6</f>
        <v>0</v>
      </c>
      <c r="S6" s="1285"/>
      <c r="T6" s="1285">
        <f>241*S6</f>
        <v>0</v>
      </c>
      <c r="U6" s="1285"/>
      <c r="V6" s="1285">
        <f>332*U6</f>
        <v>0</v>
      </c>
      <c r="W6" s="1285"/>
      <c r="X6" s="19">
        <f>W6*100</f>
        <v>0</v>
      </c>
      <c r="Y6" s="20">
        <f t="shared" ref="Y6:Y12" si="1">D6+F6+H6+J6+L6+N6+P6+R6+T6+V6+X6</f>
        <v>34843.087500000001</v>
      </c>
    </row>
    <row r="7" spans="1:25" ht="31.5" customHeight="1" x14ac:dyDescent="0.25">
      <c r="A7" s="12">
        <v>1984225578</v>
      </c>
      <c r="B7" s="1287" t="s">
        <v>72</v>
      </c>
      <c r="C7" s="1285">
        <v>18450</v>
      </c>
      <c r="D7" s="1284">
        <f t="shared" si="0"/>
        <v>17942.625</v>
      </c>
      <c r="E7" s="1285"/>
      <c r="F7" s="1285">
        <f t="shared" ref="F7:F11" si="2">67.1*E7</f>
        <v>0</v>
      </c>
      <c r="G7" s="1285"/>
      <c r="H7" s="1285">
        <f t="shared" ref="H7:H11" si="3">28.2*G7</f>
        <v>0</v>
      </c>
      <c r="I7" s="1285">
        <v>60</v>
      </c>
      <c r="J7" s="1285">
        <f t="shared" ref="J7:J11" si="4">18.5*I7</f>
        <v>1110</v>
      </c>
      <c r="K7" s="1285"/>
      <c r="L7" s="1284">
        <f t="shared" ref="L7:L11" si="5">28.2368*K7</f>
        <v>0</v>
      </c>
      <c r="M7" s="1285"/>
      <c r="N7" s="1284">
        <f t="shared" ref="N7:N11" si="6">M7*47.6525</f>
        <v>0</v>
      </c>
      <c r="O7" s="1285"/>
      <c r="P7" s="1284">
        <f t="shared" ref="P7:P11" si="7">O7*8.9</f>
        <v>0</v>
      </c>
      <c r="Q7" s="1284"/>
      <c r="R7" s="1284">
        <f t="shared" ref="R7:R11" si="8">241*Q7</f>
        <v>0</v>
      </c>
      <c r="S7" s="1285"/>
      <c r="T7" s="1285">
        <f t="shared" ref="T7:T10" si="9">241*S7</f>
        <v>0</v>
      </c>
      <c r="U7" s="1285"/>
      <c r="V7" s="1285">
        <f t="shared" ref="V7:V11" si="10">332*U7</f>
        <v>0</v>
      </c>
      <c r="W7" s="1285">
        <v>3</v>
      </c>
      <c r="X7" s="19">
        <f t="shared" ref="X7:X11" si="11">W7*100</f>
        <v>300</v>
      </c>
      <c r="Y7" s="20">
        <f t="shared" si="1"/>
        <v>19352.625</v>
      </c>
    </row>
    <row r="8" spans="1:25" ht="35.25" customHeight="1" x14ac:dyDescent="0.25">
      <c r="A8" s="12">
        <v>1967020280</v>
      </c>
      <c r="B8" s="1287" t="s">
        <v>427</v>
      </c>
      <c r="C8" s="1285">
        <v>32877</v>
      </c>
      <c r="D8" s="1284">
        <f t="shared" si="0"/>
        <v>31972.8825</v>
      </c>
      <c r="E8" s="1285"/>
      <c r="F8" s="1285">
        <f t="shared" si="2"/>
        <v>0</v>
      </c>
      <c r="G8" s="1285"/>
      <c r="H8" s="1284">
        <f t="shared" si="3"/>
        <v>0</v>
      </c>
      <c r="I8" s="1285">
        <v>240</v>
      </c>
      <c r="J8" s="1285">
        <f t="shared" si="4"/>
        <v>4440</v>
      </c>
      <c r="K8" s="1285"/>
      <c r="L8" s="1284">
        <f t="shared" si="5"/>
        <v>0</v>
      </c>
      <c r="M8" s="1285"/>
      <c r="N8" s="1284">
        <f t="shared" si="6"/>
        <v>0</v>
      </c>
      <c r="O8" s="1285"/>
      <c r="P8" s="1284">
        <f t="shared" si="7"/>
        <v>0</v>
      </c>
      <c r="Q8" s="1284"/>
      <c r="R8" s="1284">
        <f t="shared" si="8"/>
        <v>0</v>
      </c>
      <c r="S8" s="1285"/>
      <c r="T8" s="1285">
        <f t="shared" si="9"/>
        <v>0</v>
      </c>
      <c r="U8" s="1285"/>
      <c r="V8" s="1285">
        <f t="shared" si="10"/>
        <v>0</v>
      </c>
      <c r="W8" s="1285"/>
      <c r="X8" s="19">
        <f t="shared" si="11"/>
        <v>0</v>
      </c>
      <c r="Y8" s="20">
        <f t="shared" si="1"/>
        <v>36412.8825</v>
      </c>
    </row>
    <row r="9" spans="1:25" ht="38.25" customHeight="1" x14ac:dyDescent="0.25">
      <c r="A9" s="12">
        <v>1984225580</v>
      </c>
      <c r="B9" s="1287" t="s">
        <v>75</v>
      </c>
      <c r="C9" s="1285">
        <v>30908</v>
      </c>
      <c r="D9" s="1284">
        <f t="shared" si="0"/>
        <v>30058.030000000002</v>
      </c>
      <c r="E9" s="1285"/>
      <c r="F9" s="1285">
        <f t="shared" si="2"/>
        <v>0</v>
      </c>
      <c r="G9" s="1285"/>
      <c r="H9" s="1285">
        <f t="shared" si="3"/>
        <v>0</v>
      </c>
      <c r="I9" s="1285">
        <v>130</v>
      </c>
      <c r="J9" s="1285">
        <f t="shared" si="4"/>
        <v>2405</v>
      </c>
      <c r="K9" s="1285"/>
      <c r="L9" s="1284">
        <f t="shared" si="5"/>
        <v>0</v>
      </c>
      <c r="M9" s="1285"/>
      <c r="N9" s="1284">
        <f t="shared" si="6"/>
        <v>0</v>
      </c>
      <c r="O9" s="1285"/>
      <c r="P9" s="1284">
        <f t="shared" si="7"/>
        <v>0</v>
      </c>
      <c r="Q9" s="1284"/>
      <c r="R9" s="1284">
        <f t="shared" si="8"/>
        <v>0</v>
      </c>
      <c r="S9" s="1285"/>
      <c r="T9" s="1285">
        <f t="shared" si="9"/>
        <v>0</v>
      </c>
      <c r="U9" s="1285"/>
      <c r="V9" s="1285">
        <f t="shared" si="10"/>
        <v>0</v>
      </c>
      <c r="W9" s="1285"/>
      <c r="X9" s="19">
        <f t="shared" si="11"/>
        <v>0</v>
      </c>
      <c r="Y9" s="20">
        <f t="shared" si="1"/>
        <v>32463.030000000002</v>
      </c>
    </row>
    <row r="10" spans="1:25" ht="35.25" customHeight="1" x14ac:dyDescent="0.25">
      <c r="A10" s="12">
        <v>1409935199</v>
      </c>
      <c r="C10" s="1285">
        <v>5141</v>
      </c>
      <c r="D10" s="1284">
        <f t="shared" si="0"/>
        <v>4999.6225000000004</v>
      </c>
      <c r="E10" s="1285"/>
      <c r="F10" s="1285">
        <f t="shared" si="2"/>
        <v>0</v>
      </c>
      <c r="G10" s="1285"/>
      <c r="H10" s="1285">
        <f t="shared" si="3"/>
        <v>0</v>
      </c>
      <c r="I10" s="1285"/>
      <c r="J10" s="1285">
        <f t="shared" si="4"/>
        <v>0</v>
      </c>
      <c r="K10" s="1285"/>
      <c r="L10" s="1284">
        <f t="shared" si="5"/>
        <v>0</v>
      </c>
      <c r="M10" s="1285"/>
      <c r="N10" s="1284">
        <f t="shared" si="6"/>
        <v>0</v>
      </c>
      <c r="O10" s="1285"/>
      <c r="P10" s="1284">
        <f t="shared" si="7"/>
        <v>0</v>
      </c>
      <c r="Q10" s="1284"/>
      <c r="R10" s="1284">
        <f t="shared" si="8"/>
        <v>0</v>
      </c>
      <c r="S10" s="1285"/>
      <c r="T10" s="1285">
        <f t="shared" si="9"/>
        <v>0</v>
      </c>
      <c r="U10" s="1285"/>
      <c r="V10" s="1285">
        <f t="shared" si="10"/>
        <v>0</v>
      </c>
      <c r="W10" s="1285"/>
      <c r="X10" s="19">
        <f t="shared" si="11"/>
        <v>0</v>
      </c>
      <c r="Y10" s="20">
        <f t="shared" si="1"/>
        <v>4999.6225000000004</v>
      </c>
    </row>
    <row r="11" spans="1:25" ht="37.5" customHeight="1" x14ac:dyDescent="0.25">
      <c r="A11" s="12"/>
      <c r="B11" s="1286"/>
      <c r="C11" s="1285"/>
      <c r="D11" s="1284">
        <f t="shared" si="0"/>
        <v>0</v>
      </c>
      <c r="E11" s="1285"/>
      <c r="F11" s="1285">
        <f t="shared" si="2"/>
        <v>0</v>
      </c>
      <c r="G11" s="1285"/>
      <c r="H11" s="1285">
        <f t="shared" si="3"/>
        <v>0</v>
      </c>
      <c r="I11" s="1285"/>
      <c r="J11" s="1285">
        <f t="shared" si="4"/>
        <v>0</v>
      </c>
      <c r="K11" s="1285"/>
      <c r="L11" s="1284">
        <f t="shared" si="5"/>
        <v>0</v>
      </c>
      <c r="M11" s="1285"/>
      <c r="N11" s="1284">
        <f t="shared" si="6"/>
        <v>0</v>
      </c>
      <c r="O11" s="1285"/>
      <c r="P11" s="1284">
        <f t="shared" si="7"/>
        <v>0</v>
      </c>
      <c r="Q11" s="1284"/>
      <c r="R11" s="1284">
        <f t="shared" si="8"/>
        <v>0</v>
      </c>
      <c r="S11" s="1285"/>
      <c r="T11" s="1285">
        <f>341*S11</f>
        <v>0</v>
      </c>
      <c r="U11" s="1285"/>
      <c r="V11" s="1285">
        <f t="shared" si="10"/>
        <v>0</v>
      </c>
      <c r="W11" s="12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119191</v>
      </c>
      <c r="D12" s="18">
        <f t="shared" si="12"/>
        <v>115913.2475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580</v>
      </c>
      <c r="J12" s="18">
        <f t="shared" si="12"/>
        <v>10730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128071.2475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93" t="s">
        <v>174</v>
      </c>
      <c r="K14" s="30" t="s">
        <v>36</v>
      </c>
      <c r="L14" s="1293" t="s">
        <v>403</v>
      </c>
      <c r="M14" s="30" t="s">
        <v>429</v>
      </c>
      <c r="N14" s="30" t="s">
        <v>442</v>
      </c>
      <c r="O14" s="1293" t="s">
        <v>114</v>
      </c>
      <c r="P14" s="30" t="s">
        <v>70</v>
      </c>
      <c r="Q14" s="1958" t="s">
        <v>378</v>
      </c>
      <c r="R14" s="1959"/>
      <c r="S14" s="1293" t="s">
        <v>401</v>
      </c>
      <c r="T14" s="1893" t="s">
        <v>46</v>
      </c>
      <c r="U14" s="1287" t="s">
        <v>176</v>
      </c>
      <c r="V14" s="1918">
        <v>24456</v>
      </c>
      <c r="W14" s="1926"/>
      <c r="X14" s="1919"/>
    </row>
    <row r="15" spans="1:25" ht="22.5" customHeight="1" x14ac:dyDescent="0.25">
      <c r="A15" s="100" t="s">
        <v>38</v>
      </c>
      <c r="B15" s="1918">
        <v>349314</v>
      </c>
      <c r="C15" s="1919"/>
      <c r="D15" s="1290">
        <v>160</v>
      </c>
      <c r="E15" s="1290">
        <v>640</v>
      </c>
      <c r="F15" s="1290">
        <v>14970</v>
      </c>
      <c r="G15" s="1290">
        <v>0</v>
      </c>
      <c r="H15" s="1290">
        <v>161</v>
      </c>
      <c r="I15" s="1290">
        <v>15</v>
      </c>
      <c r="J15" s="1290">
        <v>4</v>
      </c>
      <c r="K15" s="1290">
        <v>75</v>
      </c>
      <c r="L15" s="1290">
        <v>0</v>
      </c>
      <c r="M15" s="1290">
        <v>0</v>
      </c>
      <c r="N15" s="1290">
        <v>0</v>
      </c>
      <c r="O15" s="1290">
        <v>0</v>
      </c>
      <c r="P15" s="1290">
        <v>100</v>
      </c>
      <c r="Q15" s="1918">
        <v>0</v>
      </c>
      <c r="R15" s="1919"/>
      <c r="S15" s="1287">
        <v>6</v>
      </c>
      <c r="T15" s="1893"/>
      <c r="U15" s="1287" t="s">
        <v>64</v>
      </c>
      <c r="V15" s="1920">
        <v>16904</v>
      </c>
      <c r="W15" s="1920"/>
      <c r="X15" s="1920"/>
    </row>
    <row r="16" spans="1:25" ht="24.75" customHeight="1" x14ac:dyDescent="0.25">
      <c r="A16" s="100" t="s">
        <v>39</v>
      </c>
      <c r="B16" s="1918">
        <v>114285</v>
      </c>
      <c r="C16" s="1919"/>
      <c r="D16" s="1290"/>
      <c r="E16" s="1290"/>
      <c r="F16" s="1290"/>
      <c r="G16" s="1290"/>
      <c r="H16" s="1290"/>
      <c r="I16" s="1290"/>
      <c r="J16" s="1290"/>
      <c r="K16" s="1290"/>
      <c r="L16" s="1290"/>
      <c r="M16" s="1290"/>
      <c r="N16" s="1290"/>
      <c r="O16" s="1290"/>
      <c r="P16" s="1290"/>
      <c r="Q16" s="1883"/>
      <c r="R16" s="1883"/>
      <c r="S16" s="1290"/>
      <c r="T16" s="1912" t="s">
        <v>55</v>
      </c>
      <c r="U16" s="1912"/>
      <c r="V16" s="1925">
        <f>Y12</f>
        <v>128071.2475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290"/>
      <c r="E17" s="1290"/>
      <c r="F17" s="1290"/>
      <c r="G17" s="1290"/>
      <c r="H17" s="1290"/>
      <c r="I17" s="1290"/>
      <c r="J17" s="1290"/>
      <c r="K17" s="1290"/>
      <c r="L17" s="1290"/>
      <c r="M17" s="1290"/>
      <c r="N17" s="1290"/>
      <c r="O17" s="1290"/>
      <c r="P17" s="1290"/>
      <c r="Q17" s="1883"/>
      <c r="R17" s="1883"/>
      <c r="S17" s="1286"/>
      <c r="T17" s="1952" t="s">
        <v>473</v>
      </c>
      <c r="U17" s="1953"/>
      <c r="V17" s="1954">
        <v>2500</v>
      </c>
      <c r="W17" s="1954"/>
      <c r="X17" s="1954"/>
    </row>
    <row r="18" spans="1:25" ht="27" customHeight="1" x14ac:dyDescent="0.25">
      <c r="A18" s="100" t="s">
        <v>40</v>
      </c>
      <c r="B18" s="1922">
        <f>C12</f>
        <v>119191</v>
      </c>
      <c r="C18" s="1919"/>
      <c r="D18" s="1292">
        <f>E12</f>
        <v>0</v>
      </c>
      <c r="E18" s="1292">
        <f>G12</f>
        <v>40</v>
      </c>
      <c r="F18" s="1292">
        <f>I12</f>
        <v>580</v>
      </c>
      <c r="G18" s="1292">
        <f>K12</f>
        <v>0</v>
      </c>
      <c r="H18" s="1290"/>
      <c r="I18" s="1292">
        <f>U12</f>
        <v>0</v>
      </c>
      <c r="J18" s="1290"/>
      <c r="K18" s="1292">
        <f>W12</f>
        <v>3</v>
      </c>
      <c r="L18" s="1290"/>
      <c r="M18" s="1292">
        <f>M12</f>
        <v>0</v>
      </c>
      <c r="N18" s="1292">
        <f>O12</f>
        <v>0</v>
      </c>
      <c r="O18" s="1291">
        <f>Q12</f>
        <v>0</v>
      </c>
      <c r="P18" s="1292"/>
      <c r="Q18" s="1920"/>
      <c r="R18" s="1920"/>
      <c r="S18" s="1287"/>
      <c r="T18" s="1912" t="s">
        <v>57</v>
      </c>
      <c r="U18" s="1912"/>
      <c r="V18" s="1920">
        <v>3450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344408</v>
      </c>
      <c r="C19" s="1919"/>
      <c r="D19" s="1290">
        <f>D15+D16+D17-D18</f>
        <v>160</v>
      </c>
      <c r="E19" s="1290">
        <f t="shared" ref="E19:N19" si="13">E15+E16+E17-E18</f>
        <v>600</v>
      </c>
      <c r="F19" s="1290">
        <f t="shared" si="13"/>
        <v>14390</v>
      </c>
      <c r="G19" s="1290">
        <f t="shared" si="13"/>
        <v>0</v>
      </c>
      <c r="H19" s="1290">
        <f t="shared" si="13"/>
        <v>161</v>
      </c>
      <c r="I19" s="1290">
        <f t="shared" si="13"/>
        <v>15</v>
      </c>
      <c r="J19" s="1290">
        <f t="shared" si="13"/>
        <v>4</v>
      </c>
      <c r="K19" s="1290">
        <f t="shared" si="13"/>
        <v>72</v>
      </c>
      <c r="L19" s="1290">
        <f t="shared" si="13"/>
        <v>0</v>
      </c>
      <c r="M19" s="1290">
        <f t="shared" si="13"/>
        <v>0</v>
      </c>
      <c r="N19" s="1290">
        <f t="shared" si="13"/>
        <v>0</v>
      </c>
      <c r="O19" s="1290">
        <f>O15+O16+O17-O18</f>
        <v>0</v>
      </c>
      <c r="P19" s="1290">
        <f t="shared" ref="P19:Q19" si="14">P15+P16+P17-P18</f>
        <v>100</v>
      </c>
      <c r="Q19" s="1918">
        <f t="shared" si="14"/>
        <v>0</v>
      </c>
      <c r="R19" s="1919"/>
      <c r="S19" s="1287">
        <f>S15+S16-S17-S18</f>
        <v>6</v>
      </c>
      <c r="T19" s="1914" t="s">
        <v>48</v>
      </c>
      <c r="U19" s="49" t="s">
        <v>58</v>
      </c>
      <c r="V19" s="1920">
        <v>110000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331492.7</v>
      </c>
      <c r="C20" s="1945"/>
      <c r="D20" s="290">
        <f>D19*66.41</f>
        <v>10625.599999999999</v>
      </c>
      <c r="E20" s="290">
        <f>27.9368*E19</f>
        <v>16762.080000000002</v>
      </c>
      <c r="F20" s="290">
        <f>18.31*F19</f>
        <v>263480.89999999997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341*Q19</f>
        <v>0</v>
      </c>
      <c r="R20" s="1945"/>
      <c r="S20" s="290">
        <f>341*S19</f>
        <v>2046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681037.28</v>
      </c>
      <c r="C21" s="1951"/>
      <c r="O21" s="1294"/>
      <c r="P21" s="1294"/>
      <c r="Q21" s="1294"/>
      <c r="R21" s="1294"/>
      <c r="T21" s="1952" t="s">
        <v>474</v>
      </c>
      <c r="U21" s="1953"/>
      <c r="V21" s="1955">
        <v>2500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110000</v>
      </c>
      <c r="D22" s="1949">
        <v>110000</v>
      </c>
      <c r="E22" s="1949">
        <v>110000</v>
      </c>
      <c r="F22" s="1949">
        <f>C22-D22+E22</f>
        <v>110000</v>
      </c>
      <c r="G22" s="1294"/>
      <c r="Q22" s="1294"/>
      <c r="R22" s="1294"/>
      <c r="T22" s="1909" t="s">
        <v>83</v>
      </c>
      <c r="U22" s="50" t="s">
        <v>60</v>
      </c>
      <c r="V22" s="1920">
        <v>112130</v>
      </c>
      <c r="W22" s="1920"/>
      <c r="X22" s="1920"/>
      <c r="Y22" s="1927"/>
    </row>
    <row r="23" spans="1:25" ht="39.75" customHeight="1" x14ac:dyDescent="0.25">
      <c r="A23" s="1294"/>
      <c r="B23" s="1947"/>
      <c r="C23" s="1950"/>
      <c r="D23" s="1950"/>
      <c r="E23" s="1950"/>
      <c r="F23" s="1950"/>
      <c r="G23" s="1294"/>
      <c r="Q23" s="1294"/>
      <c r="R23" s="1294"/>
      <c r="T23" s="1910"/>
      <c r="U23" s="50" t="s">
        <v>61</v>
      </c>
      <c r="V23" s="1920">
        <v>110000</v>
      </c>
      <c r="W23" s="1920"/>
      <c r="X23" s="1920"/>
      <c r="Y23" s="1927"/>
    </row>
    <row r="24" spans="1:25" ht="48" customHeight="1" x14ac:dyDescent="0.25">
      <c r="A24" s="1294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294"/>
      <c r="Q24" s="1294"/>
      <c r="R24" s="1294"/>
      <c r="T24" s="1893" t="s">
        <v>47</v>
      </c>
      <c r="U24" s="51" t="s">
        <v>62</v>
      </c>
      <c r="V24" s="1921">
        <f>V14+V16+V17-V18-V19-V20-V22+V23-V21</f>
        <v>36947.247499999998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19034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294"/>
      <c r="J33" s="1294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E095-67B4-418A-B987-5910DF8512D8}">
  <sheetPr>
    <pageSetUpPr fitToPage="1"/>
  </sheetPr>
  <dimension ref="A1:Y33"/>
  <sheetViews>
    <sheetView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295"/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1900" t="s">
        <v>475</v>
      </c>
      <c r="U3" s="1900"/>
      <c r="V3" s="1900"/>
      <c r="W3" s="1900"/>
      <c r="X3" s="1900"/>
      <c r="Y3" s="1900"/>
    </row>
    <row r="4" spans="1:25" s="129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295" customFormat="1" ht="25.5" customHeight="1" x14ac:dyDescent="0.25">
      <c r="A5" s="1901"/>
      <c r="B5" s="1901"/>
      <c r="C5" s="1297" t="s">
        <v>42</v>
      </c>
      <c r="D5" s="1297" t="s">
        <v>43</v>
      </c>
      <c r="E5" s="1297" t="s">
        <v>42</v>
      </c>
      <c r="F5" s="1297" t="s">
        <v>43</v>
      </c>
      <c r="G5" s="1297" t="s">
        <v>42</v>
      </c>
      <c r="H5" s="1297" t="s">
        <v>43</v>
      </c>
      <c r="I5" s="1297" t="s">
        <v>42</v>
      </c>
      <c r="J5" s="1297" t="s">
        <v>43</v>
      </c>
      <c r="K5" s="1297" t="s">
        <v>42</v>
      </c>
      <c r="L5" s="1297" t="s">
        <v>43</v>
      </c>
      <c r="M5" s="1297" t="s">
        <v>42</v>
      </c>
      <c r="N5" s="1297" t="s">
        <v>43</v>
      </c>
      <c r="O5" s="1297" t="s">
        <v>42</v>
      </c>
      <c r="P5" s="1297" t="s">
        <v>43</v>
      </c>
      <c r="Q5" s="1297" t="s">
        <v>42</v>
      </c>
      <c r="R5" s="12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296" t="s">
        <v>71</v>
      </c>
      <c r="C6" s="1299">
        <v>51457</v>
      </c>
      <c r="D6" s="1300">
        <f t="shared" ref="D6:D11" si="0">0.9725*C6</f>
        <v>50041.932500000003</v>
      </c>
      <c r="E6" s="1299"/>
      <c r="F6" s="1300">
        <f>67.1*E6</f>
        <v>0</v>
      </c>
      <c r="G6" s="1299">
        <v>100</v>
      </c>
      <c r="H6" s="1299">
        <f>28.2*G6</f>
        <v>2820</v>
      </c>
      <c r="I6" s="1299">
        <v>730</v>
      </c>
      <c r="J6" s="1299">
        <f>18.5*I6</f>
        <v>13505</v>
      </c>
      <c r="K6" s="1299"/>
      <c r="L6" s="1300">
        <f>28.2368*K6</f>
        <v>0</v>
      </c>
      <c r="M6" s="1299"/>
      <c r="N6" s="1300">
        <f>M6*47.6525</f>
        <v>0</v>
      </c>
      <c r="O6" s="1299"/>
      <c r="P6" s="1300">
        <f>O6*8.9</f>
        <v>0</v>
      </c>
      <c r="Q6" s="1300"/>
      <c r="R6" s="1300">
        <f>241*Q6</f>
        <v>0</v>
      </c>
      <c r="S6" s="1299"/>
      <c r="T6" s="1299">
        <f>241*S6</f>
        <v>0</v>
      </c>
      <c r="U6" s="1299"/>
      <c r="V6" s="1299">
        <f>332*U6</f>
        <v>0</v>
      </c>
      <c r="W6" s="1299"/>
      <c r="X6" s="19">
        <f>W6*100</f>
        <v>0</v>
      </c>
      <c r="Y6" s="20">
        <f t="shared" ref="Y6:Y12" si="1">D6+F6+H6+J6+L6+N6+P6+R6+T6+V6+X6</f>
        <v>66366.932499999995</v>
      </c>
    </row>
    <row r="7" spans="1:25" ht="31.5" customHeight="1" x14ac:dyDescent="0.25">
      <c r="A7" s="12">
        <v>1984225578</v>
      </c>
      <c r="B7" s="1296" t="s">
        <v>72</v>
      </c>
      <c r="C7" s="1299">
        <v>23485</v>
      </c>
      <c r="D7" s="1300">
        <f t="shared" si="0"/>
        <v>22839.162500000002</v>
      </c>
      <c r="E7" s="1299">
        <v>30</v>
      </c>
      <c r="F7" s="1299">
        <f t="shared" ref="F7:F11" si="2">67.1*E7</f>
        <v>2012.9999999999998</v>
      </c>
      <c r="G7" s="1299">
        <v>400</v>
      </c>
      <c r="H7" s="1299">
        <f t="shared" ref="H7:H11" si="3">28.2*G7</f>
        <v>11280</v>
      </c>
      <c r="I7" s="1299">
        <v>1240</v>
      </c>
      <c r="J7" s="1299">
        <f t="shared" ref="J7:J11" si="4">18.5*I7</f>
        <v>22940</v>
      </c>
      <c r="K7" s="1299"/>
      <c r="L7" s="1300">
        <f t="shared" ref="L7:L11" si="5">28.2368*K7</f>
        <v>0</v>
      </c>
      <c r="M7" s="1299"/>
      <c r="N7" s="1300">
        <f t="shared" ref="N7:N11" si="6">M7*47.6525</f>
        <v>0</v>
      </c>
      <c r="O7" s="1299"/>
      <c r="P7" s="1300">
        <f t="shared" ref="P7:P11" si="7">O7*8.9</f>
        <v>0</v>
      </c>
      <c r="Q7" s="1300"/>
      <c r="R7" s="1300">
        <f t="shared" ref="R7:R11" si="8">241*Q7</f>
        <v>0</v>
      </c>
      <c r="S7" s="1299"/>
      <c r="T7" s="1299">
        <f t="shared" ref="T7:T10" si="9">241*S7</f>
        <v>0</v>
      </c>
      <c r="U7" s="1299"/>
      <c r="V7" s="1299">
        <f t="shared" ref="V7:V11" si="10">332*U7</f>
        <v>0</v>
      </c>
      <c r="W7" s="1299"/>
      <c r="X7" s="19">
        <f t="shared" ref="X7:X11" si="11">W7*100</f>
        <v>0</v>
      </c>
      <c r="Y7" s="20">
        <f t="shared" si="1"/>
        <v>59072.162500000006</v>
      </c>
    </row>
    <row r="8" spans="1:25" ht="35.25" customHeight="1" x14ac:dyDescent="0.25">
      <c r="A8" s="12">
        <v>1967020280</v>
      </c>
      <c r="B8" s="1296" t="s">
        <v>427</v>
      </c>
      <c r="C8" s="1299">
        <v>25898</v>
      </c>
      <c r="D8" s="1300">
        <f t="shared" si="0"/>
        <v>25185.805</v>
      </c>
      <c r="E8" s="1299"/>
      <c r="F8" s="1299">
        <f t="shared" si="2"/>
        <v>0</v>
      </c>
      <c r="G8" s="1299"/>
      <c r="H8" s="1300">
        <f t="shared" si="3"/>
        <v>0</v>
      </c>
      <c r="I8" s="1299">
        <v>660</v>
      </c>
      <c r="J8" s="1299">
        <f t="shared" si="4"/>
        <v>12210</v>
      </c>
      <c r="K8" s="1299"/>
      <c r="L8" s="1300">
        <f t="shared" si="5"/>
        <v>0</v>
      </c>
      <c r="M8" s="1299"/>
      <c r="N8" s="1300">
        <f t="shared" si="6"/>
        <v>0</v>
      </c>
      <c r="O8" s="1299"/>
      <c r="P8" s="1300">
        <f t="shared" si="7"/>
        <v>0</v>
      </c>
      <c r="Q8" s="1300"/>
      <c r="R8" s="1300">
        <f t="shared" si="8"/>
        <v>0</v>
      </c>
      <c r="S8" s="1299"/>
      <c r="T8" s="1299">
        <f t="shared" si="9"/>
        <v>0</v>
      </c>
      <c r="U8" s="1299">
        <v>5</v>
      </c>
      <c r="V8" s="1299">
        <f t="shared" si="10"/>
        <v>1660</v>
      </c>
      <c r="W8" s="1299">
        <v>1</v>
      </c>
      <c r="X8" s="19">
        <f t="shared" si="11"/>
        <v>100</v>
      </c>
      <c r="Y8" s="20">
        <f t="shared" si="1"/>
        <v>39155.805</v>
      </c>
    </row>
    <row r="9" spans="1:25" ht="38.25" customHeight="1" x14ac:dyDescent="0.25">
      <c r="A9" s="12">
        <v>1984225580</v>
      </c>
      <c r="B9" s="1296" t="s">
        <v>75</v>
      </c>
      <c r="C9" s="1299">
        <v>22095</v>
      </c>
      <c r="D9" s="1300">
        <f t="shared" si="0"/>
        <v>21487.387500000001</v>
      </c>
      <c r="E9" s="1299"/>
      <c r="F9" s="1299">
        <f t="shared" si="2"/>
        <v>0</v>
      </c>
      <c r="G9" s="1299"/>
      <c r="H9" s="1299">
        <f t="shared" si="3"/>
        <v>0</v>
      </c>
      <c r="I9" s="1299">
        <v>490</v>
      </c>
      <c r="J9" s="1299">
        <f t="shared" si="4"/>
        <v>9065</v>
      </c>
      <c r="K9" s="1299"/>
      <c r="L9" s="1300">
        <f t="shared" si="5"/>
        <v>0</v>
      </c>
      <c r="M9" s="1299"/>
      <c r="N9" s="1300">
        <f t="shared" si="6"/>
        <v>0</v>
      </c>
      <c r="O9" s="1299"/>
      <c r="P9" s="1300">
        <f t="shared" si="7"/>
        <v>0</v>
      </c>
      <c r="Q9" s="1300"/>
      <c r="R9" s="1300">
        <f t="shared" si="8"/>
        <v>0</v>
      </c>
      <c r="S9" s="1299"/>
      <c r="T9" s="1299">
        <f t="shared" si="9"/>
        <v>0</v>
      </c>
      <c r="U9" s="1299"/>
      <c r="V9" s="1299">
        <f t="shared" si="10"/>
        <v>0</v>
      </c>
      <c r="W9" s="1299"/>
      <c r="X9" s="19">
        <f t="shared" si="11"/>
        <v>0</v>
      </c>
      <c r="Y9" s="20">
        <f t="shared" si="1"/>
        <v>30552.387500000001</v>
      </c>
    </row>
    <row r="10" spans="1:25" ht="35.25" customHeight="1" x14ac:dyDescent="0.25">
      <c r="A10" s="12">
        <v>1409935199</v>
      </c>
      <c r="C10" s="1299">
        <v>6137</v>
      </c>
      <c r="D10" s="1300">
        <f t="shared" si="0"/>
        <v>5968.2325000000001</v>
      </c>
      <c r="E10" s="1299"/>
      <c r="F10" s="1299">
        <f t="shared" si="2"/>
        <v>0</v>
      </c>
      <c r="G10" s="1299"/>
      <c r="H10" s="1299">
        <f t="shared" si="3"/>
        <v>0</v>
      </c>
      <c r="I10" s="1299"/>
      <c r="J10" s="1299">
        <f t="shared" si="4"/>
        <v>0</v>
      </c>
      <c r="K10" s="1299"/>
      <c r="L10" s="1300">
        <f t="shared" si="5"/>
        <v>0</v>
      </c>
      <c r="M10" s="1299"/>
      <c r="N10" s="1300">
        <f t="shared" si="6"/>
        <v>0</v>
      </c>
      <c r="O10" s="1299"/>
      <c r="P10" s="1300">
        <f t="shared" si="7"/>
        <v>0</v>
      </c>
      <c r="Q10" s="1300"/>
      <c r="R10" s="1300">
        <f t="shared" si="8"/>
        <v>0</v>
      </c>
      <c r="S10" s="1299"/>
      <c r="T10" s="1299">
        <f t="shared" si="9"/>
        <v>0</v>
      </c>
      <c r="U10" s="1299"/>
      <c r="V10" s="1299">
        <f t="shared" si="10"/>
        <v>0</v>
      </c>
      <c r="W10" s="1299"/>
      <c r="X10" s="19">
        <f t="shared" si="11"/>
        <v>0</v>
      </c>
      <c r="Y10" s="20">
        <f t="shared" si="1"/>
        <v>5968.2325000000001</v>
      </c>
    </row>
    <row r="11" spans="1:25" ht="37.5" customHeight="1" x14ac:dyDescent="0.25">
      <c r="A11" s="12"/>
      <c r="B11" s="1298"/>
      <c r="C11" s="1299"/>
      <c r="D11" s="1300">
        <f t="shared" si="0"/>
        <v>0</v>
      </c>
      <c r="E11" s="1299"/>
      <c r="F11" s="1299">
        <f t="shared" si="2"/>
        <v>0</v>
      </c>
      <c r="G11" s="1299"/>
      <c r="H11" s="1299">
        <f t="shared" si="3"/>
        <v>0</v>
      </c>
      <c r="I11" s="1299"/>
      <c r="J11" s="1299">
        <f t="shared" si="4"/>
        <v>0</v>
      </c>
      <c r="K11" s="1299"/>
      <c r="L11" s="1300">
        <f t="shared" si="5"/>
        <v>0</v>
      </c>
      <c r="M11" s="1299"/>
      <c r="N11" s="1300">
        <f t="shared" si="6"/>
        <v>0</v>
      </c>
      <c r="O11" s="1299"/>
      <c r="P11" s="1300">
        <f t="shared" si="7"/>
        <v>0</v>
      </c>
      <c r="Q11" s="1300"/>
      <c r="R11" s="1300">
        <f t="shared" si="8"/>
        <v>0</v>
      </c>
      <c r="S11" s="1299"/>
      <c r="T11" s="1299">
        <f>341*S11</f>
        <v>0</v>
      </c>
      <c r="U11" s="1299"/>
      <c r="V11" s="1299">
        <f t="shared" si="10"/>
        <v>0</v>
      </c>
      <c r="W11" s="129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129072</v>
      </c>
      <c r="D12" s="18">
        <f t="shared" si="12"/>
        <v>125522.51999999999</v>
      </c>
      <c r="E12" s="18">
        <f t="shared" si="12"/>
        <v>30</v>
      </c>
      <c r="F12" s="18">
        <f t="shared" si="12"/>
        <v>2012.9999999999998</v>
      </c>
      <c r="G12" s="18">
        <f t="shared" si="12"/>
        <v>500</v>
      </c>
      <c r="H12" s="18">
        <f t="shared" si="12"/>
        <v>14100</v>
      </c>
      <c r="I12" s="18">
        <f t="shared" si="12"/>
        <v>3120</v>
      </c>
      <c r="J12" s="18">
        <f t="shared" si="12"/>
        <v>57720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201115.51999999999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04" t="s">
        <v>174</v>
      </c>
      <c r="K14" s="30" t="s">
        <v>36</v>
      </c>
      <c r="L14" s="1304" t="s">
        <v>403</v>
      </c>
      <c r="M14" s="30" t="s">
        <v>429</v>
      </c>
      <c r="N14" s="30" t="s">
        <v>442</v>
      </c>
      <c r="O14" s="1304" t="s">
        <v>114</v>
      </c>
      <c r="P14" s="30" t="s">
        <v>70</v>
      </c>
      <c r="Q14" s="1958" t="s">
        <v>378</v>
      </c>
      <c r="R14" s="1959"/>
      <c r="S14" s="1304" t="s">
        <v>401</v>
      </c>
      <c r="T14" s="1893" t="s">
        <v>46</v>
      </c>
      <c r="U14" s="1296" t="s">
        <v>176</v>
      </c>
      <c r="V14" s="1918">
        <v>36947</v>
      </c>
      <c r="W14" s="1926"/>
      <c r="X14" s="1919"/>
    </row>
    <row r="15" spans="1:25" ht="22.5" customHeight="1" x14ac:dyDescent="0.25">
      <c r="A15" s="100" t="s">
        <v>38</v>
      </c>
      <c r="B15" s="1918">
        <v>344408</v>
      </c>
      <c r="C15" s="1919"/>
      <c r="D15" s="1301">
        <v>160</v>
      </c>
      <c r="E15" s="1301">
        <v>600</v>
      </c>
      <c r="F15" s="1301">
        <v>14390</v>
      </c>
      <c r="G15" s="1301">
        <v>0</v>
      </c>
      <c r="H15" s="1301">
        <v>161</v>
      </c>
      <c r="I15" s="1301">
        <v>15</v>
      </c>
      <c r="J15" s="1301">
        <v>4</v>
      </c>
      <c r="K15" s="1301">
        <v>72</v>
      </c>
      <c r="L15" s="1301">
        <v>0</v>
      </c>
      <c r="M15" s="1301">
        <v>0</v>
      </c>
      <c r="N15" s="1301">
        <v>0</v>
      </c>
      <c r="O15" s="1301">
        <v>0</v>
      </c>
      <c r="P15" s="1301">
        <v>100</v>
      </c>
      <c r="Q15" s="1918">
        <v>0</v>
      </c>
      <c r="R15" s="1919"/>
      <c r="S15" s="1296">
        <v>6</v>
      </c>
      <c r="T15" s="1893"/>
      <c r="U15" s="1296" t="s">
        <v>64</v>
      </c>
      <c r="V15" s="1920">
        <v>19034</v>
      </c>
      <c r="W15" s="1920"/>
      <c r="X15" s="1920"/>
    </row>
    <row r="16" spans="1:25" ht="24.75" customHeight="1" x14ac:dyDescent="0.25">
      <c r="A16" s="100" t="s">
        <v>39</v>
      </c>
      <c r="B16" s="1918">
        <v>488312</v>
      </c>
      <c r="C16" s="1919"/>
      <c r="D16" s="1301"/>
      <c r="E16" s="1301">
        <v>2000</v>
      </c>
      <c r="F16" s="1301">
        <v>15000</v>
      </c>
      <c r="G16" s="1301"/>
      <c r="H16" s="1301"/>
      <c r="I16" s="1301">
        <v>100</v>
      </c>
      <c r="J16" s="1301"/>
      <c r="K16" s="1301"/>
      <c r="L16" s="1301"/>
      <c r="M16" s="1301"/>
      <c r="N16" s="1301"/>
      <c r="O16" s="1301"/>
      <c r="P16" s="1301"/>
      <c r="Q16" s="1920">
        <v>10</v>
      </c>
      <c r="R16" s="1920"/>
      <c r="S16" s="1301"/>
      <c r="T16" s="1912" t="s">
        <v>55</v>
      </c>
      <c r="U16" s="1912"/>
      <c r="V16" s="1925">
        <f>Y12</f>
        <v>201115.51999999999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301"/>
      <c r="E17" s="1301"/>
      <c r="F17" s="1301"/>
      <c r="G17" s="1301"/>
      <c r="H17" s="1301"/>
      <c r="I17" s="1301"/>
      <c r="J17" s="1301"/>
      <c r="K17" s="1301"/>
      <c r="L17" s="1301"/>
      <c r="M17" s="1301"/>
      <c r="N17" s="1301"/>
      <c r="O17" s="1301"/>
      <c r="P17" s="1301"/>
      <c r="Q17" s="1883"/>
      <c r="R17" s="1883"/>
      <c r="S17" s="1298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129072</v>
      </c>
      <c r="C18" s="1919"/>
      <c r="D18" s="1302">
        <f>E12</f>
        <v>30</v>
      </c>
      <c r="E18" s="1302">
        <f>G12</f>
        <v>500</v>
      </c>
      <c r="F18" s="1302">
        <f>I12</f>
        <v>3120</v>
      </c>
      <c r="G18" s="1302">
        <f>K12</f>
        <v>0</v>
      </c>
      <c r="H18" s="1301"/>
      <c r="I18" s="1302">
        <f>U12</f>
        <v>5</v>
      </c>
      <c r="J18" s="1301"/>
      <c r="K18" s="1302">
        <f>W12</f>
        <v>1</v>
      </c>
      <c r="L18" s="1301"/>
      <c r="M18" s="1302">
        <f>M12</f>
        <v>0</v>
      </c>
      <c r="N18" s="1302">
        <f>O12</f>
        <v>0</v>
      </c>
      <c r="O18" s="1303">
        <f>Q12</f>
        <v>0</v>
      </c>
      <c r="P18" s="1302"/>
      <c r="Q18" s="1920"/>
      <c r="R18" s="1920"/>
      <c r="S18" s="1296"/>
      <c r="T18" s="1912" t="s">
        <v>57</v>
      </c>
      <c r="U18" s="1912"/>
      <c r="V18" s="1920">
        <v>5008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703648</v>
      </c>
      <c r="C19" s="1919"/>
      <c r="D19" s="1301">
        <f>D15+D16+D17-D18</f>
        <v>130</v>
      </c>
      <c r="E19" s="1301">
        <f t="shared" ref="E19:N19" si="13">E15+E16+E17-E18</f>
        <v>2100</v>
      </c>
      <c r="F19" s="1301">
        <f t="shared" si="13"/>
        <v>26270</v>
      </c>
      <c r="G19" s="1301">
        <f t="shared" si="13"/>
        <v>0</v>
      </c>
      <c r="H19" s="1301">
        <f t="shared" si="13"/>
        <v>161</v>
      </c>
      <c r="I19" s="1301">
        <f t="shared" si="13"/>
        <v>110</v>
      </c>
      <c r="J19" s="1301">
        <f t="shared" si="13"/>
        <v>4</v>
      </c>
      <c r="K19" s="1301">
        <f t="shared" si="13"/>
        <v>71</v>
      </c>
      <c r="L19" s="1301">
        <f t="shared" si="13"/>
        <v>0</v>
      </c>
      <c r="M19" s="1301">
        <f t="shared" si="13"/>
        <v>0</v>
      </c>
      <c r="N19" s="1301">
        <f t="shared" si="13"/>
        <v>0</v>
      </c>
      <c r="O19" s="1301">
        <f>O15+O16+O17-O18</f>
        <v>0</v>
      </c>
      <c r="P19" s="1301">
        <f t="shared" ref="P19:Q19" si="14">P15+P16+P17-P18</f>
        <v>100</v>
      </c>
      <c r="Q19" s="1918">
        <f t="shared" si="14"/>
        <v>10</v>
      </c>
      <c r="R19" s="1919"/>
      <c r="S19" s="1296">
        <f>S15+S16-S17-S18</f>
        <v>6</v>
      </c>
      <c r="T19" s="1914" t="s">
        <v>48</v>
      </c>
      <c r="U19" s="49" t="s">
        <v>58</v>
      </c>
      <c r="V19" s="1920">
        <v>110000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677261.20000000007</v>
      </c>
      <c r="C20" s="1945"/>
      <c r="D20" s="290">
        <f>D19*66.41</f>
        <v>8633.2999999999993</v>
      </c>
      <c r="E20" s="290">
        <f>27.9368*E19</f>
        <v>58667.280000000006</v>
      </c>
      <c r="F20" s="290">
        <f>18.31*F19</f>
        <v>481003.69999999995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2046</v>
      </c>
      <c r="T20" s="1915"/>
      <c r="U20" s="49" t="s">
        <v>59</v>
      </c>
      <c r="V20" s="1920">
        <v>15300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1319526.48</v>
      </c>
      <c r="C21" s="1951"/>
      <c r="O21" s="1305"/>
      <c r="P21" s="1305"/>
      <c r="Q21" s="1305"/>
      <c r="R21" s="1305"/>
      <c r="T21" s="1952" t="s">
        <v>474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110000</v>
      </c>
      <c r="D22" s="1949">
        <v>110000</v>
      </c>
      <c r="E22" s="1949">
        <v>822175</v>
      </c>
      <c r="F22" s="1949">
        <f>C22-D22+E22</f>
        <v>822175</v>
      </c>
      <c r="G22" s="1305"/>
      <c r="Q22" s="1305"/>
      <c r="R22" s="1305"/>
      <c r="T22" s="1909" t="s">
        <v>83</v>
      </c>
      <c r="U22" s="50" t="s">
        <v>60</v>
      </c>
      <c r="V22" s="1920">
        <v>214920</v>
      </c>
      <c r="W22" s="1920"/>
      <c r="X22" s="1920"/>
      <c r="Y22" s="1927"/>
    </row>
    <row r="23" spans="1:25" ht="39.75" customHeight="1" x14ac:dyDescent="0.25">
      <c r="A23" s="1305"/>
      <c r="B23" s="1947"/>
      <c r="C23" s="1950"/>
      <c r="D23" s="1950"/>
      <c r="E23" s="1950"/>
      <c r="F23" s="1950"/>
      <c r="G23" s="1305"/>
      <c r="Q23" s="1305"/>
      <c r="R23" s="1305"/>
      <c r="T23" s="1910"/>
      <c r="U23" s="50" t="s">
        <v>61</v>
      </c>
      <c r="V23" s="1920">
        <v>125300</v>
      </c>
      <c r="W23" s="1920"/>
      <c r="X23" s="1920"/>
      <c r="Y23" s="1927"/>
    </row>
    <row r="24" spans="1:25" ht="48" customHeight="1" x14ac:dyDescent="0.25">
      <c r="A24" s="1305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305"/>
      <c r="Q24" s="1305"/>
      <c r="R24" s="1305"/>
      <c r="T24" s="1893" t="s">
        <v>47</v>
      </c>
      <c r="U24" s="51" t="s">
        <v>62</v>
      </c>
      <c r="V24" s="1921">
        <f>V14+V16+V17-V18-V19-V20-V22+V23-V21</f>
        <v>18134.51999999999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108654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305"/>
      <c r="J33" s="1305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5825-03C8-4409-A398-2A678E6D6BBE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AB16" sqref="AB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311"/>
      <c r="B3" s="1311"/>
      <c r="C3" s="1311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1"/>
      <c r="O3" s="1311"/>
      <c r="P3" s="1311"/>
      <c r="Q3" s="1311"/>
      <c r="R3" s="1311"/>
      <c r="S3" s="1311"/>
      <c r="T3" s="1900" t="s">
        <v>476</v>
      </c>
      <c r="U3" s="1900"/>
      <c r="V3" s="1900"/>
      <c r="W3" s="1900"/>
      <c r="X3" s="1900"/>
      <c r="Y3" s="1900"/>
    </row>
    <row r="4" spans="1:25" s="1311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311" customFormat="1" ht="25.5" customHeight="1" x14ac:dyDescent="0.25">
      <c r="A5" s="1901"/>
      <c r="B5" s="1901"/>
      <c r="C5" s="1310" t="s">
        <v>42</v>
      </c>
      <c r="D5" s="1310" t="s">
        <v>43</v>
      </c>
      <c r="E5" s="1310" t="s">
        <v>42</v>
      </c>
      <c r="F5" s="1310" t="s">
        <v>43</v>
      </c>
      <c r="G5" s="1310" t="s">
        <v>42</v>
      </c>
      <c r="H5" s="1310" t="s">
        <v>43</v>
      </c>
      <c r="I5" s="1310" t="s">
        <v>42</v>
      </c>
      <c r="J5" s="1310" t="s">
        <v>43</v>
      </c>
      <c r="K5" s="1310" t="s">
        <v>42</v>
      </c>
      <c r="L5" s="1310" t="s">
        <v>43</v>
      </c>
      <c r="M5" s="1310" t="s">
        <v>42</v>
      </c>
      <c r="N5" s="1310" t="s">
        <v>43</v>
      </c>
      <c r="O5" s="1310" t="s">
        <v>42</v>
      </c>
      <c r="P5" s="1310" t="s">
        <v>43</v>
      </c>
      <c r="Q5" s="1310" t="s">
        <v>42</v>
      </c>
      <c r="R5" s="1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309" t="s">
        <v>71</v>
      </c>
      <c r="C6" s="1307">
        <v>43705</v>
      </c>
      <c r="D6" s="1306">
        <f t="shared" ref="D6:D11" si="0">0.9725*C6</f>
        <v>42503.112500000003</v>
      </c>
      <c r="E6" s="1307"/>
      <c r="F6" s="1306">
        <f>67.1*E6</f>
        <v>0</v>
      </c>
      <c r="G6" s="1307"/>
      <c r="H6" s="1307">
        <f>28.2*G6</f>
        <v>0</v>
      </c>
      <c r="I6" s="1307">
        <v>350</v>
      </c>
      <c r="J6" s="1307">
        <f>18.5*I6</f>
        <v>6475</v>
      </c>
      <c r="K6" s="1307"/>
      <c r="L6" s="1306">
        <f>28.2368*K6</f>
        <v>0</v>
      </c>
      <c r="M6" s="1307"/>
      <c r="N6" s="1306">
        <f>M6*47.6525</f>
        <v>0</v>
      </c>
      <c r="O6" s="1307"/>
      <c r="P6" s="1306">
        <f>O6*8.9</f>
        <v>0</v>
      </c>
      <c r="Q6" s="1306"/>
      <c r="R6" s="1306">
        <f>241*Q6</f>
        <v>0</v>
      </c>
      <c r="S6" s="1307"/>
      <c r="T6" s="1307">
        <f>241*S6</f>
        <v>0</v>
      </c>
      <c r="U6" s="1307"/>
      <c r="V6" s="1307">
        <f>332*U6</f>
        <v>0</v>
      </c>
      <c r="W6" s="1307"/>
      <c r="X6" s="19">
        <f>W6*100</f>
        <v>0</v>
      </c>
      <c r="Y6" s="20">
        <f t="shared" ref="Y6:Y12" si="1">D6+F6+H6+J6+L6+N6+P6+R6+T6+V6+X6</f>
        <v>48978.112500000003</v>
      </c>
    </row>
    <row r="7" spans="1:25" ht="31.5" customHeight="1" x14ac:dyDescent="0.25">
      <c r="A7" s="12">
        <v>1984225578</v>
      </c>
      <c r="B7" s="1309" t="s">
        <v>72</v>
      </c>
      <c r="C7" s="1307">
        <v>72251</v>
      </c>
      <c r="D7" s="1306">
        <f t="shared" si="0"/>
        <v>70264.097500000003</v>
      </c>
      <c r="E7" s="1307"/>
      <c r="F7" s="1307">
        <f t="shared" ref="F7:F11" si="2">67.1*E7</f>
        <v>0</v>
      </c>
      <c r="G7" s="1307"/>
      <c r="H7" s="1307">
        <f t="shared" ref="H7:H11" si="3">28.2*G7</f>
        <v>0</v>
      </c>
      <c r="I7" s="1307">
        <v>260</v>
      </c>
      <c r="J7" s="1307">
        <f t="shared" ref="J7:J11" si="4">18.5*I7</f>
        <v>4810</v>
      </c>
      <c r="K7" s="1307"/>
      <c r="L7" s="1306">
        <f t="shared" ref="L7:L11" si="5">28.2368*K7</f>
        <v>0</v>
      </c>
      <c r="M7" s="1307"/>
      <c r="N7" s="1306">
        <f t="shared" ref="N7:N11" si="6">M7*47.6525</f>
        <v>0</v>
      </c>
      <c r="O7" s="1307"/>
      <c r="P7" s="1306">
        <f t="shared" ref="P7:P11" si="7">O7*8.9</f>
        <v>0</v>
      </c>
      <c r="Q7" s="1306"/>
      <c r="R7" s="1306">
        <f t="shared" ref="R7:R11" si="8">241*Q7</f>
        <v>0</v>
      </c>
      <c r="S7" s="1307"/>
      <c r="T7" s="1307">
        <f t="shared" ref="T7:T10" si="9">241*S7</f>
        <v>0</v>
      </c>
      <c r="U7" s="1307"/>
      <c r="V7" s="1307">
        <f t="shared" ref="V7:V11" si="10">332*U7</f>
        <v>0</v>
      </c>
      <c r="W7" s="1307"/>
      <c r="X7" s="19">
        <f t="shared" ref="X7:X11" si="11">W7*100</f>
        <v>0</v>
      </c>
      <c r="Y7" s="20">
        <f t="shared" si="1"/>
        <v>75074.097500000003</v>
      </c>
    </row>
    <row r="8" spans="1:25" ht="35.25" customHeight="1" x14ac:dyDescent="0.25">
      <c r="A8" s="12">
        <v>1967020280</v>
      </c>
      <c r="B8" s="1309" t="s">
        <v>427</v>
      </c>
      <c r="C8" s="1307">
        <v>52056</v>
      </c>
      <c r="D8" s="1306">
        <f t="shared" si="0"/>
        <v>50624.46</v>
      </c>
      <c r="E8" s="1307"/>
      <c r="F8" s="1307">
        <f t="shared" si="2"/>
        <v>0</v>
      </c>
      <c r="G8" s="1307"/>
      <c r="H8" s="1306">
        <f t="shared" si="3"/>
        <v>0</v>
      </c>
      <c r="I8" s="1307">
        <v>750</v>
      </c>
      <c r="J8" s="1307">
        <f t="shared" si="4"/>
        <v>13875</v>
      </c>
      <c r="K8" s="1307"/>
      <c r="L8" s="1306">
        <f t="shared" si="5"/>
        <v>0</v>
      </c>
      <c r="M8" s="1307"/>
      <c r="N8" s="1306">
        <f t="shared" si="6"/>
        <v>0</v>
      </c>
      <c r="O8" s="1307"/>
      <c r="P8" s="1306">
        <f t="shared" si="7"/>
        <v>0</v>
      </c>
      <c r="Q8" s="1306"/>
      <c r="R8" s="1306">
        <f t="shared" si="8"/>
        <v>0</v>
      </c>
      <c r="S8" s="1307"/>
      <c r="T8" s="1307">
        <f t="shared" si="9"/>
        <v>0</v>
      </c>
      <c r="U8" s="1307"/>
      <c r="V8" s="1307">
        <f t="shared" si="10"/>
        <v>0</v>
      </c>
      <c r="W8" s="1307"/>
      <c r="X8" s="19">
        <f t="shared" si="11"/>
        <v>0</v>
      </c>
      <c r="Y8" s="20">
        <f t="shared" si="1"/>
        <v>64499.46</v>
      </c>
    </row>
    <row r="9" spans="1:25" ht="38.25" customHeight="1" x14ac:dyDescent="0.25">
      <c r="A9" s="12">
        <v>1984225580</v>
      </c>
      <c r="B9" s="1309" t="s">
        <v>75</v>
      </c>
      <c r="C9" s="1307">
        <v>69912</v>
      </c>
      <c r="D9" s="1306">
        <f t="shared" si="0"/>
        <v>67989.42</v>
      </c>
      <c r="E9" s="1307"/>
      <c r="F9" s="1307">
        <f t="shared" si="2"/>
        <v>0</v>
      </c>
      <c r="G9" s="1307"/>
      <c r="H9" s="1307">
        <f t="shared" si="3"/>
        <v>0</v>
      </c>
      <c r="I9" s="1307">
        <v>250</v>
      </c>
      <c r="J9" s="1307">
        <f t="shared" si="4"/>
        <v>4625</v>
      </c>
      <c r="K9" s="1307"/>
      <c r="L9" s="1306">
        <f t="shared" si="5"/>
        <v>0</v>
      </c>
      <c r="M9" s="1307"/>
      <c r="N9" s="1306">
        <f t="shared" si="6"/>
        <v>0</v>
      </c>
      <c r="O9" s="1307"/>
      <c r="P9" s="1306">
        <f t="shared" si="7"/>
        <v>0</v>
      </c>
      <c r="Q9" s="1306"/>
      <c r="R9" s="1306">
        <f t="shared" si="8"/>
        <v>0</v>
      </c>
      <c r="S9" s="1307"/>
      <c r="T9" s="1307">
        <f t="shared" si="9"/>
        <v>0</v>
      </c>
      <c r="U9" s="1307"/>
      <c r="V9" s="1307">
        <f t="shared" si="10"/>
        <v>0</v>
      </c>
      <c r="W9" s="1307"/>
      <c r="X9" s="19">
        <f t="shared" si="11"/>
        <v>0</v>
      </c>
      <c r="Y9" s="20">
        <f t="shared" si="1"/>
        <v>72614.42</v>
      </c>
    </row>
    <row r="10" spans="1:25" ht="35.25" customHeight="1" x14ac:dyDescent="0.25">
      <c r="A10" s="12">
        <v>1409935199</v>
      </c>
      <c r="C10" s="1307">
        <v>29853</v>
      </c>
      <c r="D10" s="1306">
        <f t="shared" si="0"/>
        <v>29032.0425</v>
      </c>
      <c r="E10" s="1307"/>
      <c r="F10" s="1307">
        <f t="shared" si="2"/>
        <v>0</v>
      </c>
      <c r="G10" s="1307"/>
      <c r="H10" s="1307">
        <f t="shared" si="3"/>
        <v>0</v>
      </c>
      <c r="I10" s="1307"/>
      <c r="J10" s="1307">
        <f t="shared" si="4"/>
        <v>0</v>
      </c>
      <c r="K10" s="1307"/>
      <c r="L10" s="1306">
        <f t="shared" si="5"/>
        <v>0</v>
      </c>
      <c r="M10" s="1307"/>
      <c r="N10" s="1306">
        <f t="shared" si="6"/>
        <v>0</v>
      </c>
      <c r="O10" s="1307"/>
      <c r="P10" s="1306">
        <f t="shared" si="7"/>
        <v>0</v>
      </c>
      <c r="Q10" s="1306"/>
      <c r="R10" s="1306">
        <f t="shared" si="8"/>
        <v>0</v>
      </c>
      <c r="S10" s="1307"/>
      <c r="T10" s="1307">
        <f t="shared" si="9"/>
        <v>0</v>
      </c>
      <c r="U10" s="1307"/>
      <c r="V10" s="1307">
        <f t="shared" si="10"/>
        <v>0</v>
      </c>
      <c r="W10" s="1307"/>
      <c r="X10" s="19">
        <f t="shared" si="11"/>
        <v>0</v>
      </c>
      <c r="Y10" s="20">
        <f t="shared" si="1"/>
        <v>29032.0425</v>
      </c>
    </row>
    <row r="11" spans="1:25" ht="37.5" customHeight="1" x14ac:dyDescent="0.25">
      <c r="A11" s="12"/>
      <c r="B11" s="1308"/>
      <c r="C11" s="1307"/>
      <c r="D11" s="1306">
        <f t="shared" si="0"/>
        <v>0</v>
      </c>
      <c r="E11" s="1307"/>
      <c r="F11" s="1307">
        <f t="shared" si="2"/>
        <v>0</v>
      </c>
      <c r="G11" s="1307"/>
      <c r="H11" s="1307">
        <f t="shared" si="3"/>
        <v>0</v>
      </c>
      <c r="I11" s="1307"/>
      <c r="J11" s="1307">
        <f t="shared" si="4"/>
        <v>0</v>
      </c>
      <c r="K11" s="1307"/>
      <c r="L11" s="1306">
        <f t="shared" si="5"/>
        <v>0</v>
      </c>
      <c r="M11" s="1307"/>
      <c r="N11" s="1306">
        <f t="shared" si="6"/>
        <v>0</v>
      </c>
      <c r="O11" s="1307"/>
      <c r="P11" s="1306">
        <f t="shared" si="7"/>
        <v>0</v>
      </c>
      <c r="Q11" s="1306"/>
      <c r="R11" s="1306">
        <f t="shared" si="8"/>
        <v>0</v>
      </c>
      <c r="S11" s="1307"/>
      <c r="T11" s="1307">
        <f>341*S11</f>
        <v>0</v>
      </c>
      <c r="U11" s="1307"/>
      <c r="V11" s="1307">
        <f t="shared" si="10"/>
        <v>0</v>
      </c>
      <c r="W11" s="13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267777</v>
      </c>
      <c r="D12" s="18">
        <f t="shared" si="12"/>
        <v>260413.13250000004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1610</v>
      </c>
      <c r="J12" s="18">
        <f t="shared" si="12"/>
        <v>29785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290198.13250000007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15" t="s">
        <v>174</v>
      </c>
      <c r="K14" s="30" t="s">
        <v>36</v>
      </c>
      <c r="L14" s="1315" t="s">
        <v>403</v>
      </c>
      <c r="M14" s="30" t="s">
        <v>429</v>
      </c>
      <c r="N14" s="30" t="s">
        <v>442</v>
      </c>
      <c r="O14" s="1315" t="s">
        <v>114</v>
      </c>
      <c r="P14" s="30" t="s">
        <v>70</v>
      </c>
      <c r="Q14" s="1958" t="s">
        <v>378</v>
      </c>
      <c r="R14" s="1959"/>
      <c r="S14" s="1315" t="s">
        <v>401</v>
      </c>
      <c r="T14" s="1893" t="s">
        <v>46</v>
      </c>
      <c r="U14" s="1309" t="s">
        <v>176</v>
      </c>
      <c r="V14" s="1918">
        <v>18135</v>
      </c>
      <c r="W14" s="1926"/>
      <c r="X14" s="1919"/>
    </row>
    <row r="15" spans="1:25" ht="22.5" customHeight="1" x14ac:dyDescent="0.25">
      <c r="A15" s="100" t="s">
        <v>38</v>
      </c>
      <c r="B15" s="1918">
        <v>703648</v>
      </c>
      <c r="C15" s="1919"/>
      <c r="D15" s="1312">
        <v>130</v>
      </c>
      <c r="E15" s="1312">
        <v>2100</v>
      </c>
      <c r="F15" s="1312">
        <v>26270</v>
      </c>
      <c r="G15" s="1312">
        <v>0</v>
      </c>
      <c r="H15" s="1312">
        <v>161</v>
      </c>
      <c r="I15" s="1312">
        <v>110</v>
      </c>
      <c r="J15" s="1312">
        <v>4</v>
      </c>
      <c r="K15" s="1312">
        <v>71</v>
      </c>
      <c r="L15" s="1312">
        <v>0</v>
      </c>
      <c r="M15" s="1312">
        <v>0</v>
      </c>
      <c r="N15" s="1312">
        <v>0</v>
      </c>
      <c r="O15" s="1312">
        <v>0</v>
      </c>
      <c r="P15" s="1312">
        <v>100</v>
      </c>
      <c r="Q15" s="1918">
        <v>10</v>
      </c>
      <c r="R15" s="1919"/>
      <c r="S15" s="1309">
        <v>6</v>
      </c>
      <c r="T15" s="1893"/>
      <c r="U15" s="1309" t="s">
        <v>64</v>
      </c>
      <c r="V15" s="1920">
        <v>108654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312"/>
      <c r="E16" s="1312"/>
      <c r="F16" s="1312"/>
      <c r="G16" s="1312"/>
      <c r="H16" s="1312"/>
      <c r="I16" s="1312"/>
      <c r="J16" s="1312"/>
      <c r="K16" s="1312"/>
      <c r="L16" s="1312"/>
      <c r="M16" s="1312"/>
      <c r="N16" s="1312"/>
      <c r="O16" s="1312"/>
      <c r="P16" s="1312"/>
      <c r="Q16" s="1920"/>
      <c r="R16" s="1920"/>
      <c r="S16" s="1312"/>
      <c r="T16" s="1912" t="s">
        <v>55</v>
      </c>
      <c r="U16" s="1912"/>
      <c r="V16" s="1925">
        <f>Y12</f>
        <v>290198.13250000007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1883"/>
      <c r="R17" s="1883"/>
      <c r="S17" s="1308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267777</v>
      </c>
      <c r="C18" s="1919"/>
      <c r="D18" s="1314">
        <f>E12</f>
        <v>0</v>
      </c>
      <c r="E18" s="1314">
        <f>G12</f>
        <v>0</v>
      </c>
      <c r="F18" s="1314">
        <f>I12</f>
        <v>1610</v>
      </c>
      <c r="G18" s="1314">
        <f>K12</f>
        <v>0</v>
      </c>
      <c r="H18" s="1312"/>
      <c r="I18" s="1314">
        <f>U12</f>
        <v>0</v>
      </c>
      <c r="J18" s="1312"/>
      <c r="K18" s="1314">
        <f>W12</f>
        <v>0</v>
      </c>
      <c r="L18" s="1312"/>
      <c r="M18" s="1314">
        <f>M12</f>
        <v>0</v>
      </c>
      <c r="N18" s="1314">
        <f>O12</f>
        <v>0</v>
      </c>
      <c r="O18" s="1313">
        <f>Q12</f>
        <v>0</v>
      </c>
      <c r="P18" s="1314"/>
      <c r="Q18" s="1920"/>
      <c r="R18" s="1920"/>
      <c r="S18" s="1309"/>
      <c r="T18" s="1912" t="s">
        <v>57</v>
      </c>
      <c r="U18" s="1912"/>
      <c r="V18" s="1920">
        <v>23500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435871</v>
      </c>
      <c r="C19" s="1919"/>
      <c r="D19" s="1312">
        <f>D15+D16+D17-D18</f>
        <v>130</v>
      </c>
      <c r="E19" s="1312">
        <f t="shared" ref="E19:N19" si="13">E15+E16+E17-E18</f>
        <v>2100</v>
      </c>
      <c r="F19" s="1312">
        <f t="shared" si="13"/>
        <v>24660</v>
      </c>
      <c r="G19" s="1312">
        <f t="shared" si="13"/>
        <v>0</v>
      </c>
      <c r="H19" s="1312">
        <f t="shared" si="13"/>
        <v>161</v>
      </c>
      <c r="I19" s="1312">
        <f t="shared" si="13"/>
        <v>110</v>
      </c>
      <c r="J19" s="1312">
        <f t="shared" si="13"/>
        <v>4</v>
      </c>
      <c r="K19" s="1312">
        <f t="shared" si="13"/>
        <v>71</v>
      </c>
      <c r="L19" s="1312">
        <f t="shared" si="13"/>
        <v>0</v>
      </c>
      <c r="M19" s="1312">
        <f t="shared" si="13"/>
        <v>0</v>
      </c>
      <c r="N19" s="1312">
        <f t="shared" si="13"/>
        <v>0</v>
      </c>
      <c r="O19" s="1312">
        <f>O15+O16+O17-O18</f>
        <v>0</v>
      </c>
      <c r="P19" s="1312">
        <f t="shared" ref="P19:Q19" si="14">P15+P16+P17-P18</f>
        <v>100</v>
      </c>
      <c r="Q19" s="1918">
        <f t="shared" si="14"/>
        <v>10</v>
      </c>
      <c r="R19" s="1919"/>
      <c r="S19" s="1309">
        <f>S15+S16-S17-S18</f>
        <v>6</v>
      </c>
      <c r="T19" s="1914" t="s">
        <v>48</v>
      </c>
      <c r="U19" s="49" t="s">
        <v>58</v>
      </c>
      <c r="V19" s="1920">
        <v>144500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419525.83750000002</v>
      </c>
      <c r="C20" s="1945"/>
      <c r="D20" s="290">
        <f>D19*66.41</f>
        <v>8633.2999999999993</v>
      </c>
      <c r="E20" s="290">
        <f>27.9368*E19</f>
        <v>58667.280000000006</v>
      </c>
      <c r="F20" s="290">
        <f>18.31*F19</f>
        <v>451524.6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2046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1032312.0175000001</v>
      </c>
      <c r="C21" s="1951"/>
      <c r="O21" s="1316"/>
      <c r="P21" s="1316"/>
      <c r="Q21" s="1316"/>
      <c r="R21" s="1316"/>
      <c r="T21" s="1952" t="s">
        <v>474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822175</v>
      </c>
      <c r="D22" s="1949">
        <v>144500</v>
      </c>
      <c r="E22" s="1949"/>
      <c r="F22" s="1949">
        <f>C22-D22+E22</f>
        <v>677675</v>
      </c>
      <c r="G22" s="1316"/>
      <c r="Q22" s="1316"/>
      <c r="R22" s="1316"/>
      <c r="T22" s="1909" t="s">
        <v>83</v>
      </c>
      <c r="U22" s="50" t="s">
        <v>60</v>
      </c>
      <c r="V22" s="1920">
        <v>184500</v>
      </c>
      <c r="W22" s="1920"/>
      <c r="X22" s="1920"/>
      <c r="Y22" s="1927"/>
    </row>
    <row r="23" spans="1:25" ht="39.75" customHeight="1" x14ac:dyDescent="0.25">
      <c r="A23" s="1316"/>
      <c r="B23" s="1947"/>
      <c r="C23" s="1950"/>
      <c r="D23" s="1950"/>
      <c r="E23" s="1950"/>
      <c r="F23" s="1950"/>
      <c r="G23" s="1316"/>
      <c r="Q23" s="1316"/>
      <c r="R23" s="1316"/>
      <c r="T23" s="1910"/>
      <c r="U23" s="50" t="s">
        <v>61</v>
      </c>
      <c r="V23" s="1920">
        <v>144500</v>
      </c>
      <c r="W23" s="1920"/>
      <c r="X23" s="1920"/>
      <c r="Y23" s="1927"/>
    </row>
    <row r="24" spans="1:25" ht="48" customHeight="1" x14ac:dyDescent="0.25">
      <c r="A24" s="1316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316"/>
      <c r="Q24" s="1316"/>
      <c r="R24" s="1316"/>
      <c r="T24" s="1893" t="s">
        <v>47</v>
      </c>
      <c r="U24" s="51" t="s">
        <v>62</v>
      </c>
      <c r="V24" s="1921">
        <f>V14+V16+V17-V18-V19-V20-V22+V23-V21</f>
        <v>100333.13250000007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148654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316"/>
      <c r="J33" s="1316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6540-86FA-4E1B-849F-C13E3548A7E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317"/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1900" t="s">
        <v>477</v>
      </c>
      <c r="U3" s="1900"/>
      <c r="V3" s="1900"/>
      <c r="W3" s="1900"/>
      <c r="X3" s="1900"/>
      <c r="Y3" s="1900"/>
    </row>
    <row r="4" spans="1:25" s="131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317" customFormat="1" ht="25.5" customHeight="1" x14ac:dyDescent="0.25">
      <c r="A5" s="1901"/>
      <c r="B5" s="1901"/>
      <c r="C5" s="1319" t="s">
        <v>42</v>
      </c>
      <c r="D5" s="1319" t="s">
        <v>43</v>
      </c>
      <c r="E5" s="1319" t="s">
        <v>42</v>
      </c>
      <c r="F5" s="1319" t="s">
        <v>43</v>
      </c>
      <c r="G5" s="1319" t="s">
        <v>42</v>
      </c>
      <c r="H5" s="1319" t="s">
        <v>43</v>
      </c>
      <c r="I5" s="1319" t="s">
        <v>42</v>
      </c>
      <c r="J5" s="1319" t="s">
        <v>43</v>
      </c>
      <c r="K5" s="1319" t="s">
        <v>42</v>
      </c>
      <c r="L5" s="1319" t="s">
        <v>43</v>
      </c>
      <c r="M5" s="1319" t="s">
        <v>42</v>
      </c>
      <c r="N5" s="1319" t="s">
        <v>43</v>
      </c>
      <c r="O5" s="1319" t="s">
        <v>42</v>
      </c>
      <c r="P5" s="1319" t="s">
        <v>43</v>
      </c>
      <c r="Q5" s="1319" t="s">
        <v>42</v>
      </c>
      <c r="R5" s="1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318" t="s">
        <v>71</v>
      </c>
      <c r="C6" s="1321">
        <v>17832</v>
      </c>
      <c r="D6" s="1322">
        <f t="shared" ref="D6:D11" si="0">0.9725*C6</f>
        <v>17341.62</v>
      </c>
      <c r="E6" s="1321"/>
      <c r="F6" s="1322">
        <f>67.1*E6</f>
        <v>0</v>
      </c>
      <c r="G6" s="1321"/>
      <c r="H6" s="1321">
        <f>28.2*G6</f>
        <v>0</v>
      </c>
      <c r="I6" s="1321"/>
      <c r="J6" s="1321">
        <f>18.5*I6</f>
        <v>0</v>
      </c>
      <c r="K6" s="1321"/>
      <c r="L6" s="1322">
        <f>28.2368*K6</f>
        <v>0</v>
      </c>
      <c r="M6" s="1321"/>
      <c r="N6" s="1322">
        <f>M6*47.6525</f>
        <v>0</v>
      </c>
      <c r="O6" s="1321"/>
      <c r="P6" s="1322">
        <f>O6*8.9</f>
        <v>0</v>
      </c>
      <c r="Q6" s="1322"/>
      <c r="R6" s="1322">
        <f>241*Q6</f>
        <v>0</v>
      </c>
      <c r="S6" s="1321"/>
      <c r="T6" s="1321">
        <f>241*S6</f>
        <v>0</v>
      </c>
      <c r="U6" s="1321"/>
      <c r="V6" s="1321">
        <f>332*U6</f>
        <v>0</v>
      </c>
      <c r="W6" s="1321"/>
      <c r="X6" s="19">
        <f>W6*100</f>
        <v>0</v>
      </c>
      <c r="Y6" s="20">
        <f t="shared" ref="Y6:Y12" si="1">D6+F6+H6+J6+L6+N6+P6+R6+T6+V6+X6</f>
        <v>17341.62</v>
      </c>
    </row>
    <row r="7" spans="1:25" ht="31.5" customHeight="1" x14ac:dyDescent="0.25">
      <c r="A7" s="12">
        <v>1984225578</v>
      </c>
      <c r="B7" s="1318" t="s">
        <v>72</v>
      </c>
      <c r="C7" s="1321">
        <v>60000</v>
      </c>
      <c r="D7" s="1322">
        <f t="shared" si="0"/>
        <v>58350</v>
      </c>
      <c r="E7" s="1321"/>
      <c r="F7" s="1321">
        <f t="shared" ref="F7:F11" si="2">67.1*E7</f>
        <v>0</v>
      </c>
      <c r="G7" s="1321"/>
      <c r="H7" s="1321">
        <f t="shared" ref="H7:H11" si="3">28.2*G7</f>
        <v>0</v>
      </c>
      <c r="I7" s="1321"/>
      <c r="J7" s="1321">
        <f t="shared" ref="J7:J11" si="4">18.5*I7</f>
        <v>0</v>
      </c>
      <c r="K7" s="1321"/>
      <c r="L7" s="1322">
        <f t="shared" ref="L7:L11" si="5">28.2368*K7</f>
        <v>0</v>
      </c>
      <c r="M7" s="1321"/>
      <c r="N7" s="1322">
        <f t="shared" ref="N7:N11" si="6">M7*47.6525</f>
        <v>0</v>
      </c>
      <c r="O7" s="1321"/>
      <c r="P7" s="1322">
        <f t="shared" ref="P7:P11" si="7">O7*8.9</f>
        <v>0</v>
      </c>
      <c r="Q7" s="1322"/>
      <c r="R7" s="1322">
        <f t="shared" ref="R7:R11" si="8">241*Q7</f>
        <v>0</v>
      </c>
      <c r="S7" s="1321"/>
      <c r="T7" s="1321">
        <f t="shared" ref="T7:T10" si="9">241*S7</f>
        <v>0</v>
      </c>
      <c r="U7" s="1321"/>
      <c r="V7" s="1321">
        <f t="shared" ref="V7:V11" si="10">332*U7</f>
        <v>0</v>
      </c>
      <c r="W7" s="1321"/>
      <c r="X7" s="19">
        <f t="shared" ref="X7:X11" si="11">W7*100</f>
        <v>0</v>
      </c>
      <c r="Y7" s="20">
        <f t="shared" si="1"/>
        <v>58350</v>
      </c>
    </row>
    <row r="8" spans="1:25" ht="35.25" customHeight="1" x14ac:dyDescent="0.25">
      <c r="A8" s="12">
        <v>1967020280</v>
      </c>
      <c r="B8" s="1318" t="s">
        <v>427</v>
      </c>
      <c r="C8" s="1321">
        <v>28241</v>
      </c>
      <c r="D8" s="1322">
        <f t="shared" si="0"/>
        <v>27464.372500000001</v>
      </c>
      <c r="E8" s="1321"/>
      <c r="F8" s="1321">
        <f t="shared" si="2"/>
        <v>0</v>
      </c>
      <c r="G8" s="1321"/>
      <c r="H8" s="1322">
        <f t="shared" si="3"/>
        <v>0</v>
      </c>
      <c r="I8" s="1321">
        <v>970</v>
      </c>
      <c r="J8" s="1321">
        <f t="shared" si="4"/>
        <v>17945</v>
      </c>
      <c r="K8" s="1321"/>
      <c r="L8" s="1322">
        <f t="shared" si="5"/>
        <v>0</v>
      </c>
      <c r="M8" s="1321"/>
      <c r="N8" s="1322">
        <f t="shared" si="6"/>
        <v>0</v>
      </c>
      <c r="O8" s="1321"/>
      <c r="P8" s="1322">
        <f t="shared" si="7"/>
        <v>0</v>
      </c>
      <c r="Q8" s="1322"/>
      <c r="R8" s="1322">
        <f t="shared" si="8"/>
        <v>0</v>
      </c>
      <c r="S8" s="1321"/>
      <c r="T8" s="1321">
        <f t="shared" si="9"/>
        <v>0</v>
      </c>
      <c r="U8" s="1321"/>
      <c r="V8" s="1321">
        <f t="shared" si="10"/>
        <v>0</v>
      </c>
      <c r="W8" s="1321"/>
      <c r="X8" s="19">
        <f t="shared" si="11"/>
        <v>0</v>
      </c>
      <c r="Y8" s="20">
        <f t="shared" si="1"/>
        <v>45409.372499999998</v>
      </c>
    </row>
    <row r="9" spans="1:25" ht="38.25" customHeight="1" x14ac:dyDescent="0.25">
      <c r="A9" s="12">
        <v>1984225580</v>
      </c>
      <c r="B9" s="1318" t="s">
        <v>75</v>
      </c>
      <c r="C9" s="1321">
        <v>39987</v>
      </c>
      <c r="D9" s="1322">
        <f t="shared" si="0"/>
        <v>38887.357499999998</v>
      </c>
      <c r="E9" s="1321"/>
      <c r="F9" s="1321">
        <f t="shared" si="2"/>
        <v>0</v>
      </c>
      <c r="G9" s="1321"/>
      <c r="H9" s="1321">
        <f t="shared" si="3"/>
        <v>0</v>
      </c>
      <c r="I9" s="1321"/>
      <c r="J9" s="1321">
        <f t="shared" si="4"/>
        <v>0</v>
      </c>
      <c r="K9" s="1321"/>
      <c r="L9" s="1322">
        <f t="shared" si="5"/>
        <v>0</v>
      </c>
      <c r="M9" s="1321"/>
      <c r="N9" s="1322">
        <f t="shared" si="6"/>
        <v>0</v>
      </c>
      <c r="O9" s="1321"/>
      <c r="P9" s="1322">
        <f t="shared" si="7"/>
        <v>0</v>
      </c>
      <c r="Q9" s="1322"/>
      <c r="R9" s="1322">
        <f t="shared" si="8"/>
        <v>0</v>
      </c>
      <c r="S9" s="1321"/>
      <c r="T9" s="1321">
        <f t="shared" si="9"/>
        <v>0</v>
      </c>
      <c r="U9" s="1321"/>
      <c r="V9" s="1321">
        <f t="shared" si="10"/>
        <v>0</v>
      </c>
      <c r="W9" s="1321"/>
      <c r="X9" s="19">
        <f t="shared" si="11"/>
        <v>0</v>
      </c>
      <c r="Y9" s="20">
        <f t="shared" si="1"/>
        <v>38887.357499999998</v>
      </c>
    </row>
    <row r="10" spans="1:25" ht="35.25" customHeight="1" x14ac:dyDescent="0.25">
      <c r="A10" s="12">
        <v>1409935199</v>
      </c>
      <c r="C10" s="1321">
        <v>10283</v>
      </c>
      <c r="D10" s="1322">
        <f t="shared" si="0"/>
        <v>10000.217500000001</v>
      </c>
      <c r="E10" s="1321"/>
      <c r="F10" s="1321">
        <f t="shared" si="2"/>
        <v>0</v>
      </c>
      <c r="G10" s="1321"/>
      <c r="H10" s="1321">
        <f t="shared" si="3"/>
        <v>0</v>
      </c>
      <c r="I10" s="1321"/>
      <c r="J10" s="1321">
        <f t="shared" si="4"/>
        <v>0</v>
      </c>
      <c r="K10" s="1321"/>
      <c r="L10" s="1322">
        <f t="shared" si="5"/>
        <v>0</v>
      </c>
      <c r="M10" s="1321"/>
      <c r="N10" s="1322">
        <f t="shared" si="6"/>
        <v>0</v>
      </c>
      <c r="O10" s="1321"/>
      <c r="P10" s="1322">
        <f t="shared" si="7"/>
        <v>0</v>
      </c>
      <c r="Q10" s="1322"/>
      <c r="R10" s="1322">
        <f t="shared" si="8"/>
        <v>0</v>
      </c>
      <c r="S10" s="1321"/>
      <c r="T10" s="1321">
        <f t="shared" si="9"/>
        <v>0</v>
      </c>
      <c r="U10" s="1321"/>
      <c r="V10" s="1321">
        <f t="shared" si="10"/>
        <v>0</v>
      </c>
      <c r="W10" s="1321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320"/>
      <c r="C11" s="1321"/>
      <c r="D11" s="1322">
        <f t="shared" si="0"/>
        <v>0</v>
      </c>
      <c r="E11" s="1321"/>
      <c r="F11" s="1321">
        <f t="shared" si="2"/>
        <v>0</v>
      </c>
      <c r="G11" s="1321"/>
      <c r="H11" s="1321">
        <f t="shared" si="3"/>
        <v>0</v>
      </c>
      <c r="I11" s="1321"/>
      <c r="J11" s="1321">
        <f t="shared" si="4"/>
        <v>0</v>
      </c>
      <c r="K11" s="1321"/>
      <c r="L11" s="1322">
        <f t="shared" si="5"/>
        <v>0</v>
      </c>
      <c r="M11" s="1321"/>
      <c r="N11" s="1322">
        <f t="shared" si="6"/>
        <v>0</v>
      </c>
      <c r="O11" s="1321"/>
      <c r="P11" s="1322">
        <f t="shared" si="7"/>
        <v>0</v>
      </c>
      <c r="Q11" s="1322"/>
      <c r="R11" s="1322">
        <f t="shared" si="8"/>
        <v>0</v>
      </c>
      <c r="S11" s="1321"/>
      <c r="T11" s="1321">
        <f>341*S11</f>
        <v>0</v>
      </c>
      <c r="U11" s="1321"/>
      <c r="V11" s="1321">
        <f t="shared" si="10"/>
        <v>0</v>
      </c>
      <c r="W11" s="132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156343</v>
      </c>
      <c r="D12" s="18">
        <f t="shared" si="12"/>
        <v>152043.56749999998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169988.56749999998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26" t="s">
        <v>174</v>
      </c>
      <c r="K14" s="30" t="s">
        <v>36</v>
      </c>
      <c r="L14" s="1326" t="s">
        <v>403</v>
      </c>
      <c r="M14" s="30" t="s">
        <v>429</v>
      </c>
      <c r="N14" s="30" t="s">
        <v>442</v>
      </c>
      <c r="O14" s="1326" t="s">
        <v>114</v>
      </c>
      <c r="P14" s="30" t="s">
        <v>70</v>
      </c>
      <c r="Q14" s="1958" t="s">
        <v>378</v>
      </c>
      <c r="R14" s="1959"/>
      <c r="S14" s="1326" t="s">
        <v>401</v>
      </c>
      <c r="T14" s="1893" t="s">
        <v>46</v>
      </c>
      <c r="U14" s="1318" t="s">
        <v>176</v>
      </c>
      <c r="V14" s="1918">
        <v>100333</v>
      </c>
      <c r="W14" s="1926"/>
      <c r="X14" s="1919"/>
    </row>
    <row r="15" spans="1:25" ht="22.5" customHeight="1" x14ac:dyDescent="0.25">
      <c r="A15" s="100" t="s">
        <v>38</v>
      </c>
      <c r="B15" s="1918">
        <v>435871</v>
      </c>
      <c r="C15" s="1919"/>
      <c r="D15" s="1323">
        <v>130</v>
      </c>
      <c r="E15" s="1323">
        <v>2100</v>
      </c>
      <c r="F15" s="1323">
        <v>24660</v>
      </c>
      <c r="G15" s="1323">
        <v>0</v>
      </c>
      <c r="H15" s="1323">
        <v>161</v>
      </c>
      <c r="I15" s="1323">
        <v>110</v>
      </c>
      <c r="J15" s="1323">
        <v>4</v>
      </c>
      <c r="K15" s="1323">
        <v>71</v>
      </c>
      <c r="L15" s="1323">
        <v>0</v>
      </c>
      <c r="M15" s="1323">
        <v>0</v>
      </c>
      <c r="N15" s="1323">
        <v>0</v>
      </c>
      <c r="O15" s="1323">
        <v>0</v>
      </c>
      <c r="P15" s="1323">
        <v>100</v>
      </c>
      <c r="Q15" s="1918">
        <v>10</v>
      </c>
      <c r="R15" s="1919"/>
      <c r="S15" s="1318">
        <v>6</v>
      </c>
      <c r="T15" s="1893"/>
      <c r="U15" s="1318" t="s">
        <v>64</v>
      </c>
      <c r="V15" s="1920">
        <v>148654</v>
      </c>
      <c r="W15" s="1920"/>
      <c r="X15" s="1920"/>
    </row>
    <row r="16" spans="1:25" ht="24.75" customHeight="1" x14ac:dyDescent="0.25">
      <c r="A16" s="100" t="s">
        <v>39</v>
      </c>
      <c r="B16" s="1918">
        <v>6961</v>
      </c>
      <c r="C16" s="1919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1920"/>
      <c r="R16" s="1920"/>
      <c r="S16" s="1323"/>
      <c r="T16" s="1912" t="s">
        <v>55</v>
      </c>
      <c r="U16" s="1912"/>
      <c r="V16" s="1925">
        <f>Y12</f>
        <v>169988.56749999998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323"/>
      <c r="E17" s="1323"/>
      <c r="F17" s="1323"/>
      <c r="G17" s="1323"/>
      <c r="H17" s="1323"/>
      <c r="I17" s="1323"/>
      <c r="J17" s="1323"/>
      <c r="K17" s="1323"/>
      <c r="L17" s="1323"/>
      <c r="M17" s="1323"/>
      <c r="N17" s="1323"/>
      <c r="O17" s="1323"/>
      <c r="P17" s="1323"/>
      <c r="Q17" s="1883"/>
      <c r="R17" s="1883"/>
      <c r="S17" s="1320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156343</v>
      </c>
      <c r="C18" s="1919"/>
      <c r="D18" s="1324">
        <f>E12</f>
        <v>0</v>
      </c>
      <c r="E18" s="1324">
        <f>G12</f>
        <v>0</v>
      </c>
      <c r="F18" s="1324">
        <f>I12</f>
        <v>970</v>
      </c>
      <c r="G18" s="1324">
        <f>K12</f>
        <v>0</v>
      </c>
      <c r="H18" s="1323"/>
      <c r="I18" s="1324">
        <f>U12</f>
        <v>0</v>
      </c>
      <c r="J18" s="1323"/>
      <c r="K18" s="1324">
        <f>W12</f>
        <v>0</v>
      </c>
      <c r="L18" s="1323"/>
      <c r="M18" s="1324">
        <f>M12</f>
        <v>0</v>
      </c>
      <c r="N18" s="1324">
        <f>O12</f>
        <v>0</v>
      </c>
      <c r="O18" s="1325">
        <f>Q12</f>
        <v>0</v>
      </c>
      <c r="P18" s="1324"/>
      <c r="Q18" s="1920"/>
      <c r="R18" s="1920"/>
      <c r="S18" s="1318"/>
      <c r="T18" s="1912" t="s">
        <v>57</v>
      </c>
      <c r="U18" s="1912"/>
      <c r="V18" s="1920">
        <v>1020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286489</v>
      </c>
      <c r="C19" s="1919"/>
      <c r="D19" s="1323">
        <f>D15+D16+D17-D18</f>
        <v>130</v>
      </c>
      <c r="E19" s="1323">
        <f t="shared" ref="E19:N19" si="13">E15+E16+E17-E18</f>
        <v>2100</v>
      </c>
      <c r="F19" s="1323">
        <f t="shared" si="13"/>
        <v>23690</v>
      </c>
      <c r="G19" s="1323">
        <f t="shared" si="13"/>
        <v>0</v>
      </c>
      <c r="H19" s="1323">
        <f t="shared" si="13"/>
        <v>161</v>
      </c>
      <c r="I19" s="1323">
        <f t="shared" si="13"/>
        <v>110</v>
      </c>
      <c r="J19" s="1323">
        <f t="shared" si="13"/>
        <v>4</v>
      </c>
      <c r="K19" s="1323">
        <f t="shared" si="13"/>
        <v>71</v>
      </c>
      <c r="L19" s="1323">
        <f t="shared" si="13"/>
        <v>0</v>
      </c>
      <c r="M19" s="1323">
        <f t="shared" si="13"/>
        <v>0</v>
      </c>
      <c r="N19" s="1323">
        <f t="shared" si="13"/>
        <v>0</v>
      </c>
      <c r="O19" s="1323">
        <f>O15+O16+O17-O18</f>
        <v>0</v>
      </c>
      <c r="P19" s="1323">
        <f t="shared" ref="P19:Q19" si="14">P15+P16+P17-P18</f>
        <v>100</v>
      </c>
      <c r="Q19" s="1918">
        <f t="shared" si="14"/>
        <v>10</v>
      </c>
      <c r="R19" s="1919"/>
      <c r="S19" s="1318">
        <f>S15+S16-S17-S18</f>
        <v>6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275745.66250000003</v>
      </c>
      <c r="C20" s="1945"/>
      <c r="D20" s="290">
        <f>D19*66.41</f>
        <v>8633.2999999999993</v>
      </c>
      <c r="E20" s="290">
        <f>27.9368*E19</f>
        <v>58667.280000000006</v>
      </c>
      <c r="F20" s="290">
        <f>18.31*F19</f>
        <v>433763.89999999997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2046</v>
      </c>
      <c r="T20" s="1915"/>
      <c r="U20" s="49" t="s">
        <v>59</v>
      </c>
      <c r="V20" s="1920">
        <v>6700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870771.14250000007</v>
      </c>
      <c r="C21" s="1951"/>
      <c r="O21" s="1327"/>
      <c r="P21" s="1327"/>
      <c r="Q21" s="1327"/>
      <c r="R21" s="1327"/>
      <c r="T21" s="1952" t="s">
        <v>474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677675</v>
      </c>
      <c r="D22" s="1949"/>
      <c r="E22" s="1949"/>
      <c r="F22" s="1949">
        <f>C22-D22+E22</f>
        <v>677675</v>
      </c>
      <c r="G22" s="1327"/>
      <c r="Q22" s="1327"/>
      <c r="R22" s="1327"/>
      <c r="T22" s="1909" t="s">
        <v>83</v>
      </c>
      <c r="U22" s="50" t="s">
        <v>60</v>
      </c>
      <c r="V22" s="1920">
        <v>22000</v>
      </c>
      <c r="W22" s="1920"/>
      <c r="X22" s="1920"/>
      <c r="Y22" s="1927"/>
    </row>
    <row r="23" spans="1:25" ht="39.75" customHeight="1" x14ac:dyDescent="0.25">
      <c r="A23" s="1327"/>
      <c r="B23" s="1947"/>
      <c r="C23" s="1950"/>
      <c r="D23" s="1950"/>
      <c r="E23" s="1950"/>
      <c r="F23" s="1950"/>
      <c r="G23" s="1327"/>
      <c r="Q23" s="1327"/>
      <c r="R23" s="1327"/>
      <c r="T23" s="1910"/>
      <c r="U23" s="50" t="s">
        <v>61</v>
      </c>
      <c r="V23" s="1920">
        <v>6700</v>
      </c>
      <c r="W23" s="1920"/>
      <c r="X23" s="1920"/>
      <c r="Y23" s="1927"/>
    </row>
    <row r="24" spans="1:25" ht="48" customHeight="1" x14ac:dyDescent="0.25">
      <c r="A24" s="1327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327"/>
      <c r="Q24" s="1327"/>
      <c r="R24" s="1327"/>
      <c r="T24" s="1893" t="s">
        <v>47</v>
      </c>
      <c r="U24" s="51" t="s">
        <v>62</v>
      </c>
      <c r="V24" s="1921">
        <f>V14+V16+V17-V18-V19-V20-V22+V23-V21</f>
        <v>247301.5675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163954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327"/>
      <c r="J33" s="1327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7812-56AE-48C4-98FD-3661A0E3C9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328"/>
      <c r="B3" s="1328"/>
      <c r="C3" s="1328"/>
      <c r="D3" s="1328"/>
      <c r="E3" s="1328"/>
      <c r="F3" s="1328"/>
      <c r="G3" s="1328"/>
      <c r="H3" s="1328"/>
      <c r="I3" s="1328"/>
      <c r="J3" s="1328"/>
      <c r="K3" s="1328"/>
      <c r="L3" s="1328"/>
      <c r="M3" s="1328"/>
      <c r="N3" s="1328"/>
      <c r="O3" s="1328"/>
      <c r="P3" s="1328"/>
      <c r="Q3" s="1328"/>
      <c r="R3" s="1328"/>
      <c r="S3" s="1328"/>
      <c r="T3" s="1900" t="s">
        <v>478</v>
      </c>
      <c r="U3" s="1900"/>
      <c r="V3" s="1900"/>
      <c r="W3" s="1900"/>
      <c r="X3" s="1900"/>
      <c r="Y3" s="1900"/>
    </row>
    <row r="4" spans="1:25" s="132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328" customFormat="1" ht="25.5" customHeight="1" x14ac:dyDescent="0.25">
      <c r="A5" s="1901"/>
      <c r="B5" s="1901"/>
      <c r="C5" s="1330" t="s">
        <v>42</v>
      </c>
      <c r="D5" s="1330" t="s">
        <v>43</v>
      </c>
      <c r="E5" s="1330" t="s">
        <v>42</v>
      </c>
      <c r="F5" s="1330" t="s">
        <v>43</v>
      </c>
      <c r="G5" s="1330" t="s">
        <v>42</v>
      </c>
      <c r="H5" s="1330" t="s">
        <v>43</v>
      </c>
      <c r="I5" s="1330" t="s">
        <v>42</v>
      </c>
      <c r="J5" s="1330" t="s">
        <v>43</v>
      </c>
      <c r="K5" s="1330" t="s">
        <v>42</v>
      </c>
      <c r="L5" s="1330" t="s">
        <v>43</v>
      </c>
      <c r="M5" s="1330" t="s">
        <v>42</v>
      </c>
      <c r="N5" s="1330" t="s">
        <v>43</v>
      </c>
      <c r="O5" s="1330" t="s">
        <v>42</v>
      </c>
      <c r="P5" s="1330" t="s">
        <v>43</v>
      </c>
      <c r="Q5" s="1330" t="s">
        <v>42</v>
      </c>
      <c r="R5" s="133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329" t="s">
        <v>71</v>
      </c>
      <c r="C6" s="1332">
        <v>27039</v>
      </c>
      <c r="D6" s="1333">
        <f t="shared" ref="D6:D11" si="0">0.9725*C6</f>
        <v>26295.427500000002</v>
      </c>
      <c r="E6" s="1332"/>
      <c r="F6" s="1333">
        <f>67.1*E6</f>
        <v>0</v>
      </c>
      <c r="G6" s="1332"/>
      <c r="H6" s="1332">
        <f>28.2*G6</f>
        <v>0</v>
      </c>
      <c r="I6" s="1332">
        <v>520</v>
      </c>
      <c r="J6" s="1332">
        <f>18.5*I6</f>
        <v>9620</v>
      </c>
      <c r="K6" s="1332"/>
      <c r="L6" s="1333">
        <f>28.2368*K6</f>
        <v>0</v>
      </c>
      <c r="M6" s="1332"/>
      <c r="N6" s="1333">
        <f>M6*47.6525</f>
        <v>0</v>
      </c>
      <c r="O6" s="1332"/>
      <c r="P6" s="1333">
        <f>O6*8.9</f>
        <v>0</v>
      </c>
      <c r="Q6" s="1333"/>
      <c r="R6" s="1333">
        <f>241*Q6</f>
        <v>0</v>
      </c>
      <c r="S6" s="1332"/>
      <c r="T6" s="1332">
        <f>241*S6</f>
        <v>0</v>
      </c>
      <c r="U6" s="1332"/>
      <c r="V6" s="1332">
        <f>332*U6</f>
        <v>0</v>
      </c>
      <c r="W6" s="1332"/>
      <c r="X6" s="19">
        <f>W6*100</f>
        <v>0</v>
      </c>
      <c r="Y6" s="20">
        <f t="shared" ref="Y6:Y12" si="1">D6+F6+H6+J6+L6+N6+P6+R6+T6+V6+X6</f>
        <v>35915.427500000005</v>
      </c>
    </row>
    <row r="7" spans="1:25" ht="31.5" customHeight="1" x14ac:dyDescent="0.25">
      <c r="A7" s="12">
        <v>1984225578</v>
      </c>
      <c r="B7" s="1329" t="s">
        <v>72</v>
      </c>
      <c r="C7" s="1332">
        <v>15686</v>
      </c>
      <c r="D7" s="1333">
        <f t="shared" si="0"/>
        <v>15254.635</v>
      </c>
      <c r="E7" s="1332"/>
      <c r="F7" s="1332">
        <f t="shared" ref="F7:F11" si="2">67.1*E7</f>
        <v>0</v>
      </c>
      <c r="G7" s="1332"/>
      <c r="H7" s="1332">
        <f t="shared" ref="H7:H11" si="3">28.2*G7</f>
        <v>0</v>
      </c>
      <c r="I7" s="1332">
        <v>880</v>
      </c>
      <c r="J7" s="1332">
        <f t="shared" ref="J7:J11" si="4">18.5*I7</f>
        <v>16280</v>
      </c>
      <c r="K7" s="1332"/>
      <c r="L7" s="1333">
        <f t="shared" ref="L7:L11" si="5">28.2368*K7</f>
        <v>0</v>
      </c>
      <c r="M7" s="1332"/>
      <c r="N7" s="1333">
        <f t="shared" ref="N7:N11" si="6">M7*47.6525</f>
        <v>0</v>
      </c>
      <c r="O7" s="1332"/>
      <c r="P7" s="1333">
        <f t="shared" ref="P7:P11" si="7">O7*8.9</f>
        <v>0</v>
      </c>
      <c r="Q7" s="1333"/>
      <c r="R7" s="1333">
        <f t="shared" ref="R7:R11" si="8">241*Q7</f>
        <v>0</v>
      </c>
      <c r="S7" s="1332"/>
      <c r="T7" s="1332">
        <f t="shared" ref="T7:T10" si="9">241*S7</f>
        <v>0</v>
      </c>
      <c r="U7" s="1332"/>
      <c r="V7" s="1332">
        <f t="shared" ref="V7:V11" si="10">332*U7</f>
        <v>0</v>
      </c>
      <c r="W7" s="1332"/>
      <c r="X7" s="19">
        <f t="shared" ref="X7:X11" si="11">W7*100</f>
        <v>0</v>
      </c>
      <c r="Y7" s="20">
        <f t="shared" si="1"/>
        <v>31534.635000000002</v>
      </c>
    </row>
    <row r="8" spans="1:25" ht="35.25" customHeight="1" x14ac:dyDescent="0.25">
      <c r="A8" s="12">
        <v>1967020280</v>
      </c>
      <c r="B8" s="1329" t="s">
        <v>427</v>
      </c>
      <c r="C8" s="1332">
        <v>17425</v>
      </c>
      <c r="D8" s="1333">
        <f t="shared" si="0"/>
        <v>16945.8125</v>
      </c>
      <c r="E8" s="1332"/>
      <c r="F8" s="1332">
        <f t="shared" si="2"/>
        <v>0</v>
      </c>
      <c r="G8" s="1332">
        <v>30</v>
      </c>
      <c r="H8" s="1333">
        <f t="shared" si="3"/>
        <v>846</v>
      </c>
      <c r="I8" s="1332">
        <v>1350</v>
      </c>
      <c r="J8" s="1332">
        <f t="shared" si="4"/>
        <v>24975</v>
      </c>
      <c r="K8" s="1332"/>
      <c r="L8" s="1333">
        <f t="shared" si="5"/>
        <v>0</v>
      </c>
      <c r="M8" s="1332"/>
      <c r="N8" s="1333">
        <f t="shared" si="6"/>
        <v>0</v>
      </c>
      <c r="O8" s="1332"/>
      <c r="P8" s="1333">
        <f t="shared" si="7"/>
        <v>0</v>
      </c>
      <c r="Q8" s="1333"/>
      <c r="R8" s="1333">
        <f t="shared" si="8"/>
        <v>0</v>
      </c>
      <c r="S8" s="1332"/>
      <c r="T8" s="1332">
        <f t="shared" si="9"/>
        <v>0</v>
      </c>
      <c r="U8" s="1332"/>
      <c r="V8" s="1332">
        <f t="shared" si="10"/>
        <v>0</v>
      </c>
      <c r="W8" s="1332"/>
      <c r="X8" s="19">
        <f t="shared" si="11"/>
        <v>0</v>
      </c>
      <c r="Y8" s="20">
        <f t="shared" si="1"/>
        <v>42766.8125</v>
      </c>
    </row>
    <row r="9" spans="1:25" ht="38.25" customHeight="1" x14ac:dyDescent="0.25">
      <c r="A9" s="12">
        <v>1984225580</v>
      </c>
      <c r="B9" s="1329" t="s">
        <v>75</v>
      </c>
      <c r="C9" s="1332">
        <v>27010</v>
      </c>
      <c r="D9" s="1333">
        <f t="shared" si="0"/>
        <v>26267.225000000002</v>
      </c>
      <c r="E9" s="1332"/>
      <c r="F9" s="1332">
        <f t="shared" si="2"/>
        <v>0</v>
      </c>
      <c r="G9" s="1332"/>
      <c r="H9" s="1332">
        <f t="shared" si="3"/>
        <v>0</v>
      </c>
      <c r="I9" s="1332">
        <v>5000</v>
      </c>
      <c r="J9" s="1332">
        <f t="shared" si="4"/>
        <v>92500</v>
      </c>
      <c r="K9" s="1332"/>
      <c r="L9" s="1333">
        <f t="shared" si="5"/>
        <v>0</v>
      </c>
      <c r="M9" s="1332"/>
      <c r="N9" s="1333">
        <f t="shared" si="6"/>
        <v>0</v>
      </c>
      <c r="O9" s="1332"/>
      <c r="P9" s="1333">
        <f t="shared" si="7"/>
        <v>0</v>
      </c>
      <c r="Q9" s="1333"/>
      <c r="R9" s="1333">
        <f t="shared" si="8"/>
        <v>0</v>
      </c>
      <c r="S9" s="1332"/>
      <c r="T9" s="1332">
        <f t="shared" si="9"/>
        <v>0</v>
      </c>
      <c r="U9" s="1332"/>
      <c r="V9" s="1332">
        <f t="shared" si="10"/>
        <v>0</v>
      </c>
      <c r="W9" s="1332"/>
      <c r="X9" s="19">
        <f t="shared" si="11"/>
        <v>0</v>
      </c>
      <c r="Y9" s="20">
        <f t="shared" si="1"/>
        <v>118767.22500000001</v>
      </c>
    </row>
    <row r="10" spans="1:25" ht="35.25" customHeight="1" x14ac:dyDescent="0.25">
      <c r="A10" s="12">
        <v>1409935199</v>
      </c>
      <c r="C10" s="1332"/>
      <c r="D10" s="1333">
        <f t="shared" si="0"/>
        <v>0</v>
      </c>
      <c r="E10" s="1332"/>
      <c r="F10" s="1332">
        <f t="shared" si="2"/>
        <v>0</v>
      </c>
      <c r="G10" s="1332"/>
      <c r="H10" s="1332">
        <f t="shared" si="3"/>
        <v>0</v>
      </c>
      <c r="I10" s="1332">
        <v>5000</v>
      </c>
      <c r="J10" s="1332">
        <f t="shared" si="4"/>
        <v>92500</v>
      </c>
      <c r="K10" s="1332"/>
      <c r="L10" s="1333">
        <f t="shared" si="5"/>
        <v>0</v>
      </c>
      <c r="M10" s="1332"/>
      <c r="N10" s="1333">
        <f t="shared" si="6"/>
        <v>0</v>
      </c>
      <c r="O10" s="1332"/>
      <c r="P10" s="1333">
        <f t="shared" si="7"/>
        <v>0</v>
      </c>
      <c r="Q10" s="1333"/>
      <c r="R10" s="1333">
        <f t="shared" si="8"/>
        <v>0</v>
      </c>
      <c r="S10" s="1332"/>
      <c r="T10" s="1332">
        <f t="shared" si="9"/>
        <v>0</v>
      </c>
      <c r="U10" s="1332"/>
      <c r="V10" s="1332">
        <f t="shared" si="10"/>
        <v>0</v>
      </c>
      <c r="W10" s="1332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331"/>
      <c r="C11" s="1332"/>
      <c r="D11" s="1333">
        <f t="shared" si="0"/>
        <v>0</v>
      </c>
      <c r="E11" s="1332"/>
      <c r="F11" s="1332">
        <f t="shared" si="2"/>
        <v>0</v>
      </c>
      <c r="G11" s="1332"/>
      <c r="H11" s="1332">
        <f t="shared" si="3"/>
        <v>0</v>
      </c>
      <c r="I11" s="1332"/>
      <c r="J11" s="1332">
        <f t="shared" si="4"/>
        <v>0</v>
      </c>
      <c r="K11" s="1332"/>
      <c r="L11" s="1333">
        <f t="shared" si="5"/>
        <v>0</v>
      </c>
      <c r="M11" s="1332"/>
      <c r="N11" s="1333">
        <f t="shared" si="6"/>
        <v>0</v>
      </c>
      <c r="O11" s="1332"/>
      <c r="P11" s="1333">
        <f t="shared" si="7"/>
        <v>0</v>
      </c>
      <c r="Q11" s="1333"/>
      <c r="R11" s="1333">
        <f t="shared" si="8"/>
        <v>0</v>
      </c>
      <c r="S11" s="1332"/>
      <c r="T11" s="1332">
        <f>341*S11</f>
        <v>0</v>
      </c>
      <c r="U11" s="1332"/>
      <c r="V11" s="1332">
        <f t="shared" si="10"/>
        <v>0</v>
      </c>
      <c r="W11" s="133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87160</v>
      </c>
      <c r="D12" s="18">
        <f t="shared" si="12"/>
        <v>84763.1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12750</v>
      </c>
      <c r="J12" s="18">
        <f t="shared" si="12"/>
        <v>235875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321484.09999999998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37" t="s">
        <v>174</v>
      </c>
      <c r="K14" s="30" t="s">
        <v>36</v>
      </c>
      <c r="L14" s="1337" t="s">
        <v>403</v>
      </c>
      <c r="M14" s="30" t="s">
        <v>429</v>
      </c>
      <c r="N14" s="30" t="s">
        <v>442</v>
      </c>
      <c r="O14" s="1337" t="s">
        <v>114</v>
      </c>
      <c r="P14" s="30" t="s">
        <v>70</v>
      </c>
      <c r="Q14" s="1958" t="s">
        <v>378</v>
      </c>
      <c r="R14" s="1959"/>
      <c r="S14" s="1337" t="s">
        <v>401</v>
      </c>
      <c r="T14" s="1893" t="s">
        <v>46</v>
      </c>
      <c r="U14" s="1329" t="s">
        <v>176</v>
      </c>
      <c r="V14" s="1918">
        <v>247302</v>
      </c>
      <c r="W14" s="1926"/>
      <c r="X14" s="1919"/>
    </row>
    <row r="15" spans="1:25" ht="22.5" customHeight="1" x14ac:dyDescent="0.25">
      <c r="A15" s="100" t="s">
        <v>38</v>
      </c>
      <c r="B15" s="1918">
        <v>286489</v>
      </c>
      <c r="C15" s="1919"/>
      <c r="D15" s="1334">
        <v>130</v>
      </c>
      <c r="E15" s="1334">
        <v>2100</v>
      </c>
      <c r="F15" s="1334">
        <v>23690</v>
      </c>
      <c r="G15" s="1334">
        <v>0</v>
      </c>
      <c r="H15" s="1334">
        <v>161</v>
      </c>
      <c r="I15" s="1334">
        <v>110</v>
      </c>
      <c r="J15" s="1334">
        <v>4</v>
      </c>
      <c r="K15" s="1334">
        <v>71</v>
      </c>
      <c r="L15" s="1334">
        <v>0</v>
      </c>
      <c r="M15" s="1334">
        <v>0</v>
      </c>
      <c r="N15" s="1334">
        <v>0</v>
      </c>
      <c r="O15" s="1334">
        <v>0</v>
      </c>
      <c r="P15" s="1334">
        <v>100</v>
      </c>
      <c r="Q15" s="1918">
        <v>10</v>
      </c>
      <c r="R15" s="1919"/>
      <c r="S15" s="1329">
        <v>6</v>
      </c>
      <c r="T15" s="1893"/>
      <c r="U15" s="1329" t="s">
        <v>64</v>
      </c>
      <c r="V15" s="1920">
        <v>163954</v>
      </c>
      <c r="W15" s="1920"/>
      <c r="X15" s="1920"/>
    </row>
    <row r="16" spans="1:25" ht="24.75" customHeight="1" x14ac:dyDescent="0.25">
      <c r="A16" s="100" t="s">
        <v>39</v>
      </c>
      <c r="B16" s="1918">
        <v>93506</v>
      </c>
      <c r="C16" s="1919"/>
      <c r="D16" s="1334"/>
      <c r="E16" s="1334"/>
      <c r="F16" s="1334"/>
      <c r="G16" s="1334"/>
      <c r="H16" s="1334"/>
      <c r="I16" s="1334"/>
      <c r="J16" s="1334"/>
      <c r="K16" s="1334"/>
      <c r="L16" s="1334"/>
      <c r="M16" s="1334"/>
      <c r="N16" s="1334"/>
      <c r="O16" s="1334"/>
      <c r="P16" s="1334"/>
      <c r="Q16" s="1920"/>
      <c r="R16" s="1920"/>
      <c r="S16" s="1334"/>
      <c r="T16" s="1912" t="s">
        <v>55</v>
      </c>
      <c r="U16" s="1912"/>
      <c r="V16" s="1925">
        <f>Y12</f>
        <v>321484.09999999998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1883"/>
      <c r="R17" s="1883"/>
      <c r="S17" s="1331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87160</v>
      </c>
      <c r="C18" s="1919"/>
      <c r="D18" s="1335">
        <f>E12</f>
        <v>0</v>
      </c>
      <c r="E18" s="1335">
        <f>G12</f>
        <v>30</v>
      </c>
      <c r="F18" s="1335">
        <f>I12</f>
        <v>12750</v>
      </c>
      <c r="G18" s="1335">
        <f>K12</f>
        <v>0</v>
      </c>
      <c r="H18" s="1334"/>
      <c r="I18" s="1335">
        <f>U12</f>
        <v>0</v>
      </c>
      <c r="J18" s="1334"/>
      <c r="K18" s="1335">
        <f>W12</f>
        <v>0</v>
      </c>
      <c r="L18" s="1334"/>
      <c r="M18" s="1335">
        <f>M12</f>
        <v>0</v>
      </c>
      <c r="N18" s="1335">
        <f>O12</f>
        <v>0</v>
      </c>
      <c r="O18" s="1336">
        <f>Q12</f>
        <v>0</v>
      </c>
      <c r="P18" s="1335"/>
      <c r="Q18" s="1920"/>
      <c r="R18" s="1920"/>
      <c r="S18" s="1329"/>
      <c r="T18" s="1912" t="s">
        <v>57</v>
      </c>
      <c r="U18" s="1912"/>
      <c r="V18" s="1920">
        <v>2060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292835</v>
      </c>
      <c r="C19" s="1919"/>
      <c r="D19" s="1334">
        <f>D15+D16+D17-D18</f>
        <v>130</v>
      </c>
      <c r="E19" s="1334">
        <f t="shared" ref="E19:N19" si="13">E15+E16+E17-E18</f>
        <v>2070</v>
      </c>
      <c r="F19" s="1334">
        <f t="shared" si="13"/>
        <v>10940</v>
      </c>
      <c r="G19" s="1334">
        <f t="shared" si="13"/>
        <v>0</v>
      </c>
      <c r="H19" s="1334">
        <f t="shared" si="13"/>
        <v>161</v>
      </c>
      <c r="I19" s="1334">
        <f t="shared" si="13"/>
        <v>110</v>
      </c>
      <c r="J19" s="1334">
        <f t="shared" si="13"/>
        <v>4</v>
      </c>
      <c r="K19" s="1334">
        <f t="shared" si="13"/>
        <v>71</v>
      </c>
      <c r="L19" s="1334">
        <f t="shared" si="13"/>
        <v>0</v>
      </c>
      <c r="M19" s="1334">
        <f t="shared" si="13"/>
        <v>0</v>
      </c>
      <c r="N19" s="1334">
        <f t="shared" si="13"/>
        <v>0</v>
      </c>
      <c r="O19" s="1334">
        <f>O15+O16+O17-O18</f>
        <v>0</v>
      </c>
      <c r="P19" s="1334">
        <f t="shared" ref="P19:Q19" si="14">P15+P16+P17-P18</f>
        <v>100</v>
      </c>
      <c r="Q19" s="1918">
        <f t="shared" si="14"/>
        <v>10</v>
      </c>
      <c r="R19" s="1919"/>
      <c r="S19" s="1329">
        <f>S15+S16-S17-S18</f>
        <v>6</v>
      </c>
      <c r="T19" s="1914" t="s">
        <v>48</v>
      </c>
      <c r="U19" s="49" t="s">
        <v>58</v>
      </c>
      <c r="V19" s="1920">
        <v>677675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281853.6875</v>
      </c>
      <c r="C20" s="1945"/>
      <c r="D20" s="290">
        <f>D19*66.41</f>
        <v>8633.2999999999993</v>
      </c>
      <c r="E20" s="290">
        <f>27.9368*E19</f>
        <v>57829.176000000007</v>
      </c>
      <c r="F20" s="290">
        <f>18.31*F19</f>
        <v>200311.4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2046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642588.56350000005</v>
      </c>
      <c r="C21" s="1951"/>
      <c r="O21" s="1338"/>
      <c r="P21" s="1338"/>
      <c r="Q21" s="1338"/>
      <c r="R21" s="1338"/>
      <c r="T21" s="1952" t="s">
        <v>474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677675</v>
      </c>
      <c r="D22" s="1949">
        <v>677675</v>
      </c>
      <c r="E22" s="1949">
        <v>90000</v>
      </c>
      <c r="F22" s="1949">
        <f>C22-D22+E22</f>
        <v>90000</v>
      </c>
      <c r="G22" s="1338"/>
      <c r="Q22" s="1338"/>
      <c r="R22" s="1338"/>
      <c r="T22" s="1909" t="s">
        <v>83</v>
      </c>
      <c r="U22" s="50" t="s">
        <v>60</v>
      </c>
      <c r="V22" s="1920">
        <v>537490</v>
      </c>
      <c r="W22" s="1920"/>
      <c r="X22" s="1920"/>
      <c r="Y22" s="1927"/>
    </row>
    <row r="23" spans="1:25" ht="39.75" customHeight="1" x14ac:dyDescent="0.25">
      <c r="A23" s="1338"/>
      <c r="B23" s="1947"/>
      <c r="C23" s="1950"/>
      <c r="D23" s="1950"/>
      <c r="E23" s="1950"/>
      <c r="F23" s="1950"/>
      <c r="G23" s="1338"/>
      <c r="Q23" s="1338"/>
      <c r="R23" s="1338"/>
      <c r="T23" s="1910"/>
      <c r="U23" s="50" t="s">
        <v>61</v>
      </c>
      <c r="V23" s="1920">
        <v>677675</v>
      </c>
      <c r="W23" s="1920"/>
      <c r="X23" s="1920"/>
      <c r="Y23" s="1927"/>
    </row>
    <row r="24" spans="1:25" ht="48" customHeight="1" x14ac:dyDescent="0.25">
      <c r="A24" s="1338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338"/>
      <c r="Q24" s="1338"/>
      <c r="R24" s="1338"/>
      <c r="T24" s="1893" t="s">
        <v>47</v>
      </c>
      <c r="U24" s="51" t="s">
        <v>62</v>
      </c>
      <c r="V24" s="1921">
        <f>V14+V16+V17-V18-V19-V20-V22+V23-V21</f>
        <v>29236.099999999977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23769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338"/>
      <c r="J33" s="1338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92F7-C8CA-4298-9605-AB49FA1A5EFA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344"/>
      <c r="B3" s="1344"/>
      <c r="C3" s="1344"/>
      <c r="D3" s="1344"/>
      <c r="E3" s="1344"/>
      <c r="F3" s="1344"/>
      <c r="G3" s="1344"/>
      <c r="H3" s="1344"/>
      <c r="I3" s="1344"/>
      <c r="J3" s="1344"/>
      <c r="K3" s="1344"/>
      <c r="L3" s="1344"/>
      <c r="M3" s="1344"/>
      <c r="N3" s="1344"/>
      <c r="O3" s="1344"/>
      <c r="P3" s="1344"/>
      <c r="Q3" s="1344"/>
      <c r="R3" s="1344"/>
      <c r="S3" s="1344"/>
      <c r="T3" s="1900" t="s">
        <v>480</v>
      </c>
      <c r="U3" s="1900"/>
      <c r="V3" s="1900"/>
      <c r="W3" s="1900"/>
      <c r="X3" s="1900"/>
      <c r="Y3" s="1900"/>
    </row>
    <row r="4" spans="1:25" s="1344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344" customFormat="1" ht="25.5" customHeight="1" x14ac:dyDescent="0.25">
      <c r="A5" s="1901"/>
      <c r="B5" s="1901"/>
      <c r="C5" s="1343" t="s">
        <v>42</v>
      </c>
      <c r="D5" s="1343" t="s">
        <v>43</v>
      </c>
      <c r="E5" s="1343" t="s">
        <v>42</v>
      </c>
      <c r="F5" s="1343" t="s">
        <v>43</v>
      </c>
      <c r="G5" s="1343" t="s">
        <v>42</v>
      </c>
      <c r="H5" s="1343" t="s">
        <v>43</v>
      </c>
      <c r="I5" s="1343" t="s">
        <v>42</v>
      </c>
      <c r="J5" s="1343" t="s">
        <v>43</v>
      </c>
      <c r="K5" s="1343" t="s">
        <v>42</v>
      </c>
      <c r="L5" s="1343" t="s">
        <v>43</v>
      </c>
      <c r="M5" s="1343" t="s">
        <v>42</v>
      </c>
      <c r="N5" s="1343" t="s">
        <v>43</v>
      </c>
      <c r="O5" s="1343" t="s">
        <v>42</v>
      </c>
      <c r="P5" s="1343" t="s">
        <v>43</v>
      </c>
      <c r="Q5" s="1343" t="s">
        <v>42</v>
      </c>
      <c r="R5" s="1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342" t="s">
        <v>71</v>
      </c>
      <c r="C6" s="1340">
        <v>34411</v>
      </c>
      <c r="D6" s="1339">
        <f t="shared" ref="D6:D11" si="0">0.9725*C6</f>
        <v>33464.697500000002</v>
      </c>
      <c r="E6" s="1340"/>
      <c r="F6" s="1339">
        <f>67.1*E6</f>
        <v>0</v>
      </c>
      <c r="G6" s="1340">
        <v>100</v>
      </c>
      <c r="H6" s="1340">
        <f>28.2*G6</f>
        <v>2820</v>
      </c>
      <c r="I6" s="1340">
        <v>1440</v>
      </c>
      <c r="J6" s="1340">
        <f>18.5*I6</f>
        <v>26640</v>
      </c>
      <c r="K6" s="1340"/>
      <c r="L6" s="1339">
        <f>28.2368*K6</f>
        <v>0</v>
      </c>
      <c r="M6" s="1340"/>
      <c r="N6" s="1339">
        <f>M6*47.6525</f>
        <v>0</v>
      </c>
      <c r="O6" s="1340"/>
      <c r="P6" s="1339">
        <f>O6*8.9</f>
        <v>0</v>
      </c>
      <c r="Q6" s="1339"/>
      <c r="R6" s="1339">
        <f>241*Q6</f>
        <v>0</v>
      </c>
      <c r="S6" s="1340"/>
      <c r="T6" s="1340">
        <f>241*S6</f>
        <v>0</v>
      </c>
      <c r="U6" s="1340"/>
      <c r="V6" s="1340">
        <f>332*U6</f>
        <v>0</v>
      </c>
      <c r="W6" s="1340"/>
      <c r="X6" s="19">
        <f>W6*100</f>
        <v>0</v>
      </c>
      <c r="Y6" s="20">
        <f t="shared" ref="Y6:Y12" si="1">D6+F6+H6+J6+L6+N6+P6+R6+T6+V6+X6</f>
        <v>62924.697500000002</v>
      </c>
    </row>
    <row r="7" spans="1:25" ht="31.5" customHeight="1" x14ac:dyDescent="0.25">
      <c r="A7" s="12">
        <v>1984225578</v>
      </c>
      <c r="B7" s="1342" t="s">
        <v>72</v>
      </c>
      <c r="C7" s="1340">
        <v>73084</v>
      </c>
      <c r="D7" s="1339">
        <f t="shared" si="0"/>
        <v>71074.19</v>
      </c>
      <c r="E7" s="1340"/>
      <c r="F7" s="1340">
        <f t="shared" ref="F7:F11" si="2">67.1*E7</f>
        <v>0</v>
      </c>
      <c r="G7" s="1340">
        <v>50</v>
      </c>
      <c r="H7" s="1340">
        <f t="shared" ref="H7:H11" si="3">28.2*G7</f>
        <v>1410</v>
      </c>
      <c r="I7" s="1340">
        <v>620</v>
      </c>
      <c r="J7" s="1340">
        <f t="shared" ref="J7:J11" si="4">18.5*I7</f>
        <v>11470</v>
      </c>
      <c r="K7" s="1340"/>
      <c r="L7" s="1339">
        <f t="shared" ref="L7:L11" si="5">28.2368*K7</f>
        <v>0</v>
      </c>
      <c r="M7" s="1340"/>
      <c r="N7" s="1339">
        <f t="shared" ref="N7:N11" si="6">M7*47.6525</f>
        <v>0</v>
      </c>
      <c r="O7" s="1340"/>
      <c r="P7" s="1339">
        <f t="shared" ref="P7:P11" si="7">O7*8.9</f>
        <v>0</v>
      </c>
      <c r="Q7" s="1339"/>
      <c r="R7" s="1339">
        <f t="shared" ref="R7:R11" si="8">241*Q7</f>
        <v>0</v>
      </c>
      <c r="S7" s="1340"/>
      <c r="T7" s="1340">
        <f t="shared" ref="T7:T10" si="9">241*S7</f>
        <v>0</v>
      </c>
      <c r="U7" s="1340">
        <v>27</v>
      </c>
      <c r="V7" s="1340">
        <f t="shared" ref="V7:V11" si="10">332*U7</f>
        <v>8964</v>
      </c>
      <c r="W7" s="1340"/>
      <c r="X7" s="19">
        <f t="shared" ref="X7:X11" si="11">W7*100</f>
        <v>0</v>
      </c>
      <c r="Y7" s="20">
        <f t="shared" si="1"/>
        <v>92918.19</v>
      </c>
    </row>
    <row r="8" spans="1:25" ht="35.25" customHeight="1" x14ac:dyDescent="0.25">
      <c r="A8" s="12">
        <v>1967020280</v>
      </c>
      <c r="B8" s="1342" t="s">
        <v>427</v>
      </c>
      <c r="C8" s="1340">
        <v>32887</v>
      </c>
      <c r="D8" s="1339">
        <f t="shared" si="0"/>
        <v>31982.607500000002</v>
      </c>
      <c r="E8" s="1340"/>
      <c r="F8" s="1340">
        <f t="shared" si="2"/>
        <v>0</v>
      </c>
      <c r="G8" s="1340">
        <v>40</v>
      </c>
      <c r="H8" s="1339">
        <f t="shared" si="3"/>
        <v>1128</v>
      </c>
      <c r="I8" s="1340">
        <v>1150</v>
      </c>
      <c r="J8" s="1340">
        <f t="shared" si="4"/>
        <v>21275</v>
      </c>
      <c r="K8" s="1340"/>
      <c r="L8" s="1339">
        <f t="shared" si="5"/>
        <v>0</v>
      </c>
      <c r="M8" s="1340"/>
      <c r="N8" s="1339">
        <f t="shared" si="6"/>
        <v>0</v>
      </c>
      <c r="O8" s="1340"/>
      <c r="P8" s="1339">
        <f t="shared" si="7"/>
        <v>0</v>
      </c>
      <c r="Q8" s="1339"/>
      <c r="R8" s="1339">
        <f t="shared" si="8"/>
        <v>0</v>
      </c>
      <c r="S8" s="1340"/>
      <c r="T8" s="1340">
        <f t="shared" si="9"/>
        <v>0</v>
      </c>
      <c r="U8" s="1340"/>
      <c r="V8" s="1340">
        <f t="shared" si="10"/>
        <v>0</v>
      </c>
      <c r="W8" s="1340"/>
      <c r="X8" s="19">
        <f t="shared" si="11"/>
        <v>0</v>
      </c>
      <c r="Y8" s="20">
        <f t="shared" si="1"/>
        <v>54385.607499999998</v>
      </c>
    </row>
    <row r="9" spans="1:25" ht="38.25" customHeight="1" x14ac:dyDescent="0.25">
      <c r="A9" s="12">
        <v>1984225580</v>
      </c>
      <c r="B9" s="1342" t="s">
        <v>75</v>
      </c>
      <c r="C9" s="1340">
        <v>26423</v>
      </c>
      <c r="D9" s="1339">
        <f t="shared" si="0"/>
        <v>25696.3675</v>
      </c>
      <c r="E9" s="1340"/>
      <c r="F9" s="1340">
        <f t="shared" si="2"/>
        <v>0</v>
      </c>
      <c r="G9" s="1340">
        <v>40</v>
      </c>
      <c r="H9" s="1340">
        <f t="shared" si="3"/>
        <v>1128</v>
      </c>
      <c r="I9" s="1340">
        <v>2340</v>
      </c>
      <c r="J9" s="1340">
        <f t="shared" si="4"/>
        <v>43290</v>
      </c>
      <c r="K9" s="1340"/>
      <c r="L9" s="1339">
        <f t="shared" si="5"/>
        <v>0</v>
      </c>
      <c r="M9" s="1340"/>
      <c r="N9" s="1339">
        <f t="shared" si="6"/>
        <v>0</v>
      </c>
      <c r="O9" s="1340"/>
      <c r="P9" s="1339">
        <f t="shared" si="7"/>
        <v>0</v>
      </c>
      <c r="Q9" s="1339"/>
      <c r="R9" s="1339">
        <f t="shared" si="8"/>
        <v>0</v>
      </c>
      <c r="S9" s="1340"/>
      <c r="T9" s="1340">
        <f t="shared" si="9"/>
        <v>0</v>
      </c>
      <c r="U9" s="1340">
        <v>7</v>
      </c>
      <c r="V9" s="1340">
        <f t="shared" si="10"/>
        <v>2324</v>
      </c>
      <c r="W9" s="1340"/>
      <c r="X9" s="19">
        <f t="shared" si="11"/>
        <v>0</v>
      </c>
      <c r="Y9" s="20">
        <f t="shared" si="1"/>
        <v>72438.367499999993</v>
      </c>
    </row>
    <row r="10" spans="1:25" ht="35.25" customHeight="1" x14ac:dyDescent="0.25">
      <c r="A10" s="12">
        <v>1409935199</v>
      </c>
      <c r="C10" s="1340"/>
      <c r="D10" s="1339">
        <f t="shared" si="0"/>
        <v>0</v>
      </c>
      <c r="E10" s="1340"/>
      <c r="F10" s="1340">
        <f t="shared" si="2"/>
        <v>0</v>
      </c>
      <c r="G10" s="1340"/>
      <c r="H10" s="1340">
        <f t="shared" si="3"/>
        <v>0</v>
      </c>
      <c r="I10" s="1340"/>
      <c r="J10" s="1340">
        <f t="shared" si="4"/>
        <v>0</v>
      </c>
      <c r="K10" s="1340"/>
      <c r="L10" s="1339">
        <f t="shared" si="5"/>
        <v>0</v>
      </c>
      <c r="M10" s="1340"/>
      <c r="N10" s="1339">
        <f t="shared" si="6"/>
        <v>0</v>
      </c>
      <c r="O10" s="1340"/>
      <c r="P10" s="1339">
        <f t="shared" si="7"/>
        <v>0</v>
      </c>
      <c r="Q10" s="1339"/>
      <c r="R10" s="1339">
        <f t="shared" si="8"/>
        <v>0</v>
      </c>
      <c r="S10" s="1340"/>
      <c r="T10" s="1340">
        <f t="shared" si="9"/>
        <v>0</v>
      </c>
      <c r="U10" s="1340"/>
      <c r="V10" s="1340">
        <f t="shared" si="10"/>
        <v>0</v>
      </c>
      <c r="W10" s="1340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41"/>
      <c r="C11" s="1340"/>
      <c r="D11" s="1339">
        <f t="shared" si="0"/>
        <v>0</v>
      </c>
      <c r="E11" s="1340"/>
      <c r="F11" s="1340">
        <f t="shared" si="2"/>
        <v>0</v>
      </c>
      <c r="G11" s="1340"/>
      <c r="H11" s="1340">
        <f t="shared" si="3"/>
        <v>0</v>
      </c>
      <c r="I11" s="1340"/>
      <c r="J11" s="1340">
        <f t="shared" si="4"/>
        <v>0</v>
      </c>
      <c r="K11" s="1340"/>
      <c r="L11" s="1339">
        <f t="shared" si="5"/>
        <v>0</v>
      </c>
      <c r="M11" s="1340"/>
      <c r="N11" s="1339">
        <f t="shared" si="6"/>
        <v>0</v>
      </c>
      <c r="O11" s="1340"/>
      <c r="P11" s="1339">
        <f t="shared" si="7"/>
        <v>0</v>
      </c>
      <c r="Q11" s="1339"/>
      <c r="R11" s="1339">
        <f t="shared" si="8"/>
        <v>0</v>
      </c>
      <c r="S11" s="1340">
        <v>4</v>
      </c>
      <c r="T11" s="1340">
        <f>341*S11</f>
        <v>1364</v>
      </c>
      <c r="U11" s="1340"/>
      <c r="V11" s="1340">
        <f t="shared" si="10"/>
        <v>0</v>
      </c>
      <c r="W11" s="1340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166805</v>
      </c>
      <c r="D12" s="18">
        <f t="shared" si="12"/>
        <v>162217.86250000002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34</v>
      </c>
      <c r="V12" s="18">
        <f t="shared" si="12"/>
        <v>11288</v>
      </c>
      <c r="W12" s="18">
        <f t="shared" si="12"/>
        <v>0</v>
      </c>
      <c r="X12" s="18">
        <f t="shared" si="12"/>
        <v>0</v>
      </c>
      <c r="Y12" s="20">
        <f t="shared" si="1"/>
        <v>284030.86250000005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48" t="s">
        <v>174</v>
      </c>
      <c r="K14" s="30" t="s">
        <v>36</v>
      </c>
      <c r="L14" s="1348" t="s">
        <v>403</v>
      </c>
      <c r="M14" s="30" t="s">
        <v>429</v>
      </c>
      <c r="N14" s="30" t="s">
        <v>442</v>
      </c>
      <c r="O14" s="1348" t="s">
        <v>114</v>
      </c>
      <c r="P14" s="30" t="s">
        <v>70</v>
      </c>
      <c r="Q14" s="1958" t="s">
        <v>479</v>
      </c>
      <c r="R14" s="1959"/>
      <c r="S14" s="1348" t="s">
        <v>401</v>
      </c>
      <c r="T14" s="1893" t="s">
        <v>46</v>
      </c>
      <c r="U14" s="1342" t="s">
        <v>176</v>
      </c>
      <c r="V14" s="1918">
        <v>29236</v>
      </c>
      <c r="W14" s="1926"/>
      <c r="X14" s="1919"/>
    </row>
    <row r="15" spans="1:25" ht="22.5" customHeight="1" x14ac:dyDescent="0.25">
      <c r="A15" s="100" t="s">
        <v>38</v>
      </c>
      <c r="B15" s="1918">
        <v>292835</v>
      </c>
      <c r="C15" s="1919"/>
      <c r="D15" s="1345">
        <v>130</v>
      </c>
      <c r="E15" s="1345">
        <v>2070</v>
      </c>
      <c r="F15" s="1345">
        <v>10940</v>
      </c>
      <c r="G15" s="1345">
        <v>0</v>
      </c>
      <c r="H15" s="1345">
        <v>161</v>
      </c>
      <c r="I15" s="1345">
        <v>110</v>
      </c>
      <c r="J15" s="1345">
        <v>4</v>
      </c>
      <c r="K15" s="1345">
        <v>71</v>
      </c>
      <c r="L15" s="1345">
        <v>0</v>
      </c>
      <c r="M15" s="1345">
        <v>0</v>
      </c>
      <c r="N15" s="1345">
        <v>0</v>
      </c>
      <c r="O15" s="1345">
        <v>0</v>
      </c>
      <c r="P15" s="1345">
        <v>100</v>
      </c>
      <c r="Q15" s="1918">
        <v>10</v>
      </c>
      <c r="R15" s="1919"/>
      <c r="S15" s="1342">
        <v>6</v>
      </c>
      <c r="T15" s="1893"/>
      <c r="U15" s="1342" t="s">
        <v>64</v>
      </c>
      <c r="V15" s="1920">
        <v>23769</v>
      </c>
      <c r="W15" s="1920"/>
      <c r="X15" s="1920"/>
    </row>
    <row r="16" spans="1:25" ht="24.75" customHeight="1" x14ac:dyDescent="0.25">
      <c r="A16" s="100" t="s">
        <v>39</v>
      </c>
      <c r="B16" s="1918">
        <v>158961</v>
      </c>
      <c r="C16" s="1919"/>
      <c r="D16" s="1345"/>
      <c r="E16" s="1345"/>
      <c r="F16" s="1345">
        <v>10000</v>
      </c>
      <c r="G16" s="1345">
        <v>1000</v>
      </c>
      <c r="H16" s="1345"/>
      <c r="I16" s="1345"/>
      <c r="J16" s="1345"/>
      <c r="K16" s="1345"/>
      <c r="L16" s="1345"/>
      <c r="M16" s="1345"/>
      <c r="N16" s="1345"/>
      <c r="O16" s="1345"/>
      <c r="P16" s="1345"/>
      <c r="Q16" s="1920"/>
      <c r="R16" s="1920"/>
      <c r="S16" s="1345"/>
      <c r="T16" s="1912" t="s">
        <v>55</v>
      </c>
      <c r="U16" s="1912"/>
      <c r="V16" s="1925">
        <f>Y12</f>
        <v>284030.86250000005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1883"/>
      <c r="R17" s="1883"/>
      <c r="S17" s="1341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166805</v>
      </c>
      <c r="C18" s="1919"/>
      <c r="D18" s="1347">
        <f>E12</f>
        <v>0</v>
      </c>
      <c r="E18" s="1347">
        <f>G12</f>
        <v>230</v>
      </c>
      <c r="F18" s="1347">
        <f>I12</f>
        <v>5550</v>
      </c>
      <c r="G18" s="1347">
        <f>K12</f>
        <v>0</v>
      </c>
      <c r="H18" s="1345"/>
      <c r="I18" s="1347">
        <f>U12</f>
        <v>34</v>
      </c>
      <c r="J18" s="1345"/>
      <c r="K18" s="1347">
        <f>W12</f>
        <v>0</v>
      </c>
      <c r="L18" s="1345"/>
      <c r="M18" s="1347">
        <f>M12</f>
        <v>0</v>
      </c>
      <c r="N18" s="1347">
        <f>O12</f>
        <v>0</v>
      </c>
      <c r="O18" s="1346">
        <f>Q12</f>
        <v>0</v>
      </c>
      <c r="P18" s="1347"/>
      <c r="Q18" s="1920"/>
      <c r="R18" s="1920"/>
      <c r="S18" s="1342">
        <v>4</v>
      </c>
      <c r="T18" s="1912" t="s">
        <v>57</v>
      </c>
      <c r="U18" s="1912"/>
      <c r="V18" s="1920">
        <v>920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284991</v>
      </c>
      <c r="C19" s="1919"/>
      <c r="D19" s="1345">
        <f>D15+D16+D17-D18</f>
        <v>130</v>
      </c>
      <c r="E19" s="1345">
        <f t="shared" ref="E19:N19" si="13">E15+E16+E17-E18</f>
        <v>1840</v>
      </c>
      <c r="F19" s="1345">
        <f t="shared" si="13"/>
        <v>15390</v>
      </c>
      <c r="G19" s="1345">
        <f t="shared" si="13"/>
        <v>1000</v>
      </c>
      <c r="H19" s="1345">
        <f t="shared" si="13"/>
        <v>161</v>
      </c>
      <c r="I19" s="1345">
        <f t="shared" si="13"/>
        <v>76</v>
      </c>
      <c r="J19" s="1345">
        <f t="shared" si="13"/>
        <v>4</v>
      </c>
      <c r="K19" s="1345">
        <f t="shared" si="13"/>
        <v>71</v>
      </c>
      <c r="L19" s="1345">
        <f t="shared" si="13"/>
        <v>0</v>
      </c>
      <c r="M19" s="1345">
        <f t="shared" si="13"/>
        <v>0</v>
      </c>
      <c r="N19" s="1345">
        <f t="shared" si="13"/>
        <v>0</v>
      </c>
      <c r="O19" s="1345">
        <f>O15+O16+O17-O18</f>
        <v>0</v>
      </c>
      <c r="P19" s="1345">
        <f t="shared" ref="P19:Q19" si="14">P15+P16+P17-P18</f>
        <v>100</v>
      </c>
      <c r="Q19" s="1918">
        <f t="shared" si="14"/>
        <v>10</v>
      </c>
      <c r="R19" s="1919"/>
      <c r="S19" s="1342">
        <f>S15+S16-S17-S18</f>
        <v>2</v>
      </c>
      <c r="T19" s="1914" t="s">
        <v>48</v>
      </c>
      <c r="U19" s="49" t="s">
        <v>58</v>
      </c>
      <c r="V19" s="1920">
        <v>90000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274303.83750000002</v>
      </c>
      <c r="C20" s="1945"/>
      <c r="D20" s="290">
        <f>D19*66.41</f>
        <v>8633.2999999999993</v>
      </c>
      <c r="E20" s="290">
        <f>27.9368*E19</f>
        <v>51403.712</v>
      </c>
      <c r="F20" s="290">
        <f>18.31*F19</f>
        <v>281790.89999999997</v>
      </c>
      <c r="G20" s="290">
        <f>27.9368*G19</f>
        <v>27936.800000000003</v>
      </c>
      <c r="H20" s="290">
        <f>241*H19</f>
        <v>38801</v>
      </c>
      <c r="I20" s="290">
        <f>323*I19</f>
        <v>24548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725683.54949999996</v>
      </c>
      <c r="C21" s="1951"/>
      <c r="O21" s="1349"/>
      <c r="P21" s="1349"/>
      <c r="Q21" s="1349"/>
      <c r="R21" s="1349"/>
      <c r="T21" s="1952" t="s">
        <v>474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90000</v>
      </c>
      <c r="D22" s="1949">
        <v>90000</v>
      </c>
      <c r="E22" s="1949">
        <v>364037</v>
      </c>
      <c r="F22" s="1949">
        <f>C22-D22+E22</f>
        <v>364037</v>
      </c>
      <c r="G22" s="1349"/>
      <c r="Q22" s="1349"/>
      <c r="R22" s="1349"/>
      <c r="T22" s="1909" t="s">
        <v>83</v>
      </c>
      <c r="U22" s="50" t="s">
        <v>60</v>
      </c>
      <c r="V22" s="1920">
        <v>283730</v>
      </c>
      <c r="W22" s="1920"/>
      <c r="X22" s="1920"/>
      <c r="Y22" s="1927"/>
    </row>
    <row r="23" spans="1:25" ht="39.75" customHeight="1" x14ac:dyDescent="0.25">
      <c r="A23" s="1349"/>
      <c r="B23" s="1947"/>
      <c r="C23" s="1950"/>
      <c r="D23" s="1950"/>
      <c r="E23" s="1950"/>
      <c r="F23" s="1950"/>
      <c r="G23" s="1349"/>
      <c r="Q23" s="1349"/>
      <c r="R23" s="1349"/>
      <c r="T23" s="1910"/>
      <c r="U23" s="50" t="s">
        <v>61</v>
      </c>
      <c r="V23" s="1920">
        <v>90000</v>
      </c>
      <c r="W23" s="1920"/>
      <c r="X23" s="1920"/>
      <c r="Y23" s="1927"/>
    </row>
    <row r="24" spans="1:25" ht="48" customHeight="1" x14ac:dyDescent="0.25">
      <c r="A24" s="1349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349"/>
      <c r="Q24" s="1349"/>
      <c r="R24" s="1349"/>
      <c r="T24" s="1893" t="s">
        <v>47</v>
      </c>
      <c r="U24" s="51" t="s">
        <v>62</v>
      </c>
      <c r="V24" s="1921">
        <f>V14+V16+V17-V18-V19-V20-V22+V23-V21</f>
        <v>28616.862500000047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217499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349"/>
      <c r="J33" s="1349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80E2-FF55-403F-BB3D-9E73C6CB4D2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355"/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1900" t="s">
        <v>481</v>
      </c>
      <c r="U3" s="1900"/>
      <c r="V3" s="1900"/>
      <c r="W3" s="1900"/>
      <c r="X3" s="1900"/>
      <c r="Y3" s="1900"/>
    </row>
    <row r="4" spans="1:25" s="135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355" customFormat="1" ht="25.5" customHeight="1" x14ac:dyDescent="0.25">
      <c r="A5" s="1901"/>
      <c r="B5" s="1901"/>
      <c r="C5" s="1354" t="s">
        <v>42</v>
      </c>
      <c r="D5" s="1354" t="s">
        <v>43</v>
      </c>
      <c r="E5" s="1354" t="s">
        <v>42</v>
      </c>
      <c r="F5" s="1354" t="s">
        <v>43</v>
      </c>
      <c r="G5" s="1354" t="s">
        <v>42</v>
      </c>
      <c r="H5" s="1354" t="s">
        <v>43</v>
      </c>
      <c r="I5" s="1354" t="s">
        <v>42</v>
      </c>
      <c r="J5" s="1354" t="s">
        <v>43</v>
      </c>
      <c r="K5" s="1354" t="s">
        <v>42</v>
      </c>
      <c r="L5" s="1354" t="s">
        <v>43</v>
      </c>
      <c r="M5" s="1354" t="s">
        <v>42</v>
      </c>
      <c r="N5" s="1354" t="s">
        <v>43</v>
      </c>
      <c r="O5" s="1354" t="s">
        <v>42</v>
      </c>
      <c r="P5" s="1354" t="s">
        <v>43</v>
      </c>
      <c r="Q5" s="1354" t="s">
        <v>42</v>
      </c>
      <c r="R5" s="13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353" t="s">
        <v>71</v>
      </c>
      <c r="C6" s="1351">
        <v>40418</v>
      </c>
      <c r="D6" s="1350">
        <f t="shared" ref="D6:D11" si="0">0.9725*C6</f>
        <v>39306.505000000005</v>
      </c>
      <c r="E6" s="1351"/>
      <c r="F6" s="1350">
        <f>67.1*E6</f>
        <v>0</v>
      </c>
      <c r="G6" s="1351">
        <v>60</v>
      </c>
      <c r="H6" s="1351">
        <f>28.2*G6</f>
        <v>1692</v>
      </c>
      <c r="I6" s="1351">
        <v>1240</v>
      </c>
      <c r="J6" s="1351">
        <f>18.5*I6</f>
        <v>22940</v>
      </c>
      <c r="K6" s="1351"/>
      <c r="L6" s="1350">
        <f>28.2368*K6</f>
        <v>0</v>
      </c>
      <c r="M6" s="1351"/>
      <c r="N6" s="1350">
        <f>M6*47.6525</f>
        <v>0</v>
      </c>
      <c r="O6" s="1351"/>
      <c r="P6" s="1350">
        <f>O6*8.9</f>
        <v>0</v>
      </c>
      <c r="Q6" s="1350"/>
      <c r="R6" s="1350">
        <f>241*Q6</f>
        <v>0</v>
      </c>
      <c r="S6" s="1351"/>
      <c r="T6" s="1351">
        <f>241*S6</f>
        <v>0</v>
      </c>
      <c r="U6" s="1351">
        <v>10</v>
      </c>
      <c r="V6" s="1351">
        <f>332*U6</f>
        <v>3320</v>
      </c>
      <c r="W6" s="1351"/>
      <c r="X6" s="19">
        <f>W6*100</f>
        <v>0</v>
      </c>
      <c r="Y6" s="20">
        <f t="shared" ref="Y6:Y12" si="1">D6+F6+H6+J6+L6+N6+P6+R6+T6+V6+X6</f>
        <v>67258.505000000005</v>
      </c>
    </row>
    <row r="7" spans="1:25" ht="31.5" customHeight="1" x14ac:dyDescent="0.25">
      <c r="A7" s="12">
        <v>1984225578</v>
      </c>
      <c r="B7" s="1353" t="s">
        <v>72</v>
      </c>
      <c r="C7" s="1351">
        <v>15408</v>
      </c>
      <c r="D7" s="1350">
        <f t="shared" si="0"/>
        <v>14984.28</v>
      </c>
      <c r="E7" s="1351"/>
      <c r="F7" s="1351">
        <f t="shared" ref="F7:F11" si="2">67.1*E7</f>
        <v>0</v>
      </c>
      <c r="G7" s="1351"/>
      <c r="H7" s="1351">
        <f t="shared" ref="H7:H11" si="3">28.2*G7</f>
        <v>0</v>
      </c>
      <c r="I7" s="1351"/>
      <c r="J7" s="1351">
        <f t="shared" ref="J7:J11" si="4">18.5*I7</f>
        <v>0</v>
      </c>
      <c r="K7" s="1351"/>
      <c r="L7" s="1350">
        <f t="shared" ref="L7:L11" si="5">28.2368*K7</f>
        <v>0</v>
      </c>
      <c r="M7" s="1351"/>
      <c r="N7" s="1350">
        <f t="shared" ref="N7:N11" si="6">M7*47.6525</f>
        <v>0</v>
      </c>
      <c r="O7" s="1351"/>
      <c r="P7" s="1350">
        <f t="shared" ref="P7:P11" si="7">O7*8.9</f>
        <v>0</v>
      </c>
      <c r="Q7" s="1350"/>
      <c r="R7" s="1350">
        <f t="shared" ref="R7:R11" si="8">241*Q7</f>
        <v>0</v>
      </c>
      <c r="S7" s="1351"/>
      <c r="T7" s="1351">
        <f t="shared" ref="T7:T10" si="9">241*S7</f>
        <v>0</v>
      </c>
      <c r="U7" s="1351">
        <v>6</v>
      </c>
      <c r="V7" s="1351">
        <f t="shared" ref="V7:V11" si="10">332*U7</f>
        <v>1992</v>
      </c>
      <c r="W7" s="1351"/>
      <c r="X7" s="19">
        <f t="shared" ref="X7:X11" si="11">W7*100</f>
        <v>0</v>
      </c>
      <c r="Y7" s="20">
        <f t="shared" si="1"/>
        <v>16976.28</v>
      </c>
    </row>
    <row r="8" spans="1:25" ht="35.25" customHeight="1" x14ac:dyDescent="0.25">
      <c r="A8" s="12">
        <v>1967020280</v>
      </c>
      <c r="B8" s="1353" t="s">
        <v>427</v>
      </c>
      <c r="C8" s="1351">
        <v>27750</v>
      </c>
      <c r="D8" s="1350">
        <f t="shared" si="0"/>
        <v>26986.875</v>
      </c>
      <c r="E8" s="1351"/>
      <c r="F8" s="1351">
        <f t="shared" si="2"/>
        <v>0</v>
      </c>
      <c r="G8" s="1351">
        <v>10</v>
      </c>
      <c r="H8" s="1350">
        <f t="shared" si="3"/>
        <v>282</v>
      </c>
      <c r="I8" s="1351">
        <v>650</v>
      </c>
      <c r="J8" s="1351">
        <f t="shared" si="4"/>
        <v>12025</v>
      </c>
      <c r="K8" s="1351"/>
      <c r="L8" s="1350">
        <f t="shared" si="5"/>
        <v>0</v>
      </c>
      <c r="M8" s="1351"/>
      <c r="N8" s="1350">
        <f t="shared" si="6"/>
        <v>0</v>
      </c>
      <c r="O8" s="1351"/>
      <c r="P8" s="1350">
        <f t="shared" si="7"/>
        <v>0</v>
      </c>
      <c r="Q8" s="1350"/>
      <c r="R8" s="1350">
        <f t="shared" si="8"/>
        <v>0</v>
      </c>
      <c r="S8" s="1351"/>
      <c r="T8" s="1351">
        <f t="shared" si="9"/>
        <v>0</v>
      </c>
      <c r="U8" s="1351">
        <v>2</v>
      </c>
      <c r="V8" s="1351">
        <f t="shared" si="10"/>
        <v>664</v>
      </c>
      <c r="W8" s="1351"/>
      <c r="X8" s="19">
        <f t="shared" si="11"/>
        <v>0</v>
      </c>
      <c r="Y8" s="20">
        <f t="shared" si="1"/>
        <v>39957.875</v>
      </c>
    </row>
    <row r="9" spans="1:25" ht="38.25" customHeight="1" x14ac:dyDescent="0.25">
      <c r="A9" s="12">
        <v>1984225580</v>
      </c>
      <c r="B9" s="1353" t="s">
        <v>75</v>
      </c>
      <c r="C9" s="1351">
        <v>34738</v>
      </c>
      <c r="D9" s="1350">
        <f t="shared" si="0"/>
        <v>33782.705000000002</v>
      </c>
      <c r="E9" s="1351"/>
      <c r="F9" s="1351">
        <f t="shared" si="2"/>
        <v>0</v>
      </c>
      <c r="G9" s="1351">
        <v>100</v>
      </c>
      <c r="H9" s="1351">
        <f t="shared" si="3"/>
        <v>2820</v>
      </c>
      <c r="I9" s="1351">
        <v>360</v>
      </c>
      <c r="J9" s="1351">
        <f t="shared" si="4"/>
        <v>6660</v>
      </c>
      <c r="K9" s="1351"/>
      <c r="L9" s="1350">
        <f t="shared" si="5"/>
        <v>0</v>
      </c>
      <c r="M9" s="1351"/>
      <c r="N9" s="1350">
        <f t="shared" si="6"/>
        <v>0</v>
      </c>
      <c r="O9" s="1351"/>
      <c r="P9" s="1350">
        <f t="shared" si="7"/>
        <v>0</v>
      </c>
      <c r="Q9" s="1350"/>
      <c r="R9" s="1350">
        <f t="shared" si="8"/>
        <v>0</v>
      </c>
      <c r="S9" s="1351"/>
      <c r="T9" s="1351">
        <f t="shared" si="9"/>
        <v>0</v>
      </c>
      <c r="U9" s="1351"/>
      <c r="V9" s="1351">
        <f t="shared" si="10"/>
        <v>0</v>
      </c>
      <c r="W9" s="1351"/>
      <c r="X9" s="19">
        <f t="shared" si="11"/>
        <v>0</v>
      </c>
      <c r="Y9" s="20">
        <f t="shared" si="1"/>
        <v>43262.705000000002</v>
      </c>
    </row>
    <row r="10" spans="1:25" ht="35.25" customHeight="1" x14ac:dyDescent="0.25">
      <c r="A10" s="12">
        <v>1409935199</v>
      </c>
      <c r="C10" s="1351"/>
      <c r="D10" s="1350">
        <f t="shared" si="0"/>
        <v>0</v>
      </c>
      <c r="E10" s="1351"/>
      <c r="F10" s="1351">
        <f t="shared" si="2"/>
        <v>0</v>
      </c>
      <c r="G10" s="1351"/>
      <c r="H10" s="1351">
        <f t="shared" si="3"/>
        <v>0</v>
      </c>
      <c r="I10" s="1351"/>
      <c r="J10" s="1351">
        <f t="shared" si="4"/>
        <v>0</v>
      </c>
      <c r="K10" s="1351"/>
      <c r="L10" s="1350">
        <f t="shared" si="5"/>
        <v>0</v>
      </c>
      <c r="M10" s="1351"/>
      <c r="N10" s="1350">
        <f t="shared" si="6"/>
        <v>0</v>
      </c>
      <c r="O10" s="1351"/>
      <c r="P10" s="1350">
        <f t="shared" si="7"/>
        <v>0</v>
      </c>
      <c r="Q10" s="1350"/>
      <c r="R10" s="1350">
        <f t="shared" si="8"/>
        <v>0</v>
      </c>
      <c r="S10" s="1351"/>
      <c r="T10" s="1351">
        <f t="shared" si="9"/>
        <v>0</v>
      </c>
      <c r="U10" s="1351"/>
      <c r="V10" s="1351">
        <f t="shared" si="10"/>
        <v>0</v>
      </c>
      <c r="W10" s="135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52"/>
      <c r="C11" s="1351"/>
      <c r="D11" s="1350">
        <f t="shared" si="0"/>
        <v>0</v>
      </c>
      <c r="E11" s="1351"/>
      <c r="F11" s="1351">
        <f t="shared" si="2"/>
        <v>0</v>
      </c>
      <c r="G11" s="1351"/>
      <c r="H11" s="1351">
        <f t="shared" si="3"/>
        <v>0</v>
      </c>
      <c r="I11" s="1351"/>
      <c r="J11" s="1351">
        <f t="shared" si="4"/>
        <v>0</v>
      </c>
      <c r="K11" s="1351"/>
      <c r="L11" s="1350">
        <f t="shared" si="5"/>
        <v>0</v>
      </c>
      <c r="M11" s="1351"/>
      <c r="N11" s="1350">
        <f t="shared" si="6"/>
        <v>0</v>
      </c>
      <c r="O11" s="1351"/>
      <c r="P11" s="1350">
        <f t="shared" si="7"/>
        <v>0</v>
      </c>
      <c r="Q11" s="1350"/>
      <c r="R11" s="1350">
        <f t="shared" si="8"/>
        <v>0</v>
      </c>
      <c r="S11" s="1351"/>
      <c r="T11" s="1351">
        <f>341*S11</f>
        <v>0</v>
      </c>
      <c r="U11" s="1351"/>
      <c r="V11" s="1351">
        <f t="shared" si="10"/>
        <v>0</v>
      </c>
      <c r="W11" s="135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118314</v>
      </c>
      <c r="D12" s="18">
        <f t="shared" si="12"/>
        <v>115060.36500000001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167455.36499999999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59" t="s">
        <v>174</v>
      </c>
      <c r="K14" s="30" t="s">
        <v>36</v>
      </c>
      <c r="L14" s="1359" t="s">
        <v>403</v>
      </c>
      <c r="M14" s="30" t="s">
        <v>429</v>
      </c>
      <c r="N14" s="30" t="s">
        <v>442</v>
      </c>
      <c r="O14" s="1359" t="s">
        <v>114</v>
      </c>
      <c r="P14" s="30" t="s">
        <v>70</v>
      </c>
      <c r="Q14" s="1958" t="s">
        <v>479</v>
      </c>
      <c r="R14" s="1959"/>
      <c r="S14" s="1359" t="s">
        <v>401</v>
      </c>
      <c r="T14" s="1893" t="s">
        <v>46</v>
      </c>
      <c r="U14" s="1353" t="s">
        <v>176</v>
      </c>
      <c r="V14" s="1918">
        <v>28617</v>
      </c>
      <c r="W14" s="1926"/>
      <c r="X14" s="1919"/>
    </row>
    <row r="15" spans="1:25" ht="22.5" customHeight="1" x14ac:dyDescent="0.25">
      <c r="A15" s="100" t="s">
        <v>38</v>
      </c>
      <c r="B15" s="1918">
        <v>284991</v>
      </c>
      <c r="C15" s="1919"/>
      <c r="D15" s="1356">
        <v>130</v>
      </c>
      <c r="E15" s="1356">
        <v>1840</v>
      </c>
      <c r="F15" s="1356">
        <v>15390</v>
      </c>
      <c r="G15" s="1356">
        <v>1000</v>
      </c>
      <c r="H15" s="1356">
        <v>161</v>
      </c>
      <c r="I15" s="1356">
        <v>76</v>
      </c>
      <c r="J15" s="1356">
        <v>4</v>
      </c>
      <c r="K15" s="1356">
        <v>71</v>
      </c>
      <c r="L15" s="1356">
        <v>0</v>
      </c>
      <c r="M15" s="1356">
        <v>0</v>
      </c>
      <c r="N15" s="1356">
        <v>0</v>
      </c>
      <c r="O15" s="1356">
        <v>0</v>
      </c>
      <c r="P15" s="1356">
        <v>100</v>
      </c>
      <c r="Q15" s="1918">
        <v>10</v>
      </c>
      <c r="R15" s="1919"/>
      <c r="S15" s="1353">
        <v>2</v>
      </c>
      <c r="T15" s="1893"/>
      <c r="U15" s="1353" t="s">
        <v>64</v>
      </c>
      <c r="V15" s="1920">
        <v>217499</v>
      </c>
      <c r="W15" s="1920"/>
      <c r="X15" s="1920"/>
    </row>
    <row r="16" spans="1:25" ht="24.75" customHeight="1" x14ac:dyDescent="0.25">
      <c r="A16" s="100" t="s">
        <v>39</v>
      </c>
      <c r="B16" s="1918">
        <v>20779</v>
      </c>
      <c r="C16" s="1919"/>
      <c r="D16" s="1356"/>
      <c r="E16" s="1356"/>
      <c r="F16" s="1356"/>
      <c r="G16" s="1356"/>
      <c r="H16" s="1356"/>
      <c r="I16" s="1356"/>
      <c r="J16" s="1356"/>
      <c r="K16" s="1356"/>
      <c r="L16" s="1356"/>
      <c r="M16" s="1356"/>
      <c r="N16" s="1356"/>
      <c r="O16" s="1356"/>
      <c r="P16" s="1356"/>
      <c r="Q16" s="1920"/>
      <c r="R16" s="1920"/>
      <c r="S16" s="1356"/>
      <c r="T16" s="1912" t="s">
        <v>55</v>
      </c>
      <c r="U16" s="1912"/>
      <c r="V16" s="1925">
        <f>Y12</f>
        <v>167455.36499999999</v>
      </c>
      <c r="W16" s="1925"/>
      <c r="X16" s="1920"/>
    </row>
    <row r="17" spans="1:25" ht="28.5" customHeight="1" x14ac:dyDescent="0.25">
      <c r="A17" s="101" t="s">
        <v>44</v>
      </c>
      <c r="B17" s="1918">
        <v>99355</v>
      </c>
      <c r="C17" s="1919"/>
      <c r="D17" s="1356"/>
      <c r="E17" s="1356"/>
      <c r="F17" s="1356"/>
      <c r="G17" s="1356"/>
      <c r="H17" s="1356"/>
      <c r="I17" s="1356"/>
      <c r="J17" s="1356"/>
      <c r="K17" s="1356"/>
      <c r="L17" s="1356"/>
      <c r="M17" s="1356"/>
      <c r="N17" s="1356"/>
      <c r="O17" s="1356"/>
      <c r="P17" s="1356"/>
      <c r="Q17" s="1883"/>
      <c r="R17" s="1883"/>
      <c r="S17" s="1352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118314</v>
      </c>
      <c r="C18" s="1919"/>
      <c r="D18" s="1358">
        <f>E12</f>
        <v>0</v>
      </c>
      <c r="E18" s="1358">
        <f>G12</f>
        <v>170</v>
      </c>
      <c r="F18" s="1358">
        <f>I12</f>
        <v>2250</v>
      </c>
      <c r="G18" s="1358">
        <f>K12</f>
        <v>0</v>
      </c>
      <c r="H18" s="1356"/>
      <c r="I18" s="1358">
        <f>U12</f>
        <v>18</v>
      </c>
      <c r="J18" s="1356"/>
      <c r="K18" s="1358">
        <f>W12</f>
        <v>0</v>
      </c>
      <c r="L18" s="1356"/>
      <c r="M18" s="1358">
        <f>M12</f>
        <v>0</v>
      </c>
      <c r="N18" s="1358">
        <f>O12</f>
        <v>0</v>
      </c>
      <c r="O18" s="1357">
        <f>Q12</f>
        <v>0</v>
      </c>
      <c r="P18" s="1358"/>
      <c r="Q18" s="1920"/>
      <c r="R18" s="1920"/>
      <c r="S18" s="1353"/>
      <c r="T18" s="1912" t="s">
        <v>57</v>
      </c>
      <c r="U18" s="1912"/>
      <c r="V18" s="1920">
        <v>1520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286811</v>
      </c>
      <c r="C19" s="1919"/>
      <c r="D19" s="1356">
        <f>D15+D16+D17-D18</f>
        <v>130</v>
      </c>
      <c r="E19" s="1356">
        <f t="shared" ref="E19:N19" si="13">E15+E16+E17-E18</f>
        <v>1670</v>
      </c>
      <c r="F19" s="1356">
        <f t="shared" si="13"/>
        <v>13140</v>
      </c>
      <c r="G19" s="1356">
        <f t="shared" si="13"/>
        <v>1000</v>
      </c>
      <c r="H19" s="1356">
        <f t="shared" si="13"/>
        <v>161</v>
      </c>
      <c r="I19" s="1356">
        <f t="shared" si="13"/>
        <v>58</v>
      </c>
      <c r="J19" s="1356">
        <f t="shared" si="13"/>
        <v>4</v>
      </c>
      <c r="K19" s="1356">
        <f t="shared" si="13"/>
        <v>71</v>
      </c>
      <c r="L19" s="1356">
        <f t="shared" si="13"/>
        <v>0</v>
      </c>
      <c r="M19" s="1356">
        <f t="shared" si="13"/>
        <v>0</v>
      </c>
      <c r="N19" s="1356">
        <f t="shared" si="13"/>
        <v>0</v>
      </c>
      <c r="O19" s="1356">
        <f>O15+O16+O17-O18</f>
        <v>0</v>
      </c>
      <c r="P19" s="1356">
        <f t="shared" ref="P19:Q19" si="14">P15+P16+P17-P18</f>
        <v>100</v>
      </c>
      <c r="Q19" s="1918">
        <f t="shared" si="14"/>
        <v>10</v>
      </c>
      <c r="R19" s="1919"/>
      <c r="S19" s="1353">
        <f>S15+S16-S17-S18</f>
        <v>2</v>
      </c>
      <c r="T19" s="1914" t="s">
        <v>48</v>
      </c>
      <c r="U19" s="49" t="s">
        <v>58</v>
      </c>
      <c r="V19" s="1920">
        <v>364037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276055.58750000002</v>
      </c>
      <c r="C20" s="1945"/>
      <c r="D20" s="290">
        <f>D19*66.41</f>
        <v>8633.2999999999993</v>
      </c>
      <c r="E20" s="290">
        <f>27.9368*E19</f>
        <v>46654.456000000006</v>
      </c>
      <c r="F20" s="290">
        <f>18.31*F19</f>
        <v>240593.4</v>
      </c>
      <c r="G20" s="290">
        <f>27.9368*G19</f>
        <v>27936.800000000003</v>
      </c>
      <c r="H20" s="290">
        <f>241*H19</f>
        <v>38801</v>
      </c>
      <c r="I20" s="290">
        <f>323*I19</f>
        <v>18734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675674.54350000003</v>
      </c>
      <c r="C21" s="1951"/>
      <c r="O21" s="1360"/>
      <c r="P21" s="1360"/>
      <c r="Q21" s="1360"/>
      <c r="R21" s="1360"/>
      <c r="T21" s="1952" t="s">
        <v>474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364037</v>
      </c>
      <c r="D22" s="1949">
        <v>364037</v>
      </c>
      <c r="E22" s="1949">
        <v>20000</v>
      </c>
      <c r="F22" s="1949">
        <f>C22-D22+E22</f>
        <v>20000</v>
      </c>
      <c r="G22" s="1360"/>
      <c r="Q22" s="1360"/>
      <c r="R22" s="1360"/>
      <c r="T22" s="1909" t="s">
        <v>83</v>
      </c>
      <c r="U22" s="50" t="s">
        <v>60</v>
      </c>
      <c r="V22" s="1920">
        <v>170750</v>
      </c>
      <c r="W22" s="1920"/>
      <c r="X22" s="1920"/>
      <c r="Y22" s="1927"/>
    </row>
    <row r="23" spans="1:25" ht="39.75" customHeight="1" x14ac:dyDescent="0.25">
      <c r="A23" s="1360"/>
      <c r="B23" s="1947"/>
      <c r="C23" s="1950"/>
      <c r="D23" s="1950"/>
      <c r="E23" s="1950"/>
      <c r="F23" s="1950"/>
      <c r="G23" s="1360"/>
      <c r="Q23" s="1360"/>
      <c r="R23" s="1360"/>
      <c r="T23" s="1910"/>
      <c r="U23" s="50" t="s">
        <v>61</v>
      </c>
      <c r="V23" s="1920">
        <v>364037</v>
      </c>
      <c r="W23" s="1920"/>
      <c r="X23" s="1920"/>
      <c r="Y23" s="1927"/>
    </row>
    <row r="24" spans="1:25" ht="48" customHeight="1" x14ac:dyDescent="0.25">
      <c r="A24" s="1360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360"/>
      <c r="Q24" s="1360"/>
      <c r="R24" s="1360"/>
      <c r="T24" s="1893" t="s">
        <v>47</v>
      </c>
      <c r="U24" s="51" t="s">
        <v>62</v>
      </c>
      <c r="V24" s="1921">
        <f>V14+V16+V17-V18-V19-V20-V22+V23-V21</f>
        <v>23802.364999999991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24212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360"/>
      <c r="J33" s="1360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81EF-1EEE-48DB-87F9-4C5E4AB07EF7}">
  <sheetPr>
    <pageSetUpPr fitToPage="1"/>
  </sheetPr>
  <dimension ref="A1:Y33"/>
  <sheetViews>
    <sheetView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361"/>
      <c r="B3" s="1361"/>
      <c r="C3" s="1361"/>
      <c r="D3" s="1361"/>
      <c r="E3" s="1361"/>
      <c r="F3" s="1361"/>
      <c r="G3" s="1361"/>
      <c r="H3" s="1361"/>
      <c r="I3" s="1361"/>
      <c r="J3" s="1361"/>
      <c r="K3" s="1361"/>
      <c r="L3" s="1361"/>
      <c r="M3" s="1361"/>
      <c r="N3" s="1361"/>
      <c r="O3" s="1361"/>
      <c r="P3" s="1361"/>
      <c r="Q3" s="1361"/>
      <c r="R3" s="1361"/>
      <c r="S3" s="1361"/>
      <c r="T3" s="1900" t="s">
        <v>482</v>
      </c>
      <c r="U3" s="1900"/>
      <c r="V3" s="1900"/>
      <c r="W3" s="1900"/>
      <c r="X3" s="1900"/>
      <c r="Y3" s="1900"/>
    </row>
    <row r="4" spans="1:25" s="1361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361" customFormat="1" ht="25.5" customHeight="1" x14ac:dyDescent="0.25">
      <c r="A5" s="1901"/>
      <c r="B5" s="1901"/>
      <c r="C5" s="1363" t="s">
        <v>42</v>
      </c>
      <c r="D5" s="1363" t="s">
        <v>43</v>
      </c>
      <c r="E5" s="1363" t="s">
        <v>42</v>
      </c>
      <c r="F5" s="1363" t="s">
        <v>43</v>
      </c>
      <c r="G5" s="1363" t="s">
        <v>42</v>
      </c>
      <c r="H5" s="1363" t="s">
        <v>43</v>
      </c>
      <c r="I5" s="1363" t="s">
        <v>42</v>
      </c>
      <c r="J5" s="1363" t="s">
        <v>43</v>
      </c>
      <c r="K5" s="1363" t="s">
        <v>42</v>
      </c>
      <c r="L5" s="1363" t="s">
        <v>43</v>
      </c>
      <c r="M5" s="1363" t="s">
        <v>42</v>
      </c>
      <c r="N5" s="1363" t="s">
        <v>43</v>
      </c>
      <c r="O5" s="1363" t="s">
        <v>42</v>
      </c>
      <c r="P5" s="1363" t="s">
        <v>43</v>
      </c>
      <c r="Q5" s="1363" t="s">
        <v>42</v>
      </c>
      <c r="R5" s="136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362" t="s">
        <v>71</v>
      </c>
      <c r="C6" s="1365">
        <v>29431</v>
      </c>
      <c r="D6" s="1366">
        <f t="shared" ref="D6:D11" si="0">0.9725*C6</f>
        <v>28621.647499999999</v>
      </c>
      <c r="E6" s="1365"/>
      <c r="F6" s="1366">
        <f>67.1*E6</f>
        <v>0</v>
      </c>
      <c r="G6" s="1365"/>
      <c r="H6" s="1365">
        <f>28.2*G6</f>
        <v>0</v>
      </c>
      <c r="I6" s="1365">
        <v>190</v>
      </c>
      <c r="J6" s="1365">
        <f>18.5*I6</f>
        <v>3515</v>
      </c>
      <c r="K6" s="1365"/>
      <c r="L6" s="1366">
        <f>28.2368*K6</f>
        <v>0</v>
      </c>
      <c r="M6" s="1365"/>
      <c r="N6" s="1366">
        <f>M6*47.6525</f>
        <v>0</v>
      </c>
      <c r="O6" s="1365"/>
      <c r="P6" s="1366">
        <f>O6*8.9</f>
        <v>0</v>
      </c>
      <c r="Q6" s="1366"/>
      <c r="R6" s="1366">
        <f>241*Q6</f>
        <v>0</v>
      </c>
      <c r="S6" s="1365"/>
      <c r="T6" s="1365">
        <f>241*S6</f>
        <v>0</v>
      </c>
      <c r="U6" s="1365">
        <v>1</v>
      </c>
      <c r="V6" s="1365">
        <f>332*U6</f>
        <v>332</v>
      </c>
      <c r="W6" s="1365"/>
      <c r="X6" s="19">
        <f>W6*100</f>
        <v>0</v>
      </c>
      <c r="Y6" s="20">
        <f t="shared" ref="Y6:Y12" si="1">D6+F6+H6+J6+L6+N6+P6+R6+T6+V6+X6</f>
        <v>32468.647499999999</v>
      </c>
    </row>
    <row r="7" spans="1:25" ht="31.5" customHeight="1" x14ac:dyDescent="0.25">
      <c r="A7" s="12">
        <v>1984225578</v>
      </c>
      <c r="B7" s="1362" t="s">
        <v>72</v>
      </c>
      <c r="C7" s="1365">
        <v>24249</v>
      </c>
      <c r="D7" s="1366">
        <f t="shared" si="0"/>
        <v>23582.1525</v>
      </c>
      <c r="E7" s="1365"/>
      <c r="F7" s="1365">
        <f t="shared" ref="F7:F11" si="2">67.1*E7</f>
        <v>0</v>
      </c>
      <c r="G7" s="1365"/>
      <c r="H7" s="1365">
        <f t="shared" ref="H7:H11" si="3">28.2*G7</f>
        <v>0</v>
      </c>
      <c r="I7" s="1365">
        <v>60</v>
      </c>
      <c r="J7" s="1365">
        <f t="shared" ref="J7:J11" si="4">18.5*I7</f>
        <v>1110</v>
      </c>
      <c r="K7" s="1365"/>
      <c r="L7" s="1366">
        <f t="shared" ref="L7:L11" si="5">28.2368*K7</f>
        <v>0</v>
      </c>
      <c r="M7" s="1365"/>
      <c r="N7" s="1366">
        <f t="shared" ref="N7:N11" si="6">M7*47.6525</f>
        <v>0</v>
      </c>
      <c r="O7" s="1365"/>
      <c r="P7" s="1366">
        <f t="shared" ref="P7:P11" si="7">O7*8.9</f>
        <v>0</v>
      </c>
      <c r="Q7" s="1366"/>
      <c r="R7" s="1366">
        <f t="shared" ref="R7:R11" si="8">241*Q7</f>
        <v>0</v>
      </c>
      <c r="S7" s="1365"/>
      <c r="T7" s="1365">
        <f t="shared" ref="T7:T10" si="9">241*S7</f>
        <v>0</v>
      </c>
      <c r="U7" s="1365"/>
      <c r="V7" s="1365">
        <f t="shared" ref="V7:V11" si="10">332*U7</f>
        <v>0</v>
      </c>
      <c r="W7" s="1365"/>
      <c r="X7" s="19">
        <f t="shared" ref="X7:X11" si="11">W7*100</f>
        <v>0</v>
      </c>
      <c r="Y7" s="20">
        <f t="shared" si="1"/>
        <v>24692.1525</v>
      </c>
    </row>
    <row r="8" spans="1:25" ht="35.25" customHeight="1" x14ac:dyDescent="0.25">
      <c r="A8" s="12">
        <v>1967020280</v>
      </c>
      <c r="B8" s="1362" t="s">
        <v>427</v>
      </c>
      <c r="C8" s="1365">
        <v>37759</v>
      </c>
      <c r="D8" s="1366">
        <f t="shared" si="0"/>
        <v>36720.627500000002</v>
      </c>
      <c r="E8" s="1365"/>
      <c r="F8" s="1365">
        <f t="shared" si="2"/>
        <v>0</v>
      </c>
      <c r="G8" s="1365">
        <v>20</v>
      </c>
      <c r="H8" s="1366">
        <f t="shared" si="3"/>
        <v>564</v>
      </c>
      <c r="I8" s="1365">
        <v>680</v>
      </c>
      <c r="J8" s="1365">
        <f t="shared" si="4"/>
        <v>12580</v>
      </c>
      <c r="K8" s="1365"/>
      <c r="L8" s="1366">
        <f t="shared" si="5"/>
        <v>0</v>
      </c>
      <c r="M8" s="1365"/>
      <c r="N8" s="1366">
        <f t="shared" si="6"/>
        <v>0</v>
      </c>
      <c r="O8" s="1365"/>
      <c r="P8" s="1366">
        <f t="shared" si="7"/>
        <v>0</v>
      </c>
      <c r="Q8" s="1366"/>
      <c r="R8" s="1366">
        <f t="shared" si="8"/>
        <v>0</v>
      </c>
      <c r="S8" s="1365"/>
      <c r="T8" s="1365">
        <f t="shared" si="9"/>
        <v>0</v>
      </c>
      <c r="U8" s="1365"/>
      <c r="V8" s="1365">
        <f t="shared" si="10"/>
        <v>0</v>
      </c>
      <c r="W8" s="1365"/>
      <c r="X8" s="19">
        <f t="shared" si="11"/>
        <v>0</v>
      </c>
      <c r="Y8" s="20">
        <f t="shared" si="1"/>
        <v>49864.627500000002</v>
      </c>
    </row>
    <row r="9" spans="1:25" ht="38.25" customHeight="1" x14ac:dyDescent="0.25">
      <c r="A9" s="12">
        <v>1984225580</v>
      </c>
      <c r="B9" s="1362" t="s">
        <v>75</v>
      </c>
      <c r="C9" s="1365">
        <v>50571</v>
      </c>
      <c r="D9" s="1366">
        <f t="shared" si="0"/>
        <v>49180.297500000001</v>
      </c>
      <c r="E9" s="1365"/>
      <c r="F9" s="1365">
        <f t="shared" si="2"/>
        <v>0</v>
      </c>
      <c r="G9" s="1365"/>
      <c r="H9" s="1365">
        <f t="shared" si="3"/>
        <v>0</v>
      </c>
      <c r="I9" s="1365">
        <v>200</v>
      </c>
      <c r="J9" s="1365">
        <f t="shared" si="4"/>
        <v>3700</v>
      </c>
      <c r="K9" s="1365"/>
      <c r="L9" s="1366">
        <f t="shared" si="5"/>
        <v>0</v>
      </c>
      <c r="M9" s="1365"/>
      <c r="N9" s="1366">
        <f t="shared" si="6"/>
        <v>0</v>
      </c>
      <c r="O9" s="1365"/>
      <c r="P9" s="1366">
        <f t="shared" si="7"/>
        <v>0</v>
      </c>
      <c r="Q9" s="1366"/>
      <c r="R9" s="1366">
        <f t="shared" si="8"/>
        <v>0</v>
      </c>
      <c r="S9" s="1365"/>
      <c r="T9" s="1365">
        <f t="shared" si="9"/>
        <v>0</v>
      </c>
      <c r="U9" s="1365"/>
      <c r="V9" s="1365">
        <f t="shared" si="10"/>
        <v>0</v>
      </c>
      <c r="W9" s="1365"/>
      <c r="X9" s="19">
        <f t="shared" si="11"/>
        <v>0</v>
      </c>
      <c r="Y9" s="20">
        <f t="shared" si="1"/>
        <v>52880.297500000001</v>
      </c>
    </row>
    <row r="10" spans="1:25" ht="35.25" customHeight="1" x14ac:dyDescent="0.25">
      <c r="A10" s="12">
        <v>1409935199</v>
      </c>
      <c r="C10" s="1365"/>
      <c r="D10" s="1366">
        <f t="shared" si="0"/>
        <v>0</v>
      </c>
      <c r="E10" s="1365"/>
      <c r="F10" s="1365">
        <f t="shared" si="2"/>
        <v>0</v>
      </c>
      <c r="G10" s="1365"/>
      <c r="H10" s="1365">
        <f t="shared" si="3"/>
        <v>0</v>
      </c>
      <c r="I10" s="1365">
        <v>2500</v>
      </c>
      <c r="J10" s="1365">
        <f t="shared" si="4"/>
        <v>46250</v>
      </c>
      <c r="K10" s="1365"/>
      <c r="L10" s="1366">
        <f t="shared" si="5"/>
        <v>0</v>
      </c>
      <c r="M10" s="1365"/>
      <c r="N10" s="1366">
        <f t="shared" si="6"/>
        <v>0</v>
      </c>
      <c r="O10" s="1365"/>
      <c r="P10" s="1366">
        <f t="shared" si="7"/>
        <v>0</v>
      </c>
      <c r="Q10" s="1366"/>
      <c r="R10" s="1366">
        <f t="shared" si="8"/>
        <v>0</v>
      </c>
      <c r="S10" s="1365"/>
      <c r="T10" s="1365">
        <f t="shared" si="9"/>
        <v>0</v>
      </c>
      <c r="U10" s="1365"/>
      <c r="V10" s="1365">
        <f t="shared" si="10"/>
        <v>0</v>
      </c>
      <c r="W10" s="1365"/>
      <c r="X10" s="19">
        <f t="shared" si="11"/>
        <v>0</v>
      </c>
      <c r="Y10" s="20">
        <f t="shared" si="1"/>
        <v>46250</v>
      </c>
    </row>
    <row r="11" spans="1:25" ht="37.5" customHeight="1" x14ac:dyDescent="0.25">
      <c r="A11" s="12"/>
      <c r="B11" s="1364"/>
      <c r="C11" s="1365"/>
      <c r="D11" s="1366">
        <f t="shared" si="0"/>
        <v>0</v>
      </c>
      <c r="E11" s="1365"/>
      <c r="F11" s="1365">
        <f t="shared" si="2"/>
        <v>0</v>
      </c>
      <c r="G11" s="1365"/>
      <c r="H11" s="1365">
        <f t="shared" si="3"/>
        <v>0</v>
      </c>
      <c r="I11" s="1365"/>
      <c r="J11" s="1365">
        <f t="shared" si="4"/>
        <v>0</v>
      </c>
      <c r="K11" s="1365"/>
      <c r="L11" s="1366">
        <f t="shared" si="5"/>
        <v>0</v>
      </c>
      <c r="M11" s="1365"/>
      <c r="N11" s="1366">
        <f t="shared" si="6"/>
        <v>0</v>
      </c>
      <c r="O11" s="1365"/>
      <c r="P11" s="1366">
        <f t="shared" si="7"/>
        <v>0</v>
      </c>
      <c r="Q11" s="1366"/>
      <c r="R11" s="1366">
        <f t="shared" si="8"/>
        <v>0</v>
      </c>
      <c r="S11" s="1365"/>
      <c r="T11" s="1365">
        <f>341*S11</f>
        <v>0</v>
      </c>
      <c r="U11" s="1365"/>
      <c r="V11" s="1365">
        <f t="shared" si="10"/>
        <v>0</v>
      </c>
      <c r="W11" s="1365">
        <v>11</v>
      </c>
      <c r="X11" s="19">
        <f t="shared" si="11"/>
        <v>1100</v>
      </c>
      <c r="Y11" s="20">
        <f t="shared" si="1"/>
        <v>1100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142010</v>
      </c>
      <c r="D12" s="18">
        <f t="shared" si="12"/>
        <v>138104.72500000001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11</v>
      </c>
      <c r="X12" s="18">
        <f t="shared" si="12"/>
        <v>1100</v>
      </c>
      <c r="Y12" s="20">
        <f t="shared" si="1"/>
        <v>207255.72500000001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70" t="s">
        <v>174</v>
      </c>
      <c r="K14" s="30" t="s">
        <v>36</v>
      </c>
      <c r="L14" s="1370" t="s">
        <v>403</v>
      </c>
      <c r="M14" s="30" t="s">
        <v>429</v>
      </c>
      <c r="N14" s="30" t="s">
        <v>442</v>
      </c>
      <c r="O14" s="1370" t="s">
        <v>114</v>
      </c>
      <c r="P14" s="30" t="s">
        <v>70</v>
      </c>
      <c r="Q14" s="1958" t="s">
        <v>479</v>
      </c>
      <c r="R14" s="1959"/>
      <c r="S14" s="1370" t="s">
        <v>401</v>
      </c>
      <c r="T14" s="1893" t="s">
        <v>46</v>
      </c>
      <c r="U14" s="1362" t="s">
        <v>176</v>
      </c>
      <c r="V14" s="1918">
        <v>23802</v>
      </c>
      <c r="W14" s="1926"/>
      <c r="X14" s="1919"/>
    </row>
    <row r="15" spans="1:25" ht="22.5" customHeight="1" x14ac:dyDescent="0.25">
      <c r="A15" s="100" t="s">
        <v>38</v>
      </c>
      <c r="B15" s="1918">
        <v>286811</v>
      </c>
      <c r="C15" s="1919"/>
      <c r="D15" s="1367">
        <v>130</v>
      </c>
      <c r="E15" s="1367">
        <v>1670</v>
      </c>
      <c r="F15" s="1367">
        <v>13140</v>
      </c>
      <c r="G15" s="1367">
        <v>1000</v>
      </c>
      <c r="H15" s="1367">
        <v>161</v>
      </c>
      <c r="I15" s="1367">
        <v>58</v>
      </c>
      <c r="J15" s="1367">
        <v>4</v>
      </c>
      <c r="K15" s="1367">
        <v>71</v>
      </c>
      <c r="L15" s="1367">
        <v>0</v>
      </c>
      <c r="M15" s="1367">
        <v>0</v>
      </c>
      <c r="N15" s="1367">
        <v>0</v>
      </c>
      <c r="O15" s="1367">
        <v>0</v>
      </c>
      <c r="P15" s="1367">
        <v>100</v>
      </c>
      <c r="Q15" s="1918">
        <v>10</v>
      </c>
      <c r="R15" s="1919"/>
      <c r="S15" s="1362">
        <v>2</v>
      </c>
      <c r="T15" s="1893"/>
      <c r="U15" s="1362" t="s">
        <v>64</v>
      </c>
      <c r="V15" s="1920">
        <v>24212</v>
      </c>
      <c r="W15" s="1920"/>
      <c r="X15" s="1920"/>
    </row>
    <row r="16" spans="1:25" ht="24.75" customHeight="1" x14ac:dyDescent="0.25">
      <c r="A16" s="100" t="s">
        <v>39</v>
      </c>
      <c r="B16" s="1918">
        <v>272583</v>
      </c>
      <c r="C16" s="1919"/>
      <c r="D16" s="1367"/>
      <c r="E16" s="1367"/>
      <c r="F16" s="1367">
        <v>15000</v>
      </c>
      <c r="G16" s="1367"/>
      <c r="H16" s="1367"/>
      <c r="I16" s="1367"/>
      <c r="J16" s="1367"/>
      <c r="K16" s="1367"/>
      <c r="L16" s="1367"/>
      <c r="M16" s="1367"/>
      <c r="N16" s="1367"/>
      <c r="O16" s="1367"/>
      <c r="P16" s="1367"/>
      <c r="Q16" s="1920"/>
      <c r="R16" s="1920"/>
      <c r="S16" s="1367"/>
      <c r="T16" s="1912" t="s">
        <v>55</v>
      </c>
      <c r="U16" s="1912"/>
      <c r="V16" s="1925">
        <f>Y12</f>
        <v>207255.72500000001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367"/>
      <c r="E17" s="1367"/>
      <c r="F17" s="1367"/>
      <c r="G17" s="1367"/>
      <c r="H17" s="1367"/>
      <c r="I17" s="1367"/>
      <c r="J17" s="1367"/>
      <c r="K17" s="1367"/>
      <c r="L17" s="1367"/>
      <c r="M17" s="1367"/>
      <c r="N17" s="1367"/>
      <c r="O17" s="1367"/>
      <c r="P17" s="1367"/>
      <c r="Q17" s="1883"/>
      <c r="R17" s="1883"/>
      <c r="S17" s="1364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142010</v>
      </c>
      <c r="C18" s="1919"/>
      <c r="D18" s="1368">
        <f>E12</f>
        <v>0</v>
      </c>
      <c r="E18" s="1368">
        <f>G12</f>
        <v>20</v>
      </c>
      <c r="F18" s="1368">
        <f>I12</f>
        <v>3630</v>
      </c>
      <c r="G18" s="1368">
        <f>K12</f>
        <v>0</v>
      </c>
      <c r="H18" s="1367"/>
      <c r="I18" s="1368">
        <f>U12</f>
        <v>1</v>
      </c>
      <c r="J18" s="1367"/>
      <c r="K18" s="1368">
        <f>W12</f>
        <v>11</v>
      </c>
      <c r="L18" s="1367"/>
      <c r="M18" s="1368">
        <f>M12</f>
        <v>0</v>
      </c>
      <c r="N18" s="1368">
        <f>O12</f>
        <v>0</v>
      </c>
      <c r="O18" s="1369">
        <f>Q12</f>
        <v>0</v>
      </c>
      <c r="P18" s="1368"/>
      <c r="Q18" s="1920"/>
      <c r="R18" s="1920"/>
      <c r="S18" s="1362"/>
      <c r="T18" s="1912" t="s">
        <v>57</v>
      </c>
      <c r="U18" s="1912"/>
      <c r="V18" s="1920">
        <v>47232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417384</v>
      </c>
      <c r="C19" s="1919"/>
      <c r="D19" s="1367">
        <f>D15+D16+D17-D18</f>
        <v>130</v>
      </c>
      <c r="E19" s="1367">
        <f t="shared" ref="E19:N19" si="13">E15+E16+E17-E18</f>
        <v>1650</v>
      </c>
      <c r="F19" s="1367">
        <f t="shared" si="13"/>
        <v>24510</v>
      </c>
      <c r="G19" s="1367">
        <f t="shared" si="13"/>
        <v>1000</v>
      </c>
      <c r="H19" s="1367">
        <f t="shared" si="13"/>
        <v>161</v>
      </c>
      <c r="I19" s="1367">
        <f t="shared" si="13"/>
        <v>57</v>
      </c>
      <c r="J19" s="1367">
        <f t="shared" si="13"/>
        <v>4</v>
      </c>
      <c r="K19" s="1367">
        <f t="shared" si="13"/>
        <v>60</v>
      </c>
      <c r="L19" s="1367">
        <f t="shared" si="13"/>
        <v>0</v>
      </c>
      <c r="M19" s="1367">
        <f t="shared" si="13"/>
        <v>0</v>
      </c>
      <c r="N19" s="1367">
        <f t="shared" si="13"/>
        <v>0</v>
      </c>
      <c r="O19" s="1367">
        <f>O15+O16+O17-O18</f>
        <v>0</v>
      </c>
      <c r="P19" s="1367">
        <f t="shared" ref="P19:Q19" si="14">P15+P16+P17-P18</f>
        <v>100</v>
      </c>
      <c r="Q19" s="1918">
        <f t="shared" si="14"/>
        <v>10</v>
      </c>
      <c r="R19" s="1919"/>
      <c r="S19" s="1362">
        <f>S15+S16-S17-S18</f>
        <v>2</v>
      </c>
      <c r="T19" s="1914" t="s">
        <v>48</v>
      </c>
      <c r="U19" s="49" t="s">
        <v>58</v>
      </c>
      <c r="V19" s="1920">
        <v>20000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401732.10000000003</v>
      </c>
      <c r="C20" s="1945"/>
      <c r="D20" s="290">
        <f>D19*66.41</f>
        <v>8633.2999999999993</v>
      </c>
      <c r="E20" s="290">
        <f>27.9368*E19</f>
        <v>46095.72</v>
      </c>
      <c r="F20" s="290">
        <f>18.31*F19</f>
        <v>448778.1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6000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>
        <v>137000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1007554.02</v>
      </c>
      <c r="C21" s="1951"/>
      <c r="O21" s="1371"/>
      <c r="P21" s="1371"/>
      <c r="Q21" s="1371"/>
      <c r="R21" s="1371"/>
      <c r="T21" s="1952" t="s">
        <v>474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20000</v>
      </c>
      <c r="D22" s="1949">
        <v>20000</v>
      </c>
      <c r="E22" s="1949">
        <v>400000</v>
      </c>
      <c r="F22" s="1949">
        <f>C22-D22+E22</f>
        <v>400000</v>
      </c>
      <c r="G22" s="1371"/>
      <c r="Q22" s="1371"/>
      <c r="R22" s="1371"/>
      <c r="T22" s="1909" t="s">
        <v>83</v>
      </c>
      <c r="U22" s="50" t="s">
        <v>60</v>
      </c>
      <c r="V22" s="1920">
        <v>169280</v>
      </c>
      <c r="W22" s="1920"/>
      <c r="X22" s="1920"/>
      <c r="Y22" s="1927"/>
    </row>
    <row r="23" spans="1:25" ht="39.75" customHeight="1" x14ac:dyDescent="0.25">
      <c r="A23" s="1371"/>
      <c r="B23" s="1947"/>
      <c r="C23" s="1950"/>
      <c r="D23" s="1950"/>
      <c r="E23" s="1950"/>
      <c r="F23" s="1950"/>
      <c r="G23" s="1371"/>
      <c r="Q23" s="1371"/>
      <c r="R23" s="1371"/>
      <c r="T23" s="1910"/>
      <c r="U23" s="50" t="s">
        <v>61</v>
      </c>
      <c r="V23" s="1920">
        <v>183400</v>
      </c>
      <c r="W23" s="1920"/>
      <c r="X23" s="1920"/>
      <c r="Y23" s="1927"/>
    </row>
    <row r="24" spans="1:25" ht="48" customHeight="1" x14ac:dyDescent="0.25">
      <c r="A24" s="1371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371"/>
      <c r="Q24" s="1371"/>
      <c r="R24" s="1371"/>
      <c r="T24" s="1893" t="s">
        <v>47</v>
      </c>
      <c r="U24" s="51" t="s">
        <v>62</v>
      </c>
      <c r="V24" s="1921">
        <f>V14+V16+V17-V18-V19-V20-V22+V23-V21</f>
        <v>40945.725000000006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10092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371"/>
      <c r="J33" s="1371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4066-A313-4E13-AE18-697F8CDF5CEA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377"/>
      <c r="B3" s="1377"/>
      <c r="C3" s="1377"/>
      <c r="D3" s="1377"/>
      <c r="E3" s="1377"/>
      <c r="F3" s="1377"/>
      <c r="G3" s="1377"/>
      <c r="H3" s="1377"/>
      <c r="I3" s="1377"/>
      <c r="J3" s="1377"/>
      <c r="K3" s="1377"/>
      <c r="L3" s="1377"/>
      <c r="M3" s="1377"/>
      <c r="N3" s="1377"/>
      <c r="O3" s="1377"/>
      <c r="P3" s="1377"/>
      <c r="Q3" s="1377"/>
      <c r="R3" s="1377"/>
      <c r="S3" s="1377"/>
      <c r="T3" s="1900" t="s">
        <v>483</v>
      </c>
      <c r="U3" s="1900"/>
      <c r="V3" s="1900"/>
      <c r="W3" s="1900"/>
      <c r="X3" s="1900"/>
      <c r="Y3" s="1900"/>
    </row>
    <row r="4" spans="1:25" s="137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377" customFormat="1" ht="25.5" customHeight="1" x14ac:dyDescent="0.25">
      <c r="A5" s="1901"/>
      <c r="B5" s="1901"/>
      <c r="C5" s="1376" t="s">
        <v>42</v>
      </c>
      <c r="D5" s="1376" t="s">
        <v>43</v>
      </c>
      <c r="E5" s="1376" t="s">
        <v>42</v>
      </c>
      <c r="F5" s="1376" t="s">
        <v>43</v>
      </c>
      <c r="G5" s="1376" t="s">
        <v>42</v>
      </c>
      <c r="H5" s="1376" t="s">
        <v>43</v>
      </c>
      <c r="I5" s="1376" t="s">
        <v>42</v>
      </c>
      <c r="J5" s="1376" t="s">
        <v>43</v>
      </c>
      <c r="K5" s="1376" t="s">
        <v>42</v>
      </c>
      <c r="L5" s="1376" t="s">
        <v>43</v>
      </c>
      <c r="M5" s="1376" t="s">
        <v>42</v>
      </c>
      <c r="N5" s="1376" t="s">
        <v>43</v>
      </c>
      <c r="O5" s="1376" t="s">
        <v>42</v>
      </c>
      <c r="P5" s="1376" t="s">
        <v>43</v>
      </c>
      <c r="Q5" s="1376" t="s">
        <v>42</v>
      </c>
      <c r="R5" s="1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375" t="s">
        <v>71</v>
      </c>
      <c r="C6" s="1373">
        <v>24740</v>
      </c>
      <c r="D6" s="1372">
        <f t="shared" ref="D6:D11" si="0">0.9725*C6</f>
        <v>24059.65</v>
      </c>
      <c r="E6" s="1373"/>
      <c r="F6" s="1372">
        <f>67.1*E6</f>
        <v>0</v>
      </c>
      <c r="G6" s="1373"/>
      <c r="H6" s="1373">
        <f>28.2*G6</f>
        <v>0</v>
      </c>
      <c r="I6" s="1373">
        <v>480</v>
      </c>
      <c r="J6" s="1373">
        <f>18.5*I6</f>
        <v>8880</v>
      </c>
      <c r="K6" s="1373"/>
      <c r="L6" s="1372">
        <f>28.2368*K6</f>
        <v>0</v>
      </c>
      <c r="M6" s="1373"/>
      <c r="N6" s="1372">
        <f>M6*47.6525</f>
        <v>0</v>
      </c>
      <c r="O6" s="1373"/>
      <c r="P6" s="1372">
        <f>O6*8.9</f>
        <v>0</v>
      </c>
      <c r="Q6" s="1372"/>
      <c r="R6" s="1372">
        <f>241*Q6</f>
        <v>0</v>
      </c>
      <c r="S6" s="1373"/>
      <c r="T6" s="1373">
        <f>241*S6</f>
        <v>0</v>
      </c>
      <c r="U6" s="1373"/>
      <c r="V6" s="1373">
        <f>332*U6</f>
        <v>0</v>
      </c>
      <c r="W6" s="1373">
        <v>1</v>
      </c>
      <c r="X6" s="19">
        <f>W6*100</f>
        <v>100</v>
      </c>
      <c r="Y6" s="20">
        <f t="shared" ref="Y6:Y12" si="1">D6+F6+H6+J6+L6+N6+P6+R6+T6+V6+X6</f>
        <v>33039.65</v>
      </c>
    </row>
    <row r="7" spans="1:25" ht="31.5" customHeight="1" x14ac:dyDescent="0.25">
      <c r="A7" s="12">
        <v>1984225578</v>
      </c>
      <c r="B7" s="1375" t="s">
        <v>72</v>
      </c>
      <c r="C7" s="1373">
        <v>19262</v>
      </c>
      <c r="D7" s="1372">
        <f t="shared" si="0"/>
        <v>18732.295000000002</v>
      </c>
      <c r="E7" s="1373"/>
      <c r="F7" s="1373">
        <f t="shared" ref="F7:F11" si="2">67.1*E7</f>
        <v>0</v>
      </c>
      <c r="G7" s="1373"/>
      <c r="H7" s="1373">
        <f t="shared" ref="H7:H11" si="3">28.2*G7</f>
        <v>0</v>
      </c>
      <c r="I7" s="1373">
        <v>2120</v>
      </c>
      <c r="J7" s="1373">
        <f t="shared" ref="J7:J11" si="4">18.5*I7</f>
        <v>39220</v>
      </c>
      <c r="K7" s="1373"/>
      <c r="L7" s="1372">
        <f t="shared" ref="L7:L11" si="5">28.2368*K7</f>
        <v>0</v>
      </c>
      <c r="M7" s="1373"/>
      <c r="N7" s="1372">
        <f t="shared" ref="N7:N11" si="6">M7*47.6525</f>
        <v>0</v>
      </c>
      <c r="O7" s="1373"/>
      <c r="P7" s="1372">
        <f t="shared" ref="P7:P11" si="7">O7*8.9</f>
        <v>0</v>
      </c>
      <c r="Q7" s="1372"/>
      <c r="R7" s="1372">
        <f t="shared" ref="R7:R11" si="8">241*Q7</f>
        <v>0</v>
      </c>
      <c r="S7" s="1373"/>
      <c r="T7" s="1373">
        <f t="shared" ref="T7:T10" si="9">241*S7</f>
        <v>0</v>
      </c>
      <c r="U7" s="1373"/>
      <c r="V7" s="1373">
        <f t="shared" ref="V7:V11" si="10">332*U7</f>
        <v>0</v>
      </c>
      <c r="W7" s="1373"/>
      <c r="X7" s="19">
        <f t="shared" ref="X7:X11" si="11">W7*100</f>
        <v>0</v>
      </c>
      <c r="Y7" s="20">
        <f t="shared" si="1"/>
        <v>57952.294999999998</v>
      </c>
    </row>
    <row r="8" spans="1:25" ht="35.25" customHeight="1" x14ac:dyDescent="0.25">
      <c r="A8" s="12">
        <v>1967020280</v>
      </c>
      <c r="B8" s="1375" t="s">
        <v>427</v>
      </c>
      <c r="C8" s="1373">
        <v>20344</v>
      </c>
      <c r="D8" s="1372">
        <f t="shared" si="0"/>
        <v>19784.54</v>
      </c>
      <c r="E8" s="1373"/>
      <c r="F8" s="1373">
        <f t="shared" si="2"/>
        <v>0</v>
      </c>
      <c r="G8" s="1373">
        <v>20</v>
      </c>
      <c r="H8" s="1372">
        <f t="shared" si="3"/>
        <v>564</v>
      </c>
      <c r="I8" s="1373">
        <v>700</v>
      </c>
      <c r="J8" s="1373">
        <f t="shared" si="4"/>
        <v>12950</v>
      </c>
      <c r="K8" s="1373"/>
      <c r="L8" s="1372">
        <f t="shared" si="5"/>
        <v>0</v>
      </c>
      <c r="M8" s="1373"/>
      <c r="N8" s="1372">
        <f t="shared" si="6"/>
        <v>0</v>
      </c>
      <c r="O8" s="1373"/>
      <c r="P8" s="1372">
        <f t="shared" si="7"/>
        <v>0</v>
      </c>
      <c r="Q8" s="1372"/>
      <c r="R8" s="1372">
        <f t="shared" si="8"/>
        <v>0</v>
      </c>
      <c r="S8" s="1373"/>
      <c r="T8" s="1373">
        <f t="shared" si="9"/>
        <v>0</v>
      </c>
      <c r="U8" s="1373"/>
      <c r="V8" s="1373">
        <f t="shared" si="10"/>
        <v>0</v>
      </c>
      <c r="W8" s="1373"/>
      <c r="X8" s="19">
        <f t="shared" si="11"/>
        <v>0</v>
      </c>
      <c r="Y8" s="20">
        <f t="shared" si="1"/>
        <v>33298.54</v>
      </c>
    </row>
    <row r="9" spans="1:25" ht="38.25" customHeight="1" x14ac:dyDescent="0.25">
      <c r="A9" s="12">
        <v>1984225580</v>
      </c>
      <c r="B9" s="1375" t="s">
        <v>75</v>
      </c>
      <c r="C9" s="1373">
        <v>25695</v>
      </c>
      <c r="D9" s="1372">
        <f t="shared" si="0"/>
        <v>24988.387500000001</v>
      </c>
      <c r="E9" s="1373"/>
      <c r="F9" s="1373">
        <f t="shared" si="2"/>
        <v>0</v>
      </c>
      <c r="G9" s="1373"/>
      <c r="H9" s="1373">
        <f t="shared" si="3"/>
        <v>0</v>
      </c>
      <c r="I9" s="1373">
        <v>1560</v>
      </c>
      <c r="J9" s="1373">
        <f t="shared" si="4"/>
        <v>28860</v>
      </c>
      <c r="K9" s="1373"/>
      <c r="L9" s="1372">
        <f t="shared" si="5"/>
        <v>0</v>
      </c>
      <c r="M9" s="1373"/>
      <c r="N9" s="1372">
        <f t="shared" si="6"/>
        <v>0</v>
      </c>
      <c r="O9" s="1373"/>
      <c r="P9" s="1372">
        <f t="shared" si="7"/>
        <v>0</v>
      </c>
      <c r="Q9" s="1372"/>
      <c r="R9" s="1372">
        <f t="shared" si="8"/>
        <v>0</v>
      </c>
      <c r="S9" s="1373"/>
      <c r="T9" s="1373">
        <f t="shared" si="9"/>
        <v>0</v>
      </c>
      <c r="U9" s="1373"/>
      <c r="V9" s="1373">
        <f t="shared" si="10"/>
        <v>0</v>
      </c>
      <c r="W9" s="1373"/>
      <c r="X9" s="19">
        <f t="shared" si="11"/>
        <v>0</v>
      </c>
      <c r="Y9" s="20">
        <f t="shared" si="1"/>
        <v>53848.387499999997</v>
      </c>
    </row>
    <row r="10" spans="1:25" ht="35.25" customHeight="1" x14ac:dyDescent="0.25">
      <c r="A10" s="12">
        <v>1409935199</v>
      </c>
      <c r="C10" s="1373"/>
      <c r="D10" s="1372">
        <f t="shared" si="0"/>
        <v>0</v>
      </c>
      <c r="E10" s="1373"/>
      <c r="F10" s="1373">
        <f t="shared" si="2"/>
        <v>0</v>
      </c>
      <c r="G10" s="1373"/>
      <c r="H10" s="1373">
        <f t="shared" si="3"/>
        <v>0</v>
      </c>
      <c r="I10" s="1373"/>
      <c r="J10" s="1373">
        <f t="shared" si="4"/>
        <v>0</v>
      </c>
      <c r="K10" s="1373"/>
      <c r="L10" s="1372">
        <f t="shared" si="5"/>
        <v>0</v>
      </c>
      <c r="M10" s="1373"/>
      <c r="N10" s="1372">
        <f t="shared" si="6"/>
        <v>0</v>
      </c>
      <c r="O10" s="1373"/>
      <c r="P10" s="1372">
        <f t="shared" si="7"/>
        <v>0</v>
      </c>
      <c r="Q10" s="1372"/>
      <c r="R10" s="1372">
        <f t="shared" si="8"/>
        <v>0</v>
      </c>
      <c r="S10" s="1373"/>
      <c r="T10" s="1373">
        <f t="shared" si="9"/>
        <v>0</v>
      </c>
      <c r="U10" s="1373"/>
      <c r="V10" s="1373">
        <f t="shared" si="10"/>
        <v>0</v>
      </c>
      <c r="W10" s="13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74"/>
      <c r="C11" s="1373"/>
      <c r="D11" s="1372">
        <f t="shared" si="0"/>
        <v>0</v>
      </c>
      <c r="E11" s="1373"/>
      <c r="F11" s="1373">
        <f t="shared" si="2"/>
        <v>0</v>
      </c>
      <c r="G11" s="1373"/>
      <c r="H11" s="1373">
        <f t="shared" si="3"/>
        <v>0</v>
      </c>
      <c r="I11" s="1373"/>
      <c r="J11" s="1373">
        <f t="shared" si="4"/>
        <v>0</v>
      </c>
      <c r="K11" s="1373"/>
      <c r="L11" s="1372">
        <f t="shared" si="5"/>
        <v>0</v>
      </c>
      <c r="M11" s="1373"/>
      <c r="N11" s="1372">
        <f t="shared" si="6"/>
        <v>0</v>
      </c>
      <c r="O11" s="1373"/>
      <c r="P11" s="1372">
        <f t="shared" si="7"/>
        <v>0</v>
      </c>
      <c r="Q11" s="1372"/>
      <c r="R11" s="1372">
        <f t="shared" si="8"/>
        <v>0</v>
      </c>
      <c r="S11" s="1373"/>
      <c r="T11" s="1373">
        <f>341*S11</f>
        <v>0</v>
      </c>
      <c r="U11" s="1373"/>
      <c r="V11" s="1373">
        <f t="shared" si="10"/>
        <v>0</v>
      </c>
      <c r="W11" s="13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90041</v>
      </c>
      <c r="D12" s="18">
        <f t="shared" si="12"/>
        <v>87564.872500000012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4860</v>
      </c>
      <c r="J12" s="18">
        <f t="shared" si="12"/>
        <v>89910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178138.8725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81" t="s">
        <v>174</v>
      </c>
      <c r="K14" s="30" t="s">
        <v>36</v>
      </c>
      <c r="L14" s="1381" t="s">
        <v>403</v>
      </c>
      <c r="M14" s="30" t="s">
        <v>429</v>
      </c>
      <c r="N14" s="30" t="s">
        <v>442</v>
      </c>
      <c r="O14" s="1381" t="s">
        <v>114</v>
      </c>
      <c r="P14" s="30" t="s">
        <v>70</v>
      </c>
      <c r="Q14" s="1958" t="s">
        <v>479</v>
      </c>
      <c r="R14" s="1959"/>
      <c r="S14" s="1381" t="s">
        <v>401</v>
      </c>
      <c r="T14" s="1893" t="s">
        <v>46</v>
      </c>
      <c r="U14" s="1375" t="s">
        <v>176</v>
      </c>
      <c r="V14" s="1918">
        <v>40946</v>
      </c>
      <c r="W14" s="1926"/>
      <c r="X14" s="1919"/>
    </row>
    <row r="15" spans="1:25" ht="22.5" customHeight="1" x14ac:dyDescent="0.25">
      <c r="A15" s="100" t="s">
        <v>38</v>
      </c>
      <c r="B15" s="1918">
        <v>417384</v>
      </c>
      <c r="C15" s="1919"/>
      <c r="D15" s="1378">
        <v>130</v>
      </c>
      <c r="E15" s="1378">
        <v>1650</v>
      </c>
      <c r="F15" s="1378">
        <v>24510</v>
      </c>
      <c r="G15" s="1378">
        <v>1000</v>
      </c>
      <c r="H15" s="1378">
        <v>161</v>
      </c>
      <c r="I15" s="1378">
        <v>57</v>
      </c>
      <c r="J15" s="1378">
        <v>4</v>
      </c>
      <c r="K15" s="1378">
        <v>60</v>
      </c>
      <c r="L15" s="1378">
        <v>0</v>
      </c>
      <c r="M15" s="1378">
        <v>0</v>
      </c>
      <c r="N15" s="1378">
        <v>0</v>
      </c>
      <c r="O15" s="1378">
        <v>0</v>
      </c>
      <c r="P15" s="1378">
        <v>100</v>
      </c>
      <c r="Q15" s="1918">
        <v>10</v>
      </c>
      <c r="R15" s="1919"/>
      <c r="S15" s="1375">
        <v>2</v>
      </c>
      <c r="T15" s="1893"/>
      <c r="U15" s="1375" t="s">
        <v>64</v>
      </c>
      <c r="V15" s="1920">
        <v>10092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378"/>
      <c r="E16" s="1378"/>
      <c r="F16" s="1378"/>
      <c r="G16" s="1378"/>
      <c r="H16" s="1378"/>
      <c r="I16" s="1378"/>
      <c r="J16" s="1378"/>
      <c r="K16" s="1378"/>
      <c r="L16" s="1378"/>
      <c r="M16" s="1378"/>
      <c r="N16" s="1378"/>
      <c r="O16" s="1378"/>
      <c r="P16" s="1378"/>
      <c r="Q16" s="1920"/>
      <c r="R16" s="1920"/>
      <c r="S16" s="1378"/>
      <c r="T16" s="1912" t="s">
        <v>55</v>
      </c>
      <c r="U16" s="1912"/>
      <c r="V16" s="1925">
        <f>Y12</f>
        <v>178138.8725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378"/>
      <c r="E17" s="1378"/>
      <c r="F17" s="1378"/>
      <c r="G17" s="1378"/>
      <c r="H17" s="1378"/>
      <c r="I17" s="1378"/>
      <c r="J17" s="1378"/>
      <c r="K17" s="1378"/>
      <c r="L17" s="1378"/>
      <c r="M17" s="1378"/>
      <c r="N17" s="1378"/>
      <c r="O17" s="1378"/>
      <c r="P17" s="1378"/>
      <c r="Q17" s="1883"/>
      <c r="R17" s="1883"/>
      <c r="S17" s="1374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90041</v>
      </c>
      <c r="C18" s="1919"/>
      <c r="D18" s="1380">
        <f>E12</f>
        <v>0</v>
      </c>
      <c r="E18" s="1380">
        <f>G12</f>
        <v>20</v>
      </c>
      <c r="F18" s="1380">
        <f>I12</f>
        <v>4860</v>
      </c>
      <c r="G18" s="1380">
        <f>K12</f>
        <v>0</v>
      </c>
      <c r="H18" s="1378"/>
      <c r="I18" s="1380">
        <f>U12</f>
        <v>0</v>
      </c>
      <c r="J18" s="1378"/>
      <c r="K18" s="1380">
        <f>W12</f>
        <v>1</v>
      </c>
      <c r="L18" s="1378"/>
      <c r="M18" s="1380">
        <f>M12</f>
        <v>0</v>
      </c>
      <c r="N18" s="1380">
        <f>O12</f>
        <v>0</v>
      </c>
      <c r="O18" s="1379">
        <f>Q12</f>
        <v>0</v>
      </c>
      <c r="P18" s="1380"/>
      <c r="Q18" s="1920"/>
      <c r="R18" s="1920"/>
      <c r="S18" s="1375"/>
      <c r="T18" s="1912" t="s">
        <v>57</v>
      </c>
      <c r="U18" s="1912"/>
      <c r="V18" s="1920">
        <v>1250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327343</v>
      </c>
      <c r="C19" s="1919"/>
      <c r="D19" s="1378">
        <f>D15+D16+D17-D18</f>
        <v>130</v>
      </c>
      <c r="E19" s="1378">
        <f t="shared" ref="E19:N19" si="13">E15+E16+E17-E18</f>
        <v>1630</v>
      </c>
      <c r="F19" s="1378">
        <f t="shared" si="13"/>
        <v>19650</v>
      </c>
      <c r="G19" s="1378">
        <f t="shared" si="13"/>
        <v>1000</v>
      </c>
      <c r="H19" s="1378">
        <f t="shared" si="13"/>
        <v>161</v>
      </c>
      <c r="I19" s="1378">
        <f t="shared" si="13"/>
        <v>57</v>
      </c>
      <c r="J19" s="1378">
        <f t="shared" si="13"/>
        <v>4</v>
      </c>
      <c r="K19" s="1378">
        <f t="shared" si="13"/>
        <v>59</v>
      </c>
      <c r="L19" s="1378">
        <f t="shared" si="13"/>
        <v>0</v>
      </c>
      <c r="M19" s="1378">
        <f t="shared" si="13"/>
        <v>0</v>
      </c>
      <c r="N19" s="1378">
        <f t="shared" si="13"/>
        <v>0</v>
      </c>
      <c r="O19" s="1378">
        <f>O15+O16+O17-O18</f>
        <v>0</v>
      </c>
      <c r="P19" s="1378">
        <f t="shared" ref="P19:Q19" si="14">P15+P16+P17-P18</f>
        <v>100</v>
      </c>
      <c r="Q19" s="1918">
        <f t="shared" si="14"/>
        <v>10</v>
      </c>
      <c r="R19" s="1919"/>
      <c r="S19" s="1375">
        <f>S15+S16-S17-S18</f>
        <v>2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315067.63750000001</v>
      </c>
      <c r="C20" s="1945"/>
      <c r="D20" s="290">
        <f>D19*66.41</f>
        <v>8633.2999999999993</v>
      </c>
      <c r="E20" s="290">
        <f>27.9368*E19</f>
        <v>45536.984000000004</v>
      </c>
      <c r="F20" s="290">
        <f>18.31*F19</f>
        <v>359791.5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831244.22149999999</v>
      </c>
      <c r="C21" s="1951"/>
      <c r="O21" s="1382"/>
      <c r="P21" s="1382"/>
      <c r="Q21" s="1382"/>
      <c r="R21" s="1382"/>
      <c r="T21" s="1952" t="s">
        <v>474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/>
      <c r="E22" s="1949"/>
      <c r="F22" s="1949">
        <f>C22-D22+E22</f>
        <v>400000</v>
      </c>
      <c r="G22" s="1382"/>
      <c r="Q22" s="1382"/>
      <c r="R22" s="1382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1382"/>
      <c r="B23" s="1947"/>
      <c r="C23" s="1950"/>
      <c r="D23" s="1950"/>
      <c r="E23" s="1950"/>
      <c r="F23" s="1950"/>
      <c r="G23" s="1382"/>
      <c r="Q23" s="1382"/>
      <c r="R23" s="1382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1382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382"/>
      <c r="Q24" s="1382"/>
      <c r="R24" s="1382"/>
      <c r="T24" s="1893" t="s">
        <v>47</v>
      </c>
      <c r="U24" s="51" t="s">
        <v>62</v>
      </c>
      <c r="V24" s="1921">
        <f>V14+V16+V17-V18-V19-V20-V22+V23-V21</f>
        <v>217834.8725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10092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382"/>
      <c r="J33" s="1382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951B-7265-4EFD-86B8-D1C2C9874039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Z19" sqref="Z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388"/>
      <c r="B3" s="1388"/>
      <c r="C3" s="1388"/>
      <c r="D3" s="1388"/>
      <c r="E3" s="1388"/>
      <c r="F3" s="1388"/>
      <c r="G3" s="1388"/>
      <c r="H3" s="1388"/>
      <c r="I3" s="1388"/>
      <c r="J3" s="1388"/>
      <c r="K3" s="1388"/>
      <c r="L3" s="1388"/>
      <c r="M3" s="1388"/>
      <c r="N3" s="1388"/>
      <c r="O3" s="1388"/>
      <c r="P3" s="1388"/>
      <c r="Q3" s="1388"/>
      <c r="R3" s="1388"/>
      <c r="S3" s="1388"/>
      <c r="T3" s="1900" t="s">
        <v>484</v>
      </c>
      <c r="U3" s="1900"/>
      <c r="V3" s="1900"/>
      <c r="W3" s="1900"/>
      <c r="X3" s="1900"/>
      <c r="Y3" s="1900"/>
    </row>
    <row r="4" spans="1:25" s="138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388" customFormat="1" ht="25.5" customHeight="1" x14ac:dyDescent="0.25">
      <c r="A5" s="1901"/>
      <c r="B5" s="1901"/>
      <c r="C5" s="1387" t="s">
        <v>42</v>
      </c>
      <c r="D5" s="1387" t="s">
        <v>43</v>
      </c>
      <c r="E5" s="1387" t="s">
        <v>42</v>
      </c>
      <c r="F5" s="1387" t="s">
        <v>43</v>
      </c>
      <c r="G5" s="1387" t="s">
        <v>42</v>
      </c>
      <c r="H5" s="1387" t="s">
        <v>43</v>
      </c>
      <c r="I5" s="1387" t="s">
        <v>42</v>
      </c>
      <c r="J5" s="1387" t="s">
        <v>43</v>
      </c>
      <c r="K5" s="1387" t="s">
        <v>42</v>
      </c>
      <c r="L5" s="1387" t="s">
        <v>43</v>
      </c>
      <c r="M5" s="1387" t="s">
        <v>42</v>
      </c>
      <c r="N5" s="1387" t="s">
        <v>43</v>
      </c>
      <c r="O5" s="1387" t="s">
        <v>42</v>
      </c>
      <c r="P5" s="1387" t="s">
        <v>43</v>
      </c>
      <c r="Q5" s="1387" t="s">
        <v>42</v>
      </c>
      <c r="R5" s="13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386" t="s">
        <v>71</v>
      </c>
      <c r="C6" s="1384">
        <v>31147</v>
      </c>
      <c r="D6" s="1383">
        <f t="shared" ref="D6:D11" si="0">0.9725*C6</f>
        <v>30290.4575</v>
      </c>
      <c r="E6" s="1384"/>
      <c r="F6" s="1383">
        <f>67.1*E6</f>
        <v>0</v>
      </c>
      <c r="G6" s="1384">
        <v>60</v>
      </c>
      <c r="H6" s="1384">
        <f>28.2*G6</f>
        <v>1692</v>
      </c>
      <c r="I6" s="1384">
        <v>430</v>
      </c>
      <c r="J6" s="1384">
        <f>18.5*I6</f>
        <v>7955</v>
      </c>
      <c r="K6" s="1384"/>
      <c r="L6" s="1383">
        <f>28.2368*K6</f>
        <v>0</v>
      </c>
      <c r="M6" s="1384"/>
      <c r="N6" s="1383">
        <f>M6*47.6525</f>
        <v>0</v>
      </c>
      <c r="O6" s="1384"/>
      <c r="P6" s="1383">
        <f>O6*8.9</f>
        <v>0</v>
      </c>
      <c r="Q6" s="1383"/>
      <c r="R6" s="1383">
        <f>241*Q6</f>
        <v>0</v>
      </c>
      <c r="S6" s="1384"/>
      <c r="T6" s="1384">
        <f>241*S6</f>
        <v>0</v>
      </c>
      <c r="U6" s="1384"/>
      <c r="V6" s="1384">
        <f>332*U6</f>
        <v>0</v>
      </c>
      <c r="W6" s="1384"/>
      <c r="X6" s="19">
        <f>W6*100</f>
        <v>0</v>
      </c>
      <c r="Y6" s="20">
        <f t="shared" ref="Y6:Y12" si="1">D6+F6+H6+J6+L6+N6+P6+R6+T6+V6+X6</f>
        <v>39937.457500000004</v>
      </c>
    </row>
    <row r="7" spans="1:25" ht="31.5" customHeight="1" x14ac:dyDescent="0.25">
      <c r="A7" s="12">
        <v>1984225578</v>
      </c>
      <c r="B7" s="1386" t="s">
        <v>72</v>
      </c>
      <c r="C7" s="1384">
        <v>12202</v>
      </c>
      <c r="D7" s="1383">
        <f t="shared" si="0"/>
        <v>11866.445</v>
      </c>
      <c r="E7" s="1384"/>
      <c r="F7" s="1384">
        <f t="shared" ref="F7:F11" si="2">67.1*E7</f>
        <v>0</v>
      </c>
      <c r="G7" s="1384"/>
      <c r="H7" s="1384">
        <f t="shared" ref="H7:H11" si="3">28.2*G7</f>
        <v>0</v>
      </c>
      <c r="I7" s="1384">
        <v>450</v>
      </c>
      <c r="J7" s="1384">
        <f t="shared" ref="J7:J11" si="4">18.5*I7</f>
        <v>8325</v>
      </c>
      <c r="K7" s="1384"/>
      <c r="L7" s="1383">
        <f t="shared" ref="L7:L11" si="5">28.2368*K7</f>
        <v>0</v>
      </c>
      <c r="M7" s="1384"/>
      <c r="N7" s="1383">
        <f t="shared" ref="N7:N11" si="6">M7*47.6525</f>
        <v>0</v>
      </c>
      <c r="O7" s="1384"/>
      <c r="P7" s="1383">
        <f t="shared" ref="P7:P11" si="7">O7*8.9</f>
        <v>0</v>
      </c>
      <c r="Q7" s="1383"/>
      <c r="R7" s="1383">
        <f t="shared" ref="R7:R11" si="8">241*Q7</f>
        <v>0</v>
      </c>
      <c r="S7" s="1384"/>
      <c r="T7" s="1384">
        <f t="shared" ref="T7:T10" si="9">241*S7</f>
        <v>0</v>
      </c>
      <c r="U7" s="1384"/>
      <c r="V7" s="1384">
        <f t="shared" ref="V7:V11" si="10">332*U7</f>
        <v>0</v>
      </c>
      <c r="W7" s="1384"/>
      <c r="X7" s="19">
        <f t="shared" ref="X7:X11" si="11">W7*100</f>
        <v>0</v>
      </c>
      <c r="Y7" s="20">
        <f t="shared" si="1"/>
        <v>20191.445</v>
      </c>
    </row>
    <row r="8" spans="1:25" ht="35.25" customHeight="1" x14ac:dyDescent="0.25">
      <c r="A8" s="12">
        <v>1967020280</v>
      </c>
      <c r="B8" s="1386" t="s">
        <v>427</v>
      </c>
      <c r="C8" s="1384">
        <v>30216</v>
      </c>
      <c r="D8" s="1383">
        <f t="shared" si="0"/>
        <v>29385.06</v>
      </c>
      <c r="E8" s="1384"/>
      <c r="F8" s="1384">
        <f t="shared" si="2"/>
        <v>0</v>
      </c>
      <c r="G8" s="1384">
        <v>30</v>
      </c>
      <c r="H8" s="1383">
        <f t="shared" si="3"/>
        <v>846</v>
      </c>
      <c r="I8" s="1384">
        <v>590</v>
      </c>
      <c r="J8" s="1384">
        <f t="shared" si="4"/>
        <v>10915</v>
      </c>
      <c r="K8" s="1384"/>
      <c r="L8" s="1383">
        <f t="shared" si="5"/>
        <v>0</v>
      </c>
      <c r="M8" s="1384"/>
      <c r="N8" s="1383">
        <f t="shared" si="6"/>
        <v>0</v>
      </c>
      <c r="O8" s="1384"/>
      <c r="P8" s="1383">
        <f t="shared" si="7"/>
        <v>0</v>
      </c>
      <c r="Q8" s="1383"/>
      <c r="R8" s="1383">
        <f t="shared" si="8"/>
        <v>0</v>
      </c>
      <c r="S8" s="1384"/>
      <c r="T8" s="1384">
        <f t="shared" si="9"/>
        <v>0</v>
      </c>
      <c r="U8" s="1384"/>
      <c r="V8" s="1384">
        <f t="shared" si="10"/>
        <v>0</v>
      </c>
      <c r="W8" s="1384"/>
      <c r="X8" s="19">
        <f t="shared" si="11"/>
        <v>0</v>
      </c>
      <c r="Y8" s="20">
        <f t="shared" si="1"/>
        <v>41146.06</v>
      </c>
    </row>
    <row r="9" spans="1:25" ht="38.25" customHeight="1" x14ac:dyDescent="0.25">
      <c r="A9" s="12">
        <v>1984225580</v>
      </c>
      <c r="B9" s="1386" t="s">
        <v>75</v>
      </c>
      <c r="C9" s="1384">
        <v>26224</v>
      </c>
      <c r="D9" s="1383">
        <f t="shared" si="0"/>
        <v>25502.84</v>
      </c>
      <c r="E9" s="1384"/>
      <c r="F9" s="1384">
        <f t="shared" si="2"/>
        <v>0</v>
      </c>
      <c r="G9" s="1384"/>
      <c r="H9" s="1384">
        <f t="shared" si="3"/>
        <v>0</v>
      </c>
      <c r="I9" s="1384">
        <v>480</v>
      </c>
      <c r="J9" s="1384">
        <f t="shared" si="4"/>
        <v>8880</v>
      </c>
      <c r="K9" s="1384"/>
      <c r="L9" s="1383">
        <f t="shared" si="5"/>
        <v>0</v>
      </c>
      <c r="M9" s="1384"/>
      <c r="N9" s="1383">
        <f t="shared" si="6"/>
        <v>0</v>
      </c>
      <c r="O9" s="1384"/>
      <c r="P9" s="1383">
        <f t="shared" si="7"/>
        <v>0</v>
      </c>
      <c r="Q9" s="1383"/>
      <c r="R9" s="1383">
        <f t="shared" si="8"/>
        <v>0</v>
      </c>
      <c r="S9" s="1384"/>
      <c r="T9" s="1384">
        <f t="shared" si="9"/>
        <v>0</v>
      </c>
      <c r="U9" s="1384">
        <v>5</v>
      </c>
      <c r="V9" s="1384">
        <f t="shared" si="10"/>
        <v>1660</v>
      </c>
      <c r="W9" s="1384"/>
      <c r="X9" s="19">
        <f t="shared" si="11"/>
        <v>0</v>
      </c>
      <c r="Y9" s="20">
        <f t="shared" si="1"/>
        <v>36042.839999999997</v>
      </c>
    </row>
    <row r="10" spans="1:25" ht="35.25" customHeight="1" x14ac:dyDescent="0.25">
      <c r="A10" s="12">
        <v>1409935199</v>
      </c>
      <c r="C10" s="1384">
        <v>4113</v>
      </c>
      <c r="D10" s="1383">
        <f t="shared" si="0"/>
        <v>3999.8924999999999</v>
      </c>
      <c r="E10" s="1384"/>
      <c r="F10" s="1384">
        <f t="shared" si="2"/>
        <v>0</v>
      </c>
      <c r="G10" s="1384"/>
      <c r="H10" s="1384">
        <f t="shared" si="3"/>
        <v>0</v>
      </c>
      <c r="I10" s="1384">
        <v>3000</v>
      </c>
      <c r="J10" s="1384">
        <f t="shared" si="4"/>
        <v>55500</v>
      </c>
      <c r="K10" s="1384"/>
      <c r="L10" s="1383">
        <f t="shared" si="5"/>
        <v>0</v>
      </c>
      <c r="M10" s="1384"/>
      <c r="N10" s="1383">
        <f t="shared" si="6"/>
        <v>0</v>
      </c>
      <c r="O10" s="1384"/>
      <c r="P10" s="1383">
        <f t="shared" si="7"/>
        <v>0</v>
      </c>
      <c r="Q10" s="1383"/>
      <c r="R10" s="1383">
        <f t="shared" si="8"/>
        <v>0</v>
      </c>
      <c r="S10" s="1384"/>
      <c r="T10" s="1384">
        <f t="shared" si="9"/>
        <v>0</v>
      </c>
      <c r="U10" s="1384"/>
      <c r="V10" s="1384">
        <f t="shared" si="10"/>
        <v>0</v>
      </c>
      <c r="W10" s="1384"/>
      <c r="X10" s="19">
        <f t="shared" si="11"/>
        <v>0</v>
      </c>
      <c r="Y10" s="20">
        <f t="shared" si="1"/>
        <v>59499.892500000002</v>
      </c>
    </row>
    <row r="11" spans="1:25" ht="37.5" customHeight="1" x14ac:dyDescent="0.25">
      <c r="A11" s="12"/>
      <c r="B11" s="1385"/>
      <c r="C11" s="1384"/>
      <c r="D11" s="1383">
        <f t="shared" si="0"/>
        <v>0</v>
      </c>
      <c r="E11" s="1384"/>
      <c r="F11" s="1384">
        <f t="shared" si="2"/>
        <v>0</v>
      </c>
      <c r="G11" s="1384"/>
      <c r="H11" s="1384">
        <f t="shared" si="3"/>
        <v>0</v>
      </c>
      <c r="I11" s="1384"/>
      <c r="J11" s="1384">
        <f t="shared" si="4"/>
        <v>0</v>
      </c>
      <c r="K11" s="1384"/>
      <c r="L11" s="1383">
        <f t="shared" si="5"/>
        <v>0</v>
      </c>
      <c r="M11" s="1384"/>
      <c r="N11" s="1383">
        <f t="shared" si="6"/>
        <v>0</v>
      </c>
      <c r="O11" s="1384"/>
      <c r="P11" s="1383">
        <f t="shared" si="7"/>
        <v>0</v>
      </c>
      <c r="Q11" s="1383"/>
      <c r="R11" s="1383">
        <f t="shared" si="8"/>
        <v>0</v>
      </c>
      <c r="S11" s="1384"/>
      <c r="T11" s="1384">
        <f>341*S11</f>
        <v>0</v>
      </c>
      <c r="U11" s="1384"/>
      <c r="V11" s="1384">
        <f t="shared" si="10"/>
        <v>0</v>
      </c>
      <c r="W11" s="138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103902</v>
      </c>
      <c r="D12" s="18">
        <f t="shared" si="12"/>
        <v>101044.69499999999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4950</v>
      </c>
      <c r="J12" s="18">
        <f t="shared" si="12"/>
        <v>91575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196817.69500000001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92" t="s">
        <v>174</v>
      </c>
      <c r="K14" s="30" t="s">
        <v>36</v>
      </c>
      <c r="L14" s="1392" t="s">
        <v>403</v>
      </c>
      <c r="M14" s="30" t="s">
        <v>429</v>
      </c>
      <c r="N14" s="30" t="s">
        <v>442</v>
      </c>
      <c r="O14" s="1392" t="s">
        <v>114</v>
      </c>
      <c r="P14" s="30" t="s">
        <v>70</v>
      </c>
      <c r="Q14" s="1958" t="s">
        <v>479</v>
      </c>
      <c r="R14" s="1959"/>
      <c r="S14" s="1392" t="s">
        <v>401</v>
      </c>
      <c r="T14" s="1893" t="s">
        <v>46</v>
      </c>
      <c r="U14" s="1386" t="s">
        <v>176</v>
      </c>
      <c r="V14" s="1918">
        <v>217835</v>
      </c>
      <c r="W14" s="1926"/>
      <c r="X14" s="1919"/>
    </row>
    <row r="15" spans="1:25" ht="22.5" customHeight="1" x14ac:dyDescent="0.25">
      <c r="A15" s="100" t="s">
        <v>38</v>
      </c>
      <c r="B15" s="1918">
        <v>327343</v>
      </c>
      <c r="C15" s="1919"/>
      <c r="D15" s="1389">
        <v>130</v>
      </c>
      <c r="E15" s="1389">
        <v>1630</v>
      </c>
      <c r="F15" s="1389">
        <v>19650</v>
      </c>
      <c r="G15" s="1389">
        <v>1000</v>
      </c>
      <c r="H15" s="1389">
        <v>161</v>
      </c>
      <c r="I15" s="1389">
        <v>57</v>
      </c>
      <c r="J15" s="1389">
        <v>4</v>
      </c>
      <c r="K15" s="1389">
        <v>59</v>
      </c>
      <c r="L15" s="1389">
        <v>0</v>
      </c>
      <c r="M15" s="1389">
        <v>0</v>
      </c>
      <c r="N15" s="1389">
        <v>0</v>
      </c>
      <c r="O15" s="1389">
        <v>0</v>
      </c>
      <c r="P15" s="1389">
        <v>100</v>
      </c>
      <c r="Q15" s="1918">
        <v>10</v>
      </c>
      <c r="R15" s="1919"/>
      <c r="S15" s="1386">
        <v>2</v>
      </c>
      <c r="T15" s="1893"/>
      <c r="U15" s="1386" t="s">
        <v>64</v>
      </c>
      <c r="V15" s="1920">
        <v>10092</v>
      </c>
      <c r="W15" s="1920"/>
      <c r="X15" s="1920"/>
    </row>
    <row r="16" spans="1:25" ht="24.75" customHeight="1" x14ac:dyDescent="0.25">
      <c r="A16" s="100" t="s">
        <v>39</v>
      </c>
      <c r="B16" s="1918">
        <v>57142</v>
      </c>
      <c r="C16" s="1919"/>
      <c r="D16" s="1389"/>
      <c r="E16" s="1389"/>
      <c r="F16" s="1389"/>
      <c r="G16" s="1389"/>
      <c r="H16" s="1389"/>
      <c r="I16" s="1389"/>
      <c r="J16" s="1389"/>
      <c r="K16" s="1389"/>
      <c r="L16" s="1389"/>
      <c r="M16" s="1389"/>
      <c r="N16" s="1389"/>
      <c r="O16" s="1389"/>
      <c r="P16" s="1389"/>
      <c r="Q16" s="1920"/>
      <c r="R16" s="1920"/>
      <c r="S16" s="1389"/>
      <c r="T16" s="1912" t="s">
        <v>55</v>
      </c>
      <c r="U16" s="1912"/>
      <c r="V16" s="1925">
        <f>Y12</f>
        <v>196817.69500000001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389"/>
      <c r="E17" s="1389"/>
      <c r="F17" s="1389"/>
      <c r="G17" s="1389"/>
      <c r="H17" s="1389"/>
      <c r="I17" s="1389"/>
      <c r="J17" s="1389"/>
      <c r="K17" s="1389"/>
      <c r="L17" s="1389"/>
      <c r="M17" s="1389"/>
      <c r="N17" s="1389"/>
      <c r="O17" s="1389"/>
      <c r="P17" s="1389"/>
      <c r="Q17" s="1883"/>
      <c r="R17" s="1883"/>
      <c r="S17" s="1385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103902</v>
      </c>
      <c r="C18" s="1919"/>
      <c r="D18" s="1391">
        <f>E12</f>
        <v>0</v>
      </c>
      <c r="E18" s="1391">
        <f>G12</f>
        <v>90</v>
      </c>
      <c r="F18" s="1391">
        <f>I12</f>
        <v>4950</v>
      </c>
      <c r="G18" s="1391">
        <f>K12</f>
        <v>0</v>
      </c>
      <c r="H18" s="1389"/>
      <c r="I18" s="1391">
        <f>U12</f>
        <v>5</v>
      </c>
      <c r="J18" s="1389"/>
      <c r="K18" s="1391">
        <f>W12</f>
        <v>0</v>
      </c>
      <c r="L18" s="1389"/>
      <c r="M18" s="1391">
        <f>M12</f>
        <v>0</v>
      </c>
      <c r="N18" s="1391">
        <f>O12</f>
        <v>0</v>
      </c>
      <c r="O18" s="1390">
        <f>Q12</f>
        <v>0</v>
      </c>
      <c r="P18" s="1391"/>
      <c r="Q18" s="1920"/>
      <c r="R18" s="1920"/>
      <c r="S18" s="1386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280583</v>
      </c>
      <c r="C19" s="1919"/>
      <c r="D19" s="1389">
        <f>D15+D16+D17-D18</f>
        <v>130</v>
      </c>
      <c r="E19" s="1389">
        <f t="shared" ref="E19:N19" si="13">E15+E16+E17-E18</f>
        <v>1540</v>
      </c>
      <c r="F19" s="1389">
        <f t="shared" si="13"/>
        <v>14700</v>
      </c>
      <c r="G19" s="1389">
        <f t="shared" si="13"/>
        <v>1000</v>
      </c>
      <c r="H19" s="1389">
        <f t="shared" si="13"/>
        <v>161</v>
      </c>
      <c r="I19" s="1389">
        <f t="shared" si="13"/>
        <v>52</v>
      </c>
      <c r="J19" s="1389">
        <f t="shared" si="13"/>
        <v>4</v>
      </c>
      <c r="K19" s="1389">
        <f t="shared" si="13"/>
        <v>59</v>
      </c>
      <c r="L19" s="1389">
        <f t="shared" si="13"/>
        <v>0</v>
      </c>
      <c r="M19" s="1389">
        <f t="shared" si="13"/>
        <v>0</v>
      </c>
      <c r="N19" s="1389">
        <f t="shared" si="13"/>
        <v>0</v>
      </c>
      <c r="O19" s="1389">
        <f>O15+O16+O17-O18</f>
        <v>0</v>
      </c>
      <c r="P19" s="1389">
        <f t="shared" ref="P19:Q19" si="14">P15+P16+P17-P18</f>
        <v>100</v>
      </c>
      <c r="Q19" s="1918">
        <f t="shared" si="14"/>
        <v>10</v>
      </c>
      <c r="R19" s="1919"/>
      <c r="S19" s="1386">
        <f>S15+S16-S17-S18</f>
        <v>2</v>
      </c>
      <c r="T19" s="1914" t="s">
        <v>48</v>
      </c>
      <c r="U19" s="49" t="s">
        <v>58</v>
      </c>
      <c r="V19" s="1920">
        <v>400000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270061.13750000001</v>
      </c>
      <c r="C20" s="1945"/>
      <c r="D20" s="290">
        <f>D19*66.41</f>
        <v>8633.2999999999993</v>
      </c>
      <c r="E20" s="290">
        <f>27.9368*E19</f>
        <v>43022.672000000006</v>
      </c>
      <c r="F20" s="290">
        <f>18.31*F19</f>
        <v>269157</v>
      </c>
      <c r="G20" s="290">
        <f>27.9368*G19</f>
        <v>27936.800000000003</v>
      </c>
      <c r="H20" s="290">
        <f>241*H19</f>
        <v>38801</v>
      </c>
      <c r="I20" s="290">
        <f>323*I19</f>
        <v>16796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691473.90950000007</v>
      </c>
      <c r="C21" s="1951"/>
      <c r="O21" s="1393"/>
      <c r="P21" s="1393"/>
      <c r="Q21" s="1393"/>
      <c r="R21" s="1393"/>
      <c r="T21" s="1952" t="s">
        <v>474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>
        <v>400000</v>
      </c>
      <c r="E22" s="1949">
        <v>55000</v>
      </c>
      <c r="F22" s="1949">
        <f>C22-D22+E22</f>
        <v>55000</v>
      </c>
      <c r="G22" s="1393"/>
      <c r="Q22" s="1393"/>
      <c r="R22" s="1393"/>
      <c r="T22" s="1909" t="s">
        <v>83</v>
      </c>
      <c r="U22" s="50" t="s">
        <v>60</v>
      </c>
      <c r="V22" s="1920">
        <v>400180</v>
      </c>
      <c r="W22" s="1920"/>
      <c r="X22" s="1920"/>
      <c r="Y22" s="1927"/>
    </row>
    <row r="23" spans="1:25" ht="39.75" customHeight="1" x14ac:dyDescent="0.25">
      <c r="A23" s="1393"/>
      <c r="B23" s="1947"/>
      <c r="C23" s="1950"/>
      <c r="D23" s="1950"/>
      <c r="E23" s="1950"/>
      <c r="F23" s="1950"/>
      <c r="G23" s="1393"/>
      <c r="Q23" s="1393"/>
      <c r="R23" s="1393"/>
      <c r="T23" s="1910"/>
      <c r="U23" s="50" t="s">
        <v>61</v>
      </c>
      <c r="V23" s="1920">
        <v>400000</v>
      </c>
      <c r="W23" s="1920"/>
      <c r="X23" s="1920"/>
      <c r="Y23" s="1927"/>
    </row>
    <row r="24" spans="1:25" ht="48" customHeight="1" x14ac:dyDescent="0.25">
      <c r="A24" s="1393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393"/>
      <c r="Q24" s="1393"/>
      <c r="R24" s="1393"/>
      <c r="T24" s="1893" t="s">
        <v>47</v>
      </c>
      <c r="U24" s="51" t="s">
        <v>62</v>
      </c>
      <c r="V24" s="1921">
        <f>V14+V16+V17-V18-V19-V20-V22+V23-V21</f>
        <v>13952.695000000007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10272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393"/>
      <c r="J33" s="1393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BD84-B1F2-4BAB-9126-F6C53817F047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399"/>
      <c r="B3" s="1399"/>
      <c r="C3" s="1399"/>
      <c r="D3" s="1399"/>
      <c r="E3" s="1399"/>
      <c r="F3" s="1399"/>
      <c r="G3" s="1399"/>
      <c r="H3" s="1399"/>
      <c r="I3" s="1399"/>
      <c r="J3" s="1399"/>
      <c r="K3" s="1399"/>
      <c r="L3" s="1399"/>
      <c r="M3" s="1399"/>
      <c r="N3" s="1399"/>
      <c r="O3" s="1399"/>
      <c r="P3" s="1399"/>
      <c r="Q3" s="1399"/>
      <c r="R3" s="1399"/>
      <c r="S3" s="1399"/>
      <c r="T3" s="1900" t="s">
        <v>485</v>
      </c>
      <c r="U3" s="1900"/>
      <c r="V3" s="1900"/>
      <c r="W3" s="1900"/>
      <c r="X3" s="1900"/>
      <c r="Y3" s="1900"/>
    </row>
    <row r="4" spans="1:25" s="139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399" customFormat="1" ht="25.5" customHeight="1" x14ac:dyDescent="0.25">
      <c r="A5" s="1901"/>
      <c r="B5" s="1901"/>
      <c r="C5" s="1398" t="s">
        <v>42</v>
      </c>
      <c r="D5" s="1398" t="s">
        <v>43</v>
      </c>
      <c r="E5" s="1398" t="s">
        <v>42</v>
      </c>
      <c r="F5" s="1398" t="s">
        <v>43</v>
      </c>
      <c r="G5" s="1398" t="s">
        <v>42</v>
      </c>
      <c r="H5" s="1398" t="s">
        <v>43</v>
      </c>
      <c r="I5" s="1398" t="s">
        <v>42</v>
      </c>
      <c r="J5" s="1398" t="s">
        <v>43</v>
      </c>
      <c r="K5" s="1398" t="s">
        <v>42</v>
      </c>
      <c r="L5" s="1398" t="s">
        <v>43</v>
      </c>
      <c r="M5" s="1398" t="s">
        <v>42</v>
      </c>
      <c r="N5" s="1398" t="s">
        <v>43</v>
      </c>
      <c r="O5" s="1398" t="s">
        <v>42</v>
      </c>
      <c r="P5" s="1398" t="s">
        <v>43</v>
      </c>
      <c r="Q5" s="1398" t="s">
        <v>42</v>
      </c>
      <c r="R5" s="13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397" t="s">
        <v>71</v>
      </c>
      <c r="C6" s="1395">
        <v>30301</v>
      </c>
      <c r="D6" s="1394">
        <f t="shared" ref="D6:D11" si="0">0.9725*C6</f>
        <v>29467.7225</v>
      </c>
      <c r="E6" s="1395"/>
      <c r="F6" s="1394">
        <f>67.1*E6</f>
        <v>0</v>
      </c>
      <c r="G6" s="1395">
        <v>40</v>
      </c>
      <c r="H6" s="1395">
        <f>28.2*G6</f>
        <v>1128</v>
      </c>
      <c r="I6" s="1395"/>
      <c r="J6" s="1395">
        <f>18.5*I6</f>
        <v>0</v>
      </c>
      <c r="K6" s="1395"/>
      <c r="L6" s="1394">
        <f>28.2368*K6</f>
        <v>0</v>
      </c>
      <c r="M6" s="1395"/>
      <c r="N6" s="1394">
        <f>M6*47.6525</f>
        <v>0</v>
      </c>
      <c r="O6" s="1395"/>
      <c r="P6" s="1394">
        <f>O6*8.9</f>
        <v>0</v>
      </c>
      <c r="Q6" s="1394"/>
      <c r="R6" s="1394">
        <f>241*Q6</f>
        <v>0</v>
      </c>
      <c r="S6" s="1395"/>
      <c r="T6" s="1395">
        <f>241*S6</f>
        <v>0</v>
      </c>
      <c r="U6" s="1395">
        <v>1</v>
      </c>
      <c r="V6" s="1395">
        <f>332*U6</f>
        <v>332</v>
      </c>
      <c r="W6" s="1395"/>
      <c r="X6" s="19">
        <f>W6*100</f>
        <v>0</v>
      </c>
      <c r="Y6" s="20">
        <f t="shared" ref="Y6:Y12" si="1">D6+F6+H6+J6+L6+N6+P6+R6+T6+V6+X6</f>
        <v>30927.7225</v>
      </c>
    </row>
    <row r="7" spans="1:25" ht="31.5" customHeight="1" x14ac:dyDescent="0.25">
      <c r="A7" s="12">
        <v>1984225578</v>
      </c>
      <c r="B7" s="1397" t="s">
        <v>72</v>
      </c>
      <c r="C7" s="1395">
        <v>13974</v>
      </c>
      <c r="D7" s="1394">
        <f t="shared" si="0"/>
        <v>13589.715</v>
      </c>
      <c r="E7" s="1395"/>
      <c r="F7" s="1395">
        <f t="shared" ref="F7:F11" si="2">67.1*E7</f>
        <v>0</v>
      </c>
      <c r="G7" s="1395"/>
      <c r="H7" s="1395">
        <f t="shared" ref="H7:H11" si="3">28.2*G7</f>
        <v>0</v>
      </c>
      <c r="I7" s="1395"/>
      <c r="J7" s="1395">
        <f t="shared" ref="J7:J11" si="4">18.5*I7</f>
        <v>0</v>
      </c>
      <c r="K7" s="1395"/>
      <c r="L7" s="1394">
        <f t="shared" ref="L7:L11" si="5">28.2368*K7</f>
        <v>0</v>
      </c>
      <c r="M7" s="1395"/>
      <c r="N7" s="1394">
        <f t="shared" ref="N7:N11" si="6">M7*47.6525</f>
        <v>0</v>
      </c>
      <c r="O7" s="1395"/>
      <c r="P7" s="1394">
        <f t="shared" ref="P7:P11" si="7">O7*8.9</f>
        <v>0</v>
      </c>
      <c r="Q7" s="1394"/>
      <c r="R7" s="1394">
        <f t="shared" ref="R7:R11" si="8">241*Q7</f>
        <v>0</v>
      </c>
      <c r="S7" s="1395"/>
      <c r="T7" s="1395">
        <f t="shared" ref="T7:T10" si="9">241*S7</f>
        <v>0</v>
      </c>
      <c r="U7" s="1395"/>
      <c r="V7" s="1395">
        <f t="shared" ref="V7:V11" si="10">332*U7</f>
        <v>0</v>
      </c>
      <c r="W7" s="1395"/>
      <c r="X7" s="19">
        <f t="shared" ref="X7:X11" si="11">W7*100</f>
        <v>0</v>
      </c>
      <c r="Y7" s="20">
        <f t="shared" si="1"/>
        <v>13589.715</v>
      </c>
    </row>
    <row r="8" spans="1:25" ht="35.25" customHeight="1" x14ac:dyDescent="0.25">
      <c r="A8" s="12">
        <v>1967020280</v>
      </c>
      <c r="B8" s="1397" t="s">
        <v>427</v>
      </c>
      <c r="C8" s="1395">
        <v>14791</v>
      </c>
      <c r="D8" s="1394">
        <f t="shared" si="0"/>
        <v>14384.247500000001</v>
      </c>
      <c r="E8" s="1395"/>
      <c r="F8" s="1395">
        <f t="shared" si="2"/>
        <v>0</v>
      </c>
      <c r="G8" s="1395">
        <v>30</v>
      </c>
      <c r="H8" s="1394">
        <f t="shared" si="3"/>
        <v>846</v>
      </c>
      <c r="I8" s="1395"/>
      <c r="J8" s="1395">
        <f t="shared" si="4"/>
        <v>0</v>
      </c>
      <c r="K8" s="1395">
        <v>220</v>
      </c>
      <c r="L8" s="1394">
        <f t="shared" si="5"/>
        <v>6212.0959999999995</v>
      </c>
      <c r="M8" s="1395"/>
      <c r="N8" s="1394">
        <f t="shared" si="6"/>
        <v>0</v>
      </c>
      <c r="O8" s="1395"/>
      <c r="P8" s="1394">
        <f t="shared" si="7"/>
        <v>0</v>
      </c>
      <c r="Q8" s="1394"/>
      <c r="R8" s="1394">
        <f t="shared" si="8"/>
        <v>0</v>
      </c>
      <c r="S8" s="1395"/>
      <c r="T8" s="1395">
        <f t="shared" si="9"/>
        <v>0</v>
      </c>
      <c r="U8" s="1395"/>
      <c r="V8" s="1395">
        <f t="shared" si="10"/>
        <v>0</v>
      </c>
      <c r="W8" s="1395">
        <v>1</v>
      </c>
      <c r="X8" s="19">
        <f t="shared" si="11"/>
        <v>100</v>
      </c>
      <c r="Y8" s="20">
        <f t="shared" si="1"/>
        <v>21542.343500000003</v>
      </c>
    </row>
    <row r="9" spans="1:25" ht="38.25" customHeight="1" x14ac:dyDescent="0.25">
      <c r="A9" s="12">
        <v>1984225580</v>
      </c>
      <c r="B9" s="1397" t="s">
        <v>75</v>
      </c>
      <c r="C9" s="1395">
        <v>20502</v>
      </c>
      <c r="D9" s="1394">
        <f t="shared" si="0"/>
        <v>19938.195</v>
      </c>
      <c r="E9" s="1395"/>
      <c r="F9" s="1395">
        <f t="shared" si="2"/>
        <v>0</v>
      </c>
      <c r="G9" s="1395">
        <v>10</v>
      </c>
      <c r="H9" s="1395">
        <f t="shared" si="3"/>
        <v>282</v>
      </c>
      <c r="I9" s="1395">
        <v>20</v>
      </c>
      <c r="J9" s="1395">
        <f t="shared" si="4"/>
        <v>370</v>
      </c>
      <c r="K9" s="1395"/>
      <c r="L9" s="1394">
        <f t="shared" si="5"/>
        <v>0</v>
      </c>
      <c r="M9" s="1395"/>
      <c r="N9" s="1394">
        <f t="shared" si="6"/>
        <v>0</v>
      </c>
      <c r="O9" s="1395"/>
      <c r="P9" s="1394">
        <f t="shared" si="7"/>
        <v>0</v>
      </c>
      <c r="Q9" s="1394"/>
      <c r="R9" s="1394">
        <f t="shared" si="8"/>
        <v>0</v>
      </c>
      <c r="S9" s="1395"/>
      <c r="T9" s="1395">
        <f t="shared" si="9"/>
        <v>0</v>
      </c>
      <c r="U9" s="1395">
        <v>3</v>
      </c>
      <c r="V9" s="1395">
        <f t="shared" si="10"/>
        <v>996</v>
      </c>
      <c r="W9" s="1395"/>
      <c r="X9" s="19">
        <f t="shared" si="11"/>
        <v>0</v>
      </c>
      <c r="Y9" s="20">
        <f t="shared" si="1"/>
        <v>21586.195</v>
      </c>
    </row>
    <row r="10" spans="1:25" ht="35.25" customHeight="1" x14ac:dyDescent="0.25">
      <c r="A10" s="12">
        <v>1409935199</v>
      </c>
      <c r="C10" s="1395"/>
      <c r="D10" s="1394">
        <f t="shared" si="0"/>
        <v>0</v>
      </c>
      <c r="E10" s="1395"/>
      <c r="F10" s="1395">
        <f t="shared" si="2"/>
        <v>0</v>
      </c>
      <c r="G10" s="1395"/>
      <c r="H10" s="1395">
        <f t="shared" si="3"/>
        <v>0</v>
      </c>
      <c r="I10" s="1395"/>
      <c r="J10" s="1395">
        <f t="shared" si="4"/>
        <v>0</v>
      </c>
      <c r="K10" s="1395"/>
      <c r="L10" s="1394">
        <f t="shared" si="5"/>
        <v>0</v>
      </c>
      <c r="M10" s="1395"/>
      <c r="N10" s="1394">
        <f t="shared" si="6"/>
        <v>0</v>
      </c>
      <c r="O10" s="1395"/>
      <c r="P10" s="1394">
        <f t="shared" si="7"/>
        <v>0</v>
      </c>
      <c r="Q10" s="1394"/>
      <c r="R10" s="1394">
        <f t="shared" si="8"/>
        <v>0</v>
      </c>
      <c r="S10" s="1395"/>
      <c r="T10" s="1395">
        <f t="shared" si="9"/>
        <v>0</v>
      </c>
      <c r="U10" s="1395"/>
      <c r="V10" s="1395">
        <f t="shared" si="10"/>
        <v>0</v>
      </c>
      <c r="W10" s="13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96"/>
      <c r="C11" s="1395"/>
      <c r="D11" s="1394">
        <f t="shared" si="0"/>
        <v>0</v>
      </c>
      <c r="E11" s="1395"/>
      <c r="F11" s="1395">
        <f t="shared" si="2"/>
        <v>0</v>
      </c>
      <c r="G11" s="1395"/>
      <c r="H11" s="1395">
        <f t="shared" si="3"/>
        <v>0</v>
      </c>
      <c r="I11" s="1395"/>
      <c r="J11" s="1395">
        <f t="shared" si="4"/>
        <v>0</v>
      </c>
      <c r="K11" s="1395"/>
      <c r="L11" s="1394">
        <f t="shared" si="5"/>
        <v>0</v>
      </c>
      <c r="M11" s="1395"/>
      <c r="N11" s="1394">
        <f t="shared" si="6"/>
        <v>0</v>
      </c>
      <c r="O11" s="1395"/>
      <c r="P11" s="1394">
        <f t="shared" si="7"/>
        <v>0</v>
      </c>
      <c r="Q11" s="1394"/>
      <c r="R11" s="1394">
        <f t="shared" si="8"/>
        <v>0</v>
      </c>
      <c r="S11" s="1395"/>
      <c r="T11" s="1395">
        <f>341*S11</f>
        <v>0</v>
      </c>
      <c r="U11" s="1395"/>
      <c r="V11" s="1395">
        <f t="shared" si="10"/>
        <v>0</v>
      </c>
      <c r="W11" s="13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79568</v>
      </c>
      <c r="D12" s="18">
        <f t="shared" si="12"/>
        <v>77379.88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20</v>
      </c>
      <c r="J12" s="18">
        <f t="shared" si="12"/>
        <v>370</v>
      </c>
      <c r="K12" s="18">
        <f t="shared" si="12"/>
        <v>220</v>
      </c>
      <c r="L12" s="18">
        <f t="shared" si="12"/>
        <v>6212.0959999999995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1</v>
      </c>
      <c r="X12" s="18">
        <f t="shared" si="12"/>
        <v>100</v>
      </c>
      <c r="Y12" s="20">
        <f t="shared" si="1"/>
        <v>87645.97600000001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03" t="s">
        <v>174</v>
      </c>
      <c r="K14" s="30" t="s">
        <v>36</v>
      </c>
      <c r="L14" s="1403" t="s">
        <v>403</v>
      </c>
      <c r="M14" s="30" t="s">
        <v>429</v>
      </c>
      <c r="N14" s="30" t="s">
        <v>442</v>
      </c>
      <c r="O14" s="1403" t="s">
        <v>114</v>
      </c>
      <c r="P14" s="30" t="s">
        <v>70</v>
      </c>
      <c r="Q14" s="1958" t="s">
        <v>479</v>
      </c>
      <c r="R14" s="1959"/>
      <c r="S14" s="1403" t="s">
        <v>401</v>
      </c>
      <c r="T14" s="1893" t="s">
        <v>46</v>
      </c>
      <c r="U14" s="1397" t="s">
        <v>176</v>
      </c>
      <c r="V14" s="1918">
        <v>13953</v>
      </c>
      <c r="W14" s="1926"/>
      <c r="X14" s="1919"/>
    </row>
    <row r="15" spans="1:25" ht="22.5" customHeight="1" x14ac:dyDescent="0.25">
      <c r="A15" s="100" t="s">
        <v>38</v>
      </c>
      <c r="B15" s="1918">
        <v>280583</v>
      </c>
      <c r="C15" s="1919"/>
      <c r="D15" s="1400">
        <v>130</v>
      </c>
      <c r="E15" s="1400">
        <v>1540</v>
      </c>
      <c r="F15" s="1400">
        <v>14700</v>
      </c>
      <c r="G15" s="1400">
        <v>1000</v>
      </c>
      <c r="H15" s="1400">
        <v>161</v>
      </c>
      <c r="I15" s="1400">
        <v>52</v>
      </c>
      <c r="J15" s="1400">
        <v>4</v>
      </c>
      <c r="K15" s="1400">
        <v>59</v>
      </c>
      <c r="L15" s="1400">
        <v>0</v>
      </c>
      <c r="M15" s="1400">
        <v>0</v>
      </c>
      <c r="N15" s="1400">
        <v>0</v>
      </c>
      <c r="O15" s="1400">
        <v>0</v>
      </c>
      <c r="P15" s="1400">
        <v>100</v>
      </c>
      <c r="Q15" s="1918">
        <v>10</v>
      </c>
      <c r="R15" s="1919"/>
      <c r="S15" s="1397">
        <v>2</v>
      </c>
      <c r="T15" s="1893"/>
      <c r="U15" s="1397" t="s">
        <v>64</v>
      </c>
      <c r="V15" s="1920">
        <v>10272</v>
      </c>
      <c r="W15" s="1920"/>
      <c r="X15" s="1920"/>
    </row>
    <row r="16" spans="1:25" ht="24.75" customHeight="1" x14ac:dyDescent="0.25">
      <c r="A16" s="100" t="s">
        <v>39</v>
      </c>
      <c r="B16" s="1918">
        <v>80000</v>
      </c>
      <c r="C16" s="1919"/>
      <c r="D16" s="1400"/>
      <c r="E16" s="1400"/>
      <c r="F16" s="1400"/>
      <c r="G16" s="1400"/>
      <c r="H16" s="1400"/>
      <c r="I16" s="1400"/>
      <c r="J16" s="1400"/>
      <c r="K16" s="1400">
        <v>25</v>
      </c>
      <c r="L16" s="1400"/>
      <c r="M16" s="1400"/>
      <c r="N16" s="1400"/>
      <c r="O16" s="1400"/>
      <c r="P16" s="1400"/>
      <c r="Q16" s="1920"/>
      <c r="R16" s="1920"/>
      <c r="S16" s="1400"/>
      <c r="T16" s="1912" t="s">
        <v>55</v>
      </c>
      <c r="U16" s="1912"/>
      <c r="V16" s="1925">
        <f>Y12</f>
        <v>87645.97600000001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400"/>
      <c r="E17" s="1400"/>
      <c r="F17" s="1400"/>
      <c r="G17" s="1400"/>
      <c r="H17" s="1400"/>
      <c r="I17" s="1400"/>
      <c r="J17" s="1400"/>
      <c r="K17" s="1400"/>
      <c r="L17" s="1400"/>
      <c r="M17" s="1400"/>
      <c r="N17" s="1400"/>
      <c r="O17" s="1400"/>
      <c r="P17" s="1400"/>
      <c r="Q17" s="1883"/>
      <c r="R17" s="1883"/>
      <c r="S17" s="1396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79568</v>
      </c>
      <c r="C18" s="1919"/>
      <c r="D18" s="1402">
        <f>E12</f>
        <v>0</v>
      </c>
      <c r="E18" s="1402">
        <f>G12</f>
        <v>80</v>
      </c>
      <c r="F18" s="1402">
        <f>I12</f>
        <v>20</v>
      </c>
      <c r="G18" s="1402">
        <f>K12</f>
        <v>220</v>
      </c>
      <c r="H18" s="1400"/>
      <c r="I18" s="1402">
        <f>U12</f>
        <v>4</v>
      </c>
      <c r="J18" s="1400"/>
      <c r="K18" s="1402">
        <f>W12</f>
        <v>1</v>
      </c>
      <c r="L18" s="1400"/>
      <c r="M18" s="1402">
        <f>M12</f>
        <v>0</v>
      </c>
      <c r="N18" s="1402">
        <f>O12</f>
        <v>0</v>
      </c>
      <c r="O18" s="1401">
        <f>Q12</f>
        <v>0</v>
      </c>
      <c r="P18" s="1402"/>
      <c r="Q18" s="1920"/>
      <c r="R18" s="1920"/>
      <c r="S18" s="1397"/>
      <c r="T18" s="1912" t="s">
        <v>57</v>
      </c>
      <c r="U18" s="1912"/>
      <c r="V18" s="1920">
        <v>770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281015</v>
      </c>
      <c r="C19" s="1919"/>
      <c r="D19" s="1400">
        <f>D15+D16+D17-D18</f>
        <v>130</v>
      </c>
      <c r="E19" s="1400">
        <f t="shared" ref="E19:N19" si="13">E15+E16+E17-E18</f>
        <v>1460</v>
      </c>
      <c r="F19" s="1400">
        <f t="shared" si="13"/>
        <v>14680</v>
      </c>
      <c r="G19" s="1400">
        <f t="shared" si="13"/>
        <v>780</v>
      </c>
      <c r="H19" s="1400">
        <f t="shared" si="13"/>
        <v>161</v>
      </c>
      <c r="I19" s="1400">
        <f t="shared" si="13"/>
        <v>48</v>
      </c>
      <c r="J19" s="1400">
        <f t="shared" si="13"/>
        <v>4</v>
      </c>
      <c r="K19" s="1400">
        <f t="shared" si="13"/>
        <v>83</v>
      </c>
      <c r="L19" s="1400">
        <f t="shared" si="13"/>
        <v>0</v>
      </c>
      <c r="M19" s="1400">
        <f t="shared" si="13"/>
        <v>0</v>
      </c>
      <c r="N19" s="1400">
        <f t="shared" si="13"/>
        <v>0</v>
      </c>
      <c r="O19" s="1400">
        <f>O15+O16+O17-O18</f>
        <v>0</v>
      </c>
      <c r="P19" s="1400">
        <f t="shared" ref="P19:Q19" si="14">P15+P16+P17-P18</f>
        <v>100</v>
      </c>
      <c r="Q19" s="1918">
        <f t="shared" si="14"/>
        <v>10</v>
      </c>
      <c r="R19" s="1919"/>
      <c r="S19" s="1397">
        <f>S15+S16-S17-S18</f>
        <v>2</v>
      </c>
      <c r="T19" s="1914" t="s">
        <v>48</v>
      </c>
      <c r="U19" s="49" t="s">
        <v>58</v>
      </c>
      <c r="V19" s="1920">
        <v>55000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270476.9375</v>
      </c>
      <c r="C20" s="1945"/>
      <c r="D20" s="290">
        <f>D19*66.41</f>
        <v>8633.2999999999993</v>
      </c>
      <c r="E20" s="290">
        <f>27.9368*E19</f>
        <v>40787.728000000003</v>
      </c>
      <c r="F20" s="290">
        <f>18.31*F19</f>
        <v>268790.8</v>
      </c>
      <c r="G20" s="290">
        <f>27.9368*G19</f>
        <v>21790.704000000002</v>
      </c>
      <c r="H20" s="290">
        <f>241*H19</f>
        <v>38801</v>
      </c>
      <c r="I20" s="290">
        <f>323*I19</f>
        <v>15504</v>
      </c>
      <c r="J20" s="290">
        <f>241*J19</f>
        <v>964</v>
      </c>
      <c r="K20" s="290">
        <f>K19*100</f>
        <v>8300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684250.46950000001</v>
      </c>
      <c r="C21" s="1951"/>
      <c r="O21" s="1404"/>
      <c r="P21" s="1404"/>
      <c r="Q21" s="1404"/>
      <c r="R21" s="1404"/>
      <c r="T21" s="1952" t="s">
        <v>474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55000</v>
      </c>
      <c r="D22" s="1949">
        <v>55000</v>
      </c>
      <c r="E22" s="1949">
        <v>79500</v>
      </c>
      <c r="F22" s="1949">
        <f>C22-D22+E22</f>
        <v>79500</v>
      </c>
      <c r="G22" s="1404"/>
      <c r="Q22" s="1404"/>
      <c r="R22" s="1404"/>
      <c r="T22" s="1909" t="s">
        <v>83</v>
      </c>
      <c r="U22" s="50" t="s">
        <v>60</v>
      </c>
      <c r="V22" s="1920">
        <v>61940</v>
      </c>
      <c r="W22" s="1920"/>
      <c r="X22" s="1920"/>
      <c r="Y22" s="1927"/>
    </row>
    <row r="23" spans="1:25" ht="39.75" customHeight="1" x14ac:dyDescent="0.25">
      <c r="A23" s="1404"/>
      <c r="B23" s="1947"/>
      <c r="C23" s="1950"/>
      <c r="D23" s="1950"/>
      <c r="E23" s="1950"/>
      <c r="F23" s="1950"/>
      <c r="G23" s="1404"/>
      <c r="Q23" s="1404"/>
      <c r="R23" s="1404"/>
      <c r="T23" s="1910"/>
      <c r="U23" s="50" t="s">
        <v>61</v>
      </c>
      <c r="V23" s="1920">
        <v>55000</v>
      </c>
      <c r="W23" s="1920"/>
      <c r="X23" s="1920"/>
      <c r="Y23" s="1927"/>
    </row>
    <row r="24" spans="1:25" ht="48" customHeight="1" x14ac:dyDescent="0.25">
      <c r="A24" s="1404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404"/>
      <c r="Q24" s="1404"/>
      <c r="R24" s="1404"/>
      <c r="T24" s="1893" t="s">
        <v>47</v>
      </c>
      <c r="U24" s="51" t="s">
        <v>62</v>
      </c>
      <c r="V24" s="1921">
        <f>V14+V16+V17-V18-V19-V20-V22+V23-V21</f>
        <v>38888.97600000001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17212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404"/>
      <c r="J33" s="1404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15B3-AAF7-44F2-93CF-4E020DCF20F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405"/>
      <c r="B3" s="1405"/>
      <c r="C3" s="1405"/>
      <c r="D3" s="1405"/>
      <c r="E3" s="1405"/>
      <c r="F3" s="1405"/>
      <c r="G3" s="1405"/>
      <c r="H3" s="1405"/>
      <c r="I3" s="1405"/>
      <c r="J3" s="1405"/>
      <c r="K3" s="1405"/>
      <c r="L3" s="1405"/>
      <c r="M3" s="1405"/>
      <c r="N3" s="1405"/>
      <c r="O3" s="1405"/>
      <c r="P3" s="1405"/>
      <c r="Q3" s="1405"/>
      <c r="R3" s="1405"/>
      <c r="S3" s="1405"/>
      <c r="T3" s="1900" t="s">
        <v>486</v>
      </c>
      <c r="U3" s="1900"/>
      <c r="V3" s="1900"/>
      <c r="W3" s="1900"/>
      <c r="X3" s="1900"/>
      <c r="Y3" s="1900"/>
    </row>
    <row r="4" spans="1:25" s="140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405" customFormat="1" ht="25.5" customHeight="1" x14ac:dyDescent="0.25">
      <c r="A5" s="1901"/>
      <c r="B5" s="1901"/>
      <c r="C5" s="1407" t="s">
        <v>42</v>
      </c>
      <c r="D5" s="1407" t="s">
        <v>43</v>
      </c>
      <c r="E5" s="1407" t="s">
        <v>42</v>
      </c>
      <c r="F5" s="1407" t="s">
        <v>43</v>
      </c>
      <c r="G5" s="1407" t="s">
        <v>42</v>
      </c>
      <c r="H5" s="1407" t="s">
        <v>43</v>
      </c>
      <c r="I5" s="1407" t="s">
        <v>42</v>
      </c>
      <c r="J5" s="1407" t="s">
        <v>43</v>
      </c>
      <c r="K5" s="1407" t="s">
        <v>42</v>
      </c>
      <c r="L5" s="1407" t="s">
        <v>43</v>
      </c>
      <c r="M5" s="1407" t="s">
        <v>42</v>
      </c>
      <c r="N5" s="1407" t="s">
        <v>43</v>
      </c>
      <c r="O5" s="1407" t="s">
        <v>42</v>
      </c>
      <c r="P5" s="1407" t="s">
        <v>43</v>
      </c>
      <c r="Q5" s="1407" t="s">
        <v>42</v>
      </c>
      <c r="R5" s="1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406" t="s">
        <v>71</v>
      </c>
      <c r="C6" s="1409">
        <v>29008</v>
      </c>
      <c r="D6" s="1410">
        <f t="shared" ref="D6:D11" si="0">0.9725*C6</f>
        <v>28210.280000000002</v>
      </c>
      <c r="E6" s="1409"/>
      <c r="F6" s="1410">
        <f>67.1*E6</f>
        <v>0</v>
      </c>
      <c r="G6" s="1409"/>
      <c r="H6" s="1409">
        <f>28.2*G6</f>
        <v>0</v>
      </c>
      <c r="I6" s="1409">
        <v>660</v>
      </c>
      <c r="J6" s="1409">
        <f>18.5*I6</f>
        <v>12210</v>
      </c>
      <c r="K6" s="1409"/>
      <c r="L6" s="1410">
        <f>28.2368*K6</f>
        <v>0</v>
      </c>
      <c r="M6" s="1409"/>
      <c r="N6" s="1410">
        <f>M6*47.6525</f>
        <v>0</v>
      </c>
      <c r="O6" s="1409"/>
      <c r="P6" s="1410">
        <f>O6*8.9</f>
        <v>0</v>
      </c>
      <c r="Q6" s="1410"/>
      <c r="R6" s="1410">
        <f>241*Q6</f>
        <v>0</v>
      </c>
      <c r="S6" s="1409"/>
      <c r="T6" s="1409">
        <f>241*S6</f>
        <v>0</v>
      </c>
      <c r="U6" s="1409">
        <v>3</v>
      </c>
      <c r="V6" s="1409">
        <f>332*U6</f>
        <v>996</v>
      </c>
      <c r="W6" s="1409">
        <v>1</v>
      </c>
      <c r="X6" s="19">
        <f>W6*100</f>
        <v>100</v>
      </c>
      <c r="Y6" s="20">
        <f t="shared" ref="Y6:Y12" si="1">D6+F6+H6+J6+L6+N6+P6+R6+T6+V6+X6</f>
        <v>41516.28</v>
      </c>
    </row>
    <row r="7" spans="1:25" ht="31.5" customHeight="1" x14ac:dyDescent="0.25">
      <c r="A7" s="12">
        <v>1984225578</v>
      </c>
      <c r="B7" s="1406" t="s">
        <v>72</v>
      </c>
      <c r="C7" s="1409">
        <v>12285</v>
      </c>
      <c r="D7" s="1410">
        <f t="shared" si="0"/>
        <v>11947.1625</v>
      </c>
      <c r="E7" s="1409"/>
      <c r="F7" s="1409">
        <f t="shared" ref="F7:F11" si="2">67.1*E7</f>
        <v>0</v>
      </c>
      <c r="G7" s="1409">
        <v>100</v>
      </c>
      <c r="H7" s="1409">
        <f t="shared" ref="H7:H11" si="3">28.2*G7</f>
        <v>2820</v>
      </c>
      <c r="I7" s="1409">
        <v>1810</v>
      </c>
      <c r="J7" s="1409">
        <f t="shared" ref="J7:J11" si="4">18.5*I7</f>
        <v>33485</v>
      </c>
      <c r="K7" s="1409"/>
      <c r="L7" s="1410">
        <f t="shared" ref="L7:L11" si="5">28.2368*K7</f>
        <v>0</v>
      </c>
      <c r="M7" s="1409"/>
      <c r="N7" s="1410">
        <f t="shared" ref="N7:N11" si="6">M7*47.6525</f>
        <v>0</v>
      </c>
      <c r="O7" s="1409"/>
      <c r="P7" s="1410">
        <f t="shared" ref="P7:P11" si="7">O7*8.9</f>
        <v>0</v>
      </c>
      <c r="Q7" s="1410"/>
      <c r="R7" s="1410">
        <f t="shared" ref="R7:R11" si="8">241*Q7</f>
        <v>0</v>
      </c>
      <c r="S7" s="1409"/>
      <c r="T7" s="1409">
        <f t="shared" ref="T7:T10" si="9">241*S7</f>
        <v>0</v>
      </c>
      <c r="U7" s="1409"/>
      <c r="V7" s="1409">
        <f t="shared" ref="V7:V11" si="10">332*U7</f>
        <v>0</v>
      </c>
      <c r="W7" s="1409"/>
      <c r="X7" s="19">
        <f t="shared" ref="X7:X11" si="11">W7*100</f>
        <v>0</v>
      </c>
      <c r="Y7" s="20">
        <f t="shared" si="1"/>
        <v>48252.162499999999</v>
      </c>
    </row>
    <row r="8" spans="1:25" ht="35.25" customHeight="1" x14ac:dyDescent="0.25">
      <c r="A8" s="12">
        <v>1967020280</v>
      </c>
      <c r="B8" s="1406" t="s">
        <v>427</v>
      </c>
      <c r="C8" s="1409">
        <v>36510</v>
      </c>
      <c r="D8" s="1410">
        <f t="shared" si="0"/>
        <v>35505.974999999999</v>
      </c>
      <c r="E8" s="1409"/>
      <c r="F8" s="1409">
        <f t="shared" si="2"/>
        <v>0</v>
      </c>
      <c r="G8" s="1409">
        <v>20</v>
      </c>
      <c r="H8" s="1410">
        <f t="shared" si="3"/>
        <v>564</v>
      </c>
      <c r="I8" s="1409">
        <v>540</v>
      </c>
      <c r="J8" s="1409">
        <f t="shared" si="4"/>
        <v>9990</v>
      </c>
      <c r="K8" s="1409">
        <v>100</v>
      </c>
      <c r="L8" s="1410">
        <f t="shared" si="5"/>
        <v>2823.68</v>
      </c>
      <c r="M8" s="1409"/>
      <c r="N8" s="1410">
        <f t="shared" si="6"/>
        <v>0</v>
      </c>
      <c r="O8" s="1409"/>
      <c r="P8" s="1410">
        <f t="shared" si="7"/>
        <v>0</v>
      </c>
      <c r="Q8" s="1410"/>
      <c r="R8" s="1410">
        <f t="shared" si="8"/>
        <v>0</v>
      </c>
      <c r="S8" s="1409"/>
      <c r="T8" s="1409">
        <f t="shared" si="9"/>
        <v>0</v>
      </c>
      <c r="U8" s="1409"/>
      <c r="V8" s="1409">
        <f t="shared" si="10"/>
        <v>0</v>
      </c>
      <c r="W8" s="1409"/>
      <c r="X8" s="19">
        <f t="shared" si="11"/>
        <v>0</v>
      </c>
      <c r="Y8" s="20">
        <f t="shared" si="1"/>
        <v>48883.654999999999</v>
      </c>
    </row>
    <row r="9" spans="1:25" ht="38.25" customHeight="1" x14ac:dyDescent="0.25">
      <c r="A9" s="12">
        <v>1984225580</v>
      </c>
      <c r="B9" s="1406" t="s">
        <v>75</v>
      </c>
      <c r="C9" s="1409">
        <v>37651</v>
      </c>
      <c r="D9" s="1410">
        <f t="shared" si="0"/>
        <v>36615.597500000003</v>
      </c>
      <c r="E9" s="1409"/>
      <c r="F9" s="1409">
        <f t="shared" si="2"/>
        <v>0</v>
      </c>
      <c r="G9" s="1409">
        <v>40</v>
      </c>
      <c r="H9" s="1409">
        <f t="shared" si="3"/>
        <v>1128</v>
      </c>
      <c r="I9" s="1409">
        <v>170</v>
      </c>
      <c r="J9" s="1409">
        <f t="shared" si="4"/>
        <v>3145</v>
      </c>
      <c r="K9" s="1409"/>
      <c r="L9" s="1410">
        <f t="shared" si="5"/>
        <v>0</v>
      </c>
      <c r="M9" s="1409"/>
      <c r="N9" s="1410">
        <f t="shared" si="6"/>
        <v>0</v>
      </c>
      <c r="O9" s="1409"/>
      <c r="P9" s="1410">
        <f t="shared" si="7"/>
        <v>0</v>
      </c>
      <c r="Q9" s="1410"/>
      <c r="R9" s="1410">
        <f t="shared" si="8"/>
        <v>0</v>
      </c>
      <c r="S9" s="1409"/>
      <c r="T9" s="1409">
        <f t="shared" si="9"/>
        <v>0</v>
      </c>
      <c r="U9" s="1409"/>
      <c r="V9" s="1409">
        <f t="shared" si="10"/>
        <v>0</v>
      </c>
      <c r="W9" s="1409"/>
      <c r="X9" s="19">
        <f t="shared" si="11"/>
        <v>0</v>
      </c>
      <c r="Y9" s="20">
        <f t="shared" si="1"/>
        <v>40888.597500000003</v>
      </c>
    </row>
    <row r="10" spans="1:25" ht="35.25" customHeight="1" x14ac:dyDescent="0.25">
      <c r="A10" s="12">
        <v>1409935199</v>
      </c>
      <c r="C10" s="1409"/>
      <c r="D10" s="1410">
        <f t="shared" si="0"/>
        <v>0</v>
      </c>
      <c r="E10" s="1409"/>
      <c r="F10" s="1409">
        <f t="shared" si="2"/>
        <v>0</v>
      </c>
      <c r="G10" s="1409"/>
      <c r="H10" s="1409">
        <f t="shared" si="3"/>
        <v>0</v>
      </c>
      <c r="I10" s="1409"/>
      <c r="J10" s="1409">
        <f t="shared" si="4"/>
        <v>0</v>
      </c>
      <c r="K10" s="1409"/>
      <c r="L10" s="1410">
        <f t="shared" si="5"/>
        <v>0</v>
      </c>
      <c r="M10" s="1409"/>
      <c r="N10" s="1410">
        <f t="shared" si="6"/>
        <v>0</v>
      </c>
      <c r="O10" s="1409"/>
      <c r="P10" s="1410">
        <f t="shared" si="7"/>
        <v>0</v>
      </c>
      <c r="Q10" s="1410"/>
      <c r="R10" s="1410">
        <f t="shared" si="8"/>
        <v>0</v>
      </c>
      <c r="S10" s="1409"/>
      <c r="T10" s="1409">
        <f t="shared" si="9"/>
        <v>0</v>
      </c>
      <c r="U10" s="1409"/>
      <c r="V10" s="1409">
        <f t="shared" si="10"/>
        <v>0</v>
      </c>
      <c r="W10" s="140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08"/>
      <c r="C11" s="1409"/>
      <c r="D11" s="1410">
        <f t="shared" si="0"/>
        <v>0</v>
      </c>
      <c r="E11" s="1409"/>
      <c r="F11" s="1409">
        <f t="shared" si="2"/>
        <v>0</v>
      </c>
      <c r="G11" s="1409"/>
      <c r="H11" s="1409">
        <f t="shared" si="3"/>
        <v>0</v>
      </c>
      <c r="I11" s="1409"/>
      <c r="J11" s="1409">
        <f t="shared" si="4"/>
        <v>0</v>
      </c>
      <c r="K11" s="1409"/>
      <c r="L11" s="1410">
        <f t="shared" si="5"/>
        <v>0</v>
      </c>
      <c r="M11" s="1409"/>
      <c r="N11" s="1410">
        <f t="shared" si="6"/>
        <v>0</v>
      </c>
      <c r="O11" s="1409"/>
      <c r="P11" s="1410">
        <f t="shared" si="7"/>
        <v>0</v>
      </c>
      <c r="Q11" s="1410"/>
      <c r="R11" s="1410">
        <f t="shared" si="8"/>
        <v>0</v>
      </c>
      <c r="S11" s="1409"/>
      <c r="T11" s="1409">
        <f>341*S11</f>
        <v>0</v>
      </c>
      <c r="U11" s="1409"/>
      <c r="V11" s="1409">
        <f t="shared" si="10"/>
        <v>0</v>
      </c>
      <c r="W11" s="140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115454</v>
      </c>
      <c r="D12" s="18">
        <f t="shared" si="12"/>
        <v>112279.01500000001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3180</v>
      </c>
      <c r="J12" s="18">
        <f t="shared" si="12"/>
        <v>58830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1"/>
        <v>179540.69500000001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14" t="s">
        <v>174</v>
      </c>
      <c r="K14" s="30" t="s">
        <v>36</v>
      </c>
      <c r="L14" s="1414" t="s">
        <v>403</v>
      </c>
      <c r="M14" s="30" t="s">
        <v>429</v>
      </c>
      <c r="N14" s="30" t="s">
        <v>442</v>
      </c>
      <c r="O14" s="1414" t="s">
        <v>114</v>
      </c>
      <c r="P14" s="30" t="s">
        <v>70</v>
      </c>
      <c r="Q14" s="1958" t="s">
        <v>479</v>
      </c>
      <c r="R14" s="1959"/>
      <c r="S14" s="1414" t="s">
        <v>401</v>
      </c>
      <c r="T14" s="1893" t="s">
        <v>46</v>
      </c>
      <c r="U14" s="1406" t="s">
        <v>176</v>
      </c>
      <c r="V14" s="1918">
        <v>38889</v>
      </c>
      <c r="W14" s="1926"/>
      <c r="X14" s="1919"/>
    </row>
    <row r="15" spans="1:25" ht="22.5" customHeight="1" x14ac:dyDescent="0.25">
      <c r="A15" s="100" t="s">
        <v>38</v>
      </c>
      <c r="B15" s="1918">
        <v>281015</v>
      </c>
      <c r="C15" s="1919"/>
      <c r="D15" s="1411">
        <v>130</v>
      </c>
      <c r="E15" s="1411">
        <v>1460</v>
      </c>
      <c r="F15" s="1411">
        <v>14680</v>
      </c>
      <c r="G15" s="1411">
        <v>780</v>
      </c>
      <c r="H15" s="1411">
        <v>161</v>
      </c>
      <c r="I15" s="1411">
        <v>48</v>
      </c>
      <c r="J15" s="1411">
        <v>4</v>
      </c>
      <c r="K15" s="1411">
        <v>83</v>
      </c>
      <c r="L15" s="1411">
        <v>0</v>
      </c>
      <c r="M15" s="1411">
        <v>0</v>
      </c>
      <c r="N15" s="1411">
        <v>0</v>
      </c>
      <c r="O15" s="1411">
        <v>0</v>
      </c>
      <c r="P15" s="1411">
        <v>100</v>
      </c>
      <c r="Q15" s="1918">
        <v>10</v>
      </c>
      <c r="R15" s="1919"/>
      <c r="S15" s="1406">
        <v>2</v>
      </c>
      <c r="T15" s="1893"/>
      <c r="U15" s="1406" t="s">
        <v>64</v>
      </c>
      <c r="V15" s="1920">
        <v>17212</v>
      </c>
      <c r="W15" s="1920"/>
      <c r="X15" s="1920"/>
    </row>
    <row r="16" spans="1:25" ht="24.75" customHeight="1" x14ac:dyDescent="0.25">
      <c r="A16" s="100" t="s">
        <v>39</v>
      </c>
      <c r="B16" s="1918">
        <v>116363</v>
      </c>
      <c r="C16" s="1919"/>
      <c r="D16" s="1411"/>
      <c r="E16" s="1411"/>
      <c r="F16" s="1411"/>
      <c r="G16" s="1411"/>
      <c r="H16" s="1411"/>
      <c r="I16" s="1411"/>
      <c r="J16" s="1411"/>
      <c r="K16" s="1411"/>
      <c r="L16" s="1411"/>
      <c r="M16" s="1411"/>
      <c r="N16" s="1411"/>
      <c r="O16" s="1411"/>
      <c r="P16" s="1411"/>
      <c r="Q16" s="1920"/>
      <c r="R16" s="1920"/>
      <c r="S16" s="1411"/>
      <c r="T16" s="1912" t="s">
        <v>55</v>
      </c>
      <c r="U16" s="1912"/>
      <c r="V16" s="1925">
        <f>Y12</f>
        <v>179540.69500000001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411"/>
      <c r="E17" s="1411"/>
      <c r="F17" s="1411"/>
      <c r="G17" s="1411"/>
      <c r="H17" s="1411"/>
      <c r="I17" s="1411"/>
      <c r="J17" s="1411"/>
      <c r="K17" s="1411"/>
      <c r="L17" s="1411"/>
      <c r="M17" s="1411"/>
      <c r="N17" s="1411"/>
      <c r="O17" s="1411"/>
      <c r="P17" s="1411"/>
      <c r="Q17" s="1883"/>
      <c r="R17" s="1883"/>
      <c r="S17" s="1408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115454</v>
      </c>
      <c r="C18" s="1919"/>
      <c r="D18" s="1412">
        <f>E12</f>
        <v>0</v>
      </c>
      <c r="E18" s="1412">
        <f>G12</f>
        <v>160</v>
      </c>
      <c r="F18" s="1412">
        <f>I12</f>
        <v>3180</v>
      </c>
      <c r="G18" s="1412">
        <f>K12</f>
        <v>100</v>
      </c>
      <c r="H18" s="1411"/>
      <c r="I18" s="1412">
        <f>U12</f>
        <v>3</v>
      </c>
      <c r="J18" s="1411"/>
      <c r="K18" s="1412">
        <f>W12</f>
        <v>1</v>
      </c>
      <c r="L18" s="1411"/>
      <c r="M18" s="1412">
        <f>M12</f>
        <v>0</v>
      </c>
      <c r="N18" s="1412">
        <f>O12</f>
        <v>0</v>
      </c>
      <c r="O18" s="1413">
        <f>Q12</f>
        <v>0</v>
      </c>
      <c r="P18" s="1412"/>
      <c r="Q18" s="1920"/>
      <c r="R18" s="1920"/>
      <c r="S18" s="1406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281924</v>
      </c>
      <c r="C19" s="1919"/>
      <c r="D19" s="1411">
        <f>D15+D16+D17-D18</f>
        <v>130</v>
      </c>
      <c r="E19" s="1411">
        <f t="shared" ref="E19:N19" si="13">E15+E16+E17-E18</f>
        <v>1300</v>
      </c>
      <c r="F19" s="1411">
        <f t="shared" si="13"/>
        <v>11500</v>
      </c>
      <c r="G19" s="1411">
        <f t="shared" si="13"/>
        <v>680</v>
      </c>
      <c r="H19" s="1411">
        <f t="shared" si="13"/>
        <v>161</v>
      </c>
      <c r="I19" s="1411">
        <f t="shared" si="13"/>
        <v>45</v>
      </c>
      <c r="J19" s="1411">
        <f t="shared" si="13"/>
        <v>4</v>
      </c>
      <c r="K19" s="1411">
        <f t="shared" si="13"/>
        <v>82</v>
      </c>
      <c r="L19" s="1411">
        <f t="shared" si="13"/>
        <v>0</v>
      </c>
      <c r="M19" s="1411">
        <f t="shared" si="13"/>
        <v>0</v>
      </c>
      <c r="N19" s="1411">
        <f t="shared" si="13"/>
        <v>0</v>
      </c>
      <c r="O19" s="1411">
        <f>O15+O16+O17-O18</f>
        <v>0</v>
      </c>
      <c r="P19" s="1411">
        <f t="shared" ref="P19:Q19" si="14">P15+P16+P17-P18</f>
        <v>100</v>
      </c>
      <c r="Q19" s="1918">
        <f t="shared" si="14"/>
        <v>10</v>
      </c>
      <c r="R19" s="1919"/>
      <c r="S19" s="1406">
        <f>S15+S16-S17-S18</f>
        <v>2</v>
      </c>
      <c r="T19" s="1914" t="s">
        <v>48</v>
      </c>
      <c r="U19" s="49" t="s">
        <v>58</v>
      </c>
      <c r="V19" s="1920">
        <v>79500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271351.85000000003</v>
      </c>
      <c r="C20" s="1945"/>
      <c r="D20" s="290">
        <f>D19*66.41</f>
        <v>8633.2999999999993</v>
      </c>
      <c r="E20" s="290">
        <f>27.9368*E19</f>
        <v>36317.840000000004</v>
      </c>
      <c r="F20" s="290">
        <f>18.31*F19</f>
        <v>210564.99999999997</v>
      </c>
      <c r="G20" s="290">
        <f>27.9368*G19</f>
        <v>18997.024000000001</v>
      </c>
      <c r="H20" s="290">
        <f>241*H19</f>
        <v>38801</v>
      </c>
      <c r="I20" s="290">
        <f>323*I19</f>
        <v>14535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618567.01399999997</v>
      </c>
      <c r="C21" s="1951"/>
      <c r="O21" s="1415"/>
      <c r="P21" s="1415"/>
      <c r="Q21" s="1415"/>
      <c r="R21" s="1415"/>
      <c r="T21" s="1952" t="s">
        <v>487</v>
      </c>
      <c r="U21" s="1953"/>
      <c r="V21" s="1955">
        <v>100000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79500</v>
      </c>
      <c r="D22" s="1949">
        <v>79500</v>
      </c>
      <c r="E22" s="1949">
        <v>112000</v>
      </c>
      <c r="F22" s="1949">
        <f>C22-D22+E22</f>
        <v>112000</v>
      </c>
      <c r="G22" s="1415"/>
      <c r="Q22" s="1415"/>
      <c r="R22" s="1415"/>
      <c r="T22" s="1909" t="s">
        <v>83</v>
      </c>
      <c r="U22" s="50" t="s">
        <v>60</v>
      </c>
      <c r="V22" s="1920">
        <v>177900</v>
      </c>
      <c r="W22" s="1920"/>
      <c r="X22" s="1920"/>
      <c r="Y22" s="1927"/>
    </row>
    <row r="23" spans="1:25" ht="39.75" customHeight="1" x14ac:dyDescent="0.25">
      <c r="A23" s="1415"/>
      <c r="B23" s="1947"/>
      <c r="C23" s="1950"/>
      <c r="D23" s="1950"/>
      <c r="E23" s="1950"/>
      <c r="F23" s="1950"/>
      <c r="G23" s="1415"/>
      <c r="Q23" s="1415"/>
      <c r="R23" s="1415"/>
      <c r="T23" s="1910"/>
      <c r="U23" s="50" t="s">
        <v>61</v>
      </c>
      <c r="V23" s="1920">
        <v>179500</v>
      </c>
      <c r="W23" s="1920"/>
      <c r="X23" s="1920"/>
      <c r="Y23" s="1927"/>
    </row>
    <row r="24" spans="1:25" ht="48" customHeight="1" x14ac:dyDescent="0.25">
      <c r="A24" s="1415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415"/>
      <c r="Q24" s="1415"/>
      <c r="R24" s="1415"/>
      <c r="T24" s="1893" t="s">
        <v>47</v>
      </c>
      <c r="U24" s="51" t="s">
        <v>62</v>
      </c>
      <c r="V24" s="1921">
        <f>V14+V16+V17-V18-V19-V20-V22+V23-V21</f>
        <v>40009.695000000007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15612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415"/>
      <c r="J33" s="1415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A6D0-CC29-4980-896A-9CD8FD031874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421"/>
      <c r="B3" s="1421"/>
      <c r="C3" s="1421"/>
      <c r="D3" s="1421"/>
      <c r="E3" s="1421"/>
      <c r="F3" s="1421"/>
      <c r="G3" s="1421"/>
      <c r="H3" s="1421"/>
      <c r="I3" s="1421"/>
      <c r="J3" s="1421"/>
      <c r="K3" s="1421"/>
      <c r="L3" s="1421"/>
      <c r="M3" s="1421"/>
      <c r="N3" s="1421"/>
      <c r="O3" s="1421"/>
      <c r="P3" s="1421"/>
      <c r="Q3" s="1421"/>
      <c r="R3" s="1421"/>
      <c r="S3" s="1421"/>
      <c r="T3" s="1900" t="s">
        <v>488</v>
      </c>
      <c r="U3" s="1900"/>
      <c r="V3" s="1900"/>
      <c r="W3" s="1900"/>
      <c r="X3" s="1900"/>
      <c r="Y3" s="1900"/>
    </row>
    <row r="4" spans="1:25" s="1421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421" customFormat="1" ht="25.5" customHeight="1" x14ac:dyDescent="0.25">
      <c r="A5" s="1901"/>
      <c r="B5" s="1901"/>
      <c r="C5" s="1420" t="s">
        <v>42</v>
      </c>
      <c r="D5" s="1420" t="s">
        <v>43</v>
      </c>
      <c r="E5" s="1420" t="s">
        <v>42</v>
      </c>
      <c r="F5" s="1420" t="s">
        <v>43</v>
      </c>
      <c r="G5" s="1420" t="s">
        <v>42</v>
      </c>
      <c r="H5" s="1420" t="s">
        <v>43</v>
      </c>
      <c r="I5" s="1420" t="s">
        <v>42</v>
      </c>
      <c r="J5" s="1420" t="s">
        <v>43</v>
      </c>
      <c r="K5" s="1420" t="s">
        <v>42</v>
      </c>
      <c r="L5" s="1420" t="s">
        <v>43</v>
      </c>
      <c r="M5" s="1420" t="s">
        <v>42</v>
      </c>
      <c r="N5" s="1420" t="s">
        <v>43</v>
      </c>
      <c r="O5" s="1420" t="s">
        <v>42</v>
      </c>
      <c r="P5" s="1420" t="s">
        <v>43</v>
      </c>
      <c r="Q5" s="1420" t="s">
        <v>42</v>
      </c>
      <c r="R5" s="14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419" t="s">
        <v>71</v>
      </c>
      <c r="C6" s="1417">
        <v>39729</v>
      </c>
      <c r="D6" s="1416">
        <f t="shared" ref="D6:D11" si="0">0.9725*C6</f>
        <v>38636.452499999999</v>
      </c>
      <c r="E6" s="1417"/>
      <c r="F6" s="1416">
        <f>67.1*E6</f>
        <v>0</v>
      </c>
      <c r="G6" s="1417">
        <v>30</v>
      </c>
      <c r="H6" s="1417">
        <f>28.2*G6</f>
        <v>846</v>
      </c>
      <c r="I6" s="1417">
        <v>660</v>
      </c>
      <c r="J6" s="1417">
        <f>18.5*I6</f>
        <v>12210</v>
      </c>
      <c r="K6" s="1417"/>
      <c r="L6" s="1416">
        <f>28.2368*K6</f>
        <v>0</v>
      </c>
      <c r="M6" s="1417"/>
      <c r="N6" s="1416">
        <f>M6*47.6525</f>
        <v>0</v>
      </c>
      <c r="O6" s="1417"/>
      <c r="P6" s="1416">
        <f>O6*8.9</f>
        <v>0</v>
      </c>
      <c r="Q6" s="1416"/>
      <c r="R6" s="1416">
        <f>241*Q6</f>
        <v>0</v>
      </c>
      <c r="S6" s="1417"/>
      <c r="T6" s="1417">
        <f>241*S6</f>
        <v>0</v>
      </c>
      <c r="U6" s="1417"/>
      <c r="V6" s="1417">
        <f>332*U6</f>
        <v>0</v>
      </c>
      <c r="W6" s="1417"/>
      <c r="X6" s="19">
        <f>W6*100</f>
        <v>0</v>
      </c>
      <c r="Y6" s="20">
        <f t="shared" ref="Y6:Y12" si="1">D6+F6+H6+J6+L6+N6+P6+R6+T6+V6+X6</f>
        <v>51692.452499999999</v>
      </c>
    </row>
    <row r="7" spans="1:25" ht="31.5" customHeight="1" x14ac:dyDescent="0.25">
      <c r="A7" s="12">
        <v>1984225578</v>
      </c>
      <c r="B7" s="1419" t="s">
        <v>72</v>
      </c>
      <c r="C7" s="1417">
        <v>12123</v>
      </c>
      <c r="D7" s="1416">
        <f t="shared" si="0"/>
        <v>11789.6175</v>
      </c>
      <c r="E7" s="1417"/>
      <c r="F7" s="1417">
        <f t="shared" ref="F7:F11" si="2">67.1*E7</f>
        <v>0</v>
      </c>
      <c r="G7" s="1417"/>
      <c r="H7" s="1417">
        <f t="shared" ref="H7:H11" si="3">28.2*G7</f>
        <v>0</v>
      </c>
      <c r="I7" s="1417">
        <v>190</v>
      </c>
      <c r="J7" s="1417">
        <f t="shared" ref="J7:J11" si="4">18.5*I7</f>
        <v>3515</v>
      </c>
      <c r="K7" s="1417"/>
      <c r="L7" s="1416">
        <f t="shared" ref="L7:L11" si="5">28.2368*K7</f>
        <v>0</v>
      </c>
      <c r="M7" s="1417"/>
      <c r="N7" s="1416">
        <f t="shared" ref="N7:N11" si="6">M7*47.6525</f>
        <v>0</v>
      </c>
      <c r="O7" s="1417"/>
      <c r="P7" s="1416">
        <f t="shared" ref="P7:P11" si="7">O7*8.9</f>
        <v>0</v>
      </c>
      <c r="Q7" s="1416"/>
      <c r="R7" s="1416">
        <f t="shared" ref="R7:R11" si="8">241*Q7</f>
        <v>0</v>
      </c>
      <c r="S7" s="1417"/>
      <c r="T7" s="1417">
        <f t="shared" ref="T7:T10" si="9">241*S7</f>
        <v>0</v>
      </c>
      <c r="U7" s="1417">
        <v>10</v>
      </c>
      <c r="V7" s="1417">
        <f t="shared" ref="V7:V11" si="10">332*U7</f>
        <v>3320</v>
      </c>
      <c r="W7" s="1417"/>
      <c r="X7" s="19">
        <f t="shared" ref="X7:X11" si="11">W7*100</f>
        <v>0</v>
      </c>
      <c r="Y7" s="20">
        <f t="shared" si="1"/>
        <v>18624.6175</v>
      </c>
    </row>
    <row r="8" spans="1:25" ht="35.25" customHeight="1" x14ac:dyDescent="0.25">
      <c r="A8" s="12">
        <v>1967020280</v>
      </c>
      <c r="B8" s="1419" t="s">
        <v>427</v>
      </c>
      <c r="C8" s="1417">
        <v>27747</v>
      </c>
      <c r="D8" s="1416">
        <f t="shared" si="0"/>
        <v>26983.9575</v>
      </c>
      <c r="E8" s="1417"/>
      <c r="F8" s="1417">
        <f t="shared" si="2"/>
        <v>0</v>
      </c>
      <c r="G8" s="1417"/>
      <c r="H8" s="1416">
        <f t="shared" si="3"/>
        <v>0</v>
      </c>
      <c r="I8" s="1417">
        <v>760</v>
      </c>
      <c r="J8" s="1417">
        <f t="shared" si="4"/>
        <v>14060</v>
      </c>
      <c r="K8" s="1417"/>
      <c r="L8" s="1416">
        <f t="shared" si="5"/>
        <v>0</v>
      </c>
      <c r="M8" s="1417"/>
      <c r="N8" s="1416">
        <f t="shared" si="6"/>
        <v>0</v>
      </c>
      <c r="O8" s="1417"/>
      <c r="P8" s="1416">
        <f t="shared" si="7"/>
        <v>0</v>
      </c>
      <c r="Q8" s="1416"/>
      <c r="R8" s="1416">
        <f t="shared" si="8"/>
        <v>0</v>
      </c>
      <c r="S8" s="1417"/>
      <c r="T8" s="1417">
        <f t="shared" si="9"/>
        <v>0</v>
      </c>
      <c r="U8" s="1417"/>
      <c r="V8" s="1417">
        <f t="shared" si="10"/>
        <v>0</v>
      </c>
      <c r="W8" s="1417"/>
      <c r="X8" s="19">
        <f t="shared" si="11"/>
        <v>0</v>
      </c>
      <c r="Y8" s="20">
        <f t="shared" si="1"/>
        <v>41043.957500000004</v>
      </c>
    </row>
    <row r="9" spans="1:25" ht="38.25" customHeight="1" x14ac:dyDescent="0.25">
      <c r="A9" s="12">
        <v>1984225580</v>
      </c>
      <c r="B9" s="1419" t="s">
        <v>75</v>
      </c>
      <c r="C9" s="1417">
        <v>29087</v>
      </c>
      <c r="D9" s="1416">
        <f t="shared" si="0"/>
        <v>28287.107500000002</v>
      </c>
      <c r="E9" s="1417"/>
      <c r="F9" s="1417">
        <f t="shared" si="2"/>
        <v>0</v>
      </c>
      <c r="G9" s="1417"/>
      <c r="H9" s="1417">
        <f t="shared" si="3"/>
        <v>0</v>
      </c>
      <c r="I9" s="1417">
        <v>470</v>
      </c>
      <c r="J9" s="1417">
        <f t="shared" si="4"/>
        <v>8695</v>
      </c>
      <c r="K9" s="1417"/>
      <c r="L9" s="1416">
        <f t="shared" si="5"/>
        <v>0</v>
      </c>
      <c r="M9" s="1417"/>
      <c r="N9" s="1416">
        <f t="shared" si="6"/>
        <v>0</v>
      </c>
      <c r="O9" s="1417"/>
      <c r="P9" s="1416">
        <f t="shared" si="7"/>
        <v>0</v>
      </c>
      <c r="Q9" s="1416"/>
      <c r="R9" s="1416">
        <f t="shared" si="8"/>
        <v>0</v>
      </c>
      <c r="S9" s="1417"/>
      <c r="T9" s="1417">
        <f t="shared" si="9"/>
        <v>0</v>
      </c>
      <c r="U9" s="1417">
        <v>5</v>
      </c>
      <c r="V9" s="1417">
        <f t="shared" si="10"/>
        <v>1660</v>
      </c>
      <c r="W9" s="1417"/>
      <c r="X9" s="19">
        <f t="shared" si="11"/>
        <v>0</v>
      </c>
      <c r="Y9" s="20">
        <f t="shared" si="1"/>
        <v>38642.107499999998</v>
      </c>
    </row>
    <row r="10" spans="1:25" ht="35.25" customHeight="1" x14ac:dyDescent="0.25">
      <c r="A10" s="12">
        <v>1409935199</v>
      </c>
      <c r="C10" s="1417"/>
      <c r="D10" s="1416">
        <f t="shared" si="0"/>
        <v>0</v>
      </c>
      <c r="E10" s="1417"/>
      <c r="F10" s="1417">
        <f t="shared" si="2"/>
        <v>0</v>
      </c>
      <c r="G10" s="1417"/>
      <c r="H10" s="1417">
        <f t="shared" si="3"/>
        <v>0</v>
      </c>
      <c r="I10" s="1417"/>
      <c r="J10" s="1417">
        <f t="shared" si="4"/>
        <v>0</v>
      </c>
      <c r="K10" s="1417"/>
      <c r="L10" s="1416">
        <f t="shared" si="5"/>
        <v>0</v>
      </c>
      <c r="M10" s="1417"/>
      <c r="N10" s="1416">
        <f t="shared" si="6"/>
        <v>0</v>
      </c>
      <c r="O10" s="1417"/>
      <c r="P10" s="1416">
        <f t="shared" si="7"/>
        <v>0</v>
      </c>
      <c r="Q10" s="1416"/>
      <c r="R10" s="1416">
        <f t="shared" si="8"/>
        <v>0</v>
      </c>
      <c r="S10" s="1417"/>
      <c r="T10" s="1417">
        <f t="shared" si="9"/>
        <v>0</v>
      </c>
      <c r="U10" s="1417"/>
      <c r="V10" s="1417">
        <f t="shared" si="10"/>
        <v>0</v>
      </c>
      <c r="W10" s="14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18"/>
      <c r="C11" s="1417"/>
      <c r="D11" s="1416">
        <f t="shared" si="0"/>
        <v>0</v>
      </c>
      <c r="E11" s="1417"/>
      <c r="F11" s="1417">
        <f t="shared" si="2"/>
        <v>0</v>
      </c>
      <c r="G11" s="1417"/>
      <c r="H11" s="1417">
        <f t="shared" si="3"/>
        <v>0</v>
      </c>
      <c r="I11" s="1417"/>
      <c r="J11" s="1417">
        <f t="shared" si="4"/>
        <v>0</v>
      </c>
      <c r="K11" s="1417"/>
      <c r="L11" s="1416">
        <f t="shared" si="5"/>
        <v>0</v>
      </c>
      <c r="M11" s="1417"/>
      <c r="N11" s="1416">
        <f t="shared" si="6"/>
        <v>0</v>
      </c>
      <c r="O11" s="1417"/>
      <c r="P11" s="1416">
        <f t="shared" si="7"/>
        <v>0</v>
      </c>
      <c r="Q11" s="1416"/>
      <c r="R11" s="1416">
        <f t="shared" si="8"/>
        <v>0</v>
      </c>
      <c r="S11" s="1417"/>
      <c r="T11" s="1417">
        <f>341*S11</f>
        <v>0</v>
      </c>
      <c r="U11" s="1417"/>
      <c r="V11" s="1417">
        <f t="shared" si="10"/>
        <v>0</v>
      </c>
      <c r="W11" s="14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108686</v>
      </c>
      <c r="D12" s="18">
        <f t="shared" si="12"/>
        <v>105697.13499999999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2080</v>
      </c>
      <c r="J12" s="18">
        <f t="shared" si="12"/>
        <v>38480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150003.13500000001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25" t="s">
        <v>174</v>
      </c>
      <c r="K14" s="30" t="s">
        <v>36</v>
      </c>
      <c r="L14" s="1425" t="s">
        <v>403</v>
      </c>
      <c r="M14" s="30" t="s">
        <v>429</v>
      </c>
      <c r="N14" s="30" t="s">
        <v>442</v>
      </c>
      <c r="O14" s="1425" t="s">
        <v>114</v>
      </c>
      <c r="P14" s="30" t="s">
        <v>70</v>
      </c>
      <c r="Q14" s="1958" t="s">
        <v>479</v>
      </c>
      <c r="R14" s="1959"/>
      <c r="S14" s="1425" t="s">
        <v>401</v>
      </c>
      <c r="T14" s="1893" t="s">
        <v>46</v>
      </c>
      <c r="U14" s="1419" t="s">
        <v>176</v>
      </c>
      <c r="V14" s="1918">
        <v>40010</v>
      </c>
      <c r="W14" s="1926"/>
      <c r="X14" s="1919"/>
    </row>
    <row r="15" spans="1:25" ht="22.5" customHeight="1" x14ac:dyDescent="0.25">
      <c r="A15" s="100" t="s">
        <v>38</v>
      </c>
      <c r="B15" s="1918">
        <v>281924</v>
      </c>
      <c r="C15" s="1919"/>
      <c r="D15" s="1422">
        <v>130</v>
      </c>
      <c r="E15" s="1422">
        <v>1300</v>
      </c>
      <c r="F15" s="1422">
        <v>11500</v>
      </c>
      <c r="G15" s="1422">
        <v>680</v>
      </c>
      <c r="H15" s="1422">
        <v>161</v>
      </c>
      <c r="I15" s="1422">
        <v>45</v>
      </c>
      <c r="J15" s="1422">
        <v>4</v>
      </c>
      <c r="K15" s="1422">
        <v>82</v>
      </c>
      <c r="L15" s="1422">
        <v>0</v>
      </c>
      <c r="M15" s="1422">
        <v>0</v>
      </c>
      <c r="N15" s="1422">
        <v>0</v>
      </c>
      <c r="O15" s="1422">
        <v>0</v>
      </c>
      <c r="P15" s="1422">
        <v>100</v>
      </c>
      <c r="Q15" s="1918">
        <v>10</v>
      </c>
      <c r="R15" s="1919"/>
      <c r="S15" s="1419">
        <v>2</v>
      </c>
      <c r="T15" s="1893"/>
      <c r="U15" s="1419" t="s">
        <v>64</v>
      </c>
      <c r="V15" s="1920">
        <v>15612</v>
      </c>
      <c r="W15" s="1920"/>
      <c r="X15" s="1920"/>
    </row>
    <row r="16" spans="1:25" ht="24.75" customHeight="1" x14ac:dyDescent="0.25">
      <c r="A16" s="100" t="s">
        <v>39</v>
      </c>
      <c r="B16" s="1918">
        <v>109090</v>
      </c>
      <c r="C16" s="1919"/>
      <c r="D16" s="1422"/>
      <c r="E16" s="1422"/>
      <c r="F16" s="1422"/>
      <c r="G16" s="1422"/>
      <c r="H16" s="1422"/>
      <c r="I16" s="1422"/>
      <c r="J16" s="1422"/>
      <c r="K16" s="1422"/>
      <c r="L16" s="1422"/>
      <c r="M16" s="1422"/>
      <c r="N16" s="1422"/>
      <c r="O16" s="1422"/>
      <c r="P16" s="1422"/>
      <c r="Q16" s="1920"/>
      <c r="R16" s="1920"/>
      <c r="S16" s="1422"/>
      <c r="T16" s="1912" t="s">
        <v>55</v>
      </c>
      <c r="U16" s="1912"/>
      <c r="V16" s="1925">
        <f>Y12</f>
        <v>150003.13500000001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422"/>
      <c r="E17" s="1422"/>
      <c r="F17" s="1422"/>
      <c r="G17" s="1422"/>
      <c r="H17" s="1422"/>
      <c r="I17" s="1422"/>
      <c r="J17" s="1422"/>
      <c r="K17" s="1422"/>
      <c r="L17" s="1422"/>
      <c r="M17" s="1422"/>
      <c r="N17" s="1422"/>
      <c r="O17" s="1422"/>
      <c r="P17" s="1422"/>
      <c r="Q17" s="1883"/>
      <c r="R17" s="1883"/>
      <c r="S17" s="1418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108686</v>
      </c>
      <c r="C18" s="1919"/>
      <c r="D18" s="1424">
        <f>E12</f>
        <v>0</v>
      </c>
      <c r="E18" s="1424">
        <f>G12</f>
        <v>30</v>
      </c>
      <c r="F18" s="1424">
        <f>I12</f>
        <v>2080</v>
      </c>
      <c r="G18" s="1424">
        <f>K12</f>
        <v>0</v>
      </c>
      <c r="H18" s="1422"/>
      <c r="I18" s="1424">
        <f>U12</f>
        <v>15</v>
      </c>
      <c r="J18" s="1422"/>
      <c r="K18" s="1424">
        <f>W12</f>
        <v>0</v>
      </c>
      <c r="L18" s="1422"/>
      <c r="M18" s="1424">
        <f>M12</f>
        <v>0</v>
      </c>
      <c r="N18" s="1424">
        <f>O12</f>
        <v>0</v>
      </c>
      <c r="O18" s="1423">
        <f>Q12</f>
        <v>0</v>
      </c>
      <c r="P18" s="1424"/>
      <c r="Q18" s="1920"/>
      <c r="R18" s="1920"/>
      <c r="S18" s="1419"/>
      <c r="T18" s="1912" t="s">
        <v>57</v>
      </c>
      <c r="U18" s="1912"/>
      <c r="V18" s="1920">
        <v>1800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282328</v>
      </c>
      <c r="C19" s="1919"/>
      <c r="D19" s="1422">
        <f>D15+D16+D17-D18</f>
        <v>130</v>
      </c>
      <c r="E19" s="1422">
        <f t="shared" ref="E19:N19" si="13">E15+E16+E17-E18</f>
        <v>1270</v>
      </c>
      <c r="F19" s="1422">
        <f t="shared" si="13"/>
        <v>9420</v>
      </c>
      <c r="G19" s="1422">
        <f t="shared" si="13"/>
        <v>680</v>
      </c>
      <c r="H19" s="1422">
        <f t="shared" si="13"/>
        <v>161</v>
      </c>
      <c r="I19" s="1422">
        <f t="shared" si="13"/>
        <v>30</v>
      </c>
      <c r="J19" s="1422">
        <f t="shared" si="13"/>
        <v>4</v>
      </c>
      <c r="K19" s="1422">
        <f t="shared" si="13"/>
        <v>82</v>
      </c>
      <c r="L19" s="1422">
        <f t="shared" si="13"/>
        <v>0</v>
      </c>
      <c r="M19" s="1422">
        <f t="shared" si="13"/>
        <v>0</v>
      </c>
      <c r="N19" s="1422">
        <f t="shared" si="13"/>
        <v>0</v>
      </c>
      <c r="O19" s="1422">
        <f>O15+O16+O17-O18</f>
        <v>0</v>
      </c>
      <c r="P19" s="1422">
        <f t="shared" ref="P19:Q19" si="14">P15+P16+P17-P18</f>
        <v>100</v>
      </c>
      <c r="Q19" s="1918">
        <f t="shared" si="14"/>
        <v>10</v>
      </c>
      <c r="R19" s="1919"/>
      <c r="S19" s="1419">
        <f>S15+S16-S17-S18</f>
        <v>2</v>
      </c>
      <c r="T19" s="1914" t="s">
        <v>48</v>
      </c>
      <c r="U19" s="49" t="s">
        <v>58</v>
      </c>
      <c r="V19" s="1920">
        <v>112000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271740.7</v>
      </c>
      <c r="C20" s="1945"/>
      <c r="D20" s="290">
        <f>D19*66.41</f>
        <v>8633.2999999999993</v>
      </c>
      <c r="E20" s="290">
        <f>27.9368*E19</f>
        <v>35479.736000000004</v>
      </c>
      <c r="F20" s="290">
        <f>18.31*F19</f>
        <v>172480.19999999998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575187.96</v>
      </c>
      <c r="C21" s="1951"/>
      <c r="O21" s="1426"/>
      <c r="P21" s="1426"/>
      <c r="Q21" s="1426"/>
      <c r="R21" s="1426"/>
      <c r="T21" s="1952" t="s">
        <v>487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112000</v>
      </c>
      <c r="D22" s="1949">
        <v>112000</v>
      </c>
      <c r="E22" s="1949">
        <v>105000</v>
      </c>
      <c r="F22" s="1949">
        <f>C22-D22+E22</f>
        <v>105000</v>
      </c>
      <c r="G22" s="1426"/>
      <c r="Q22" s="1426"/>
      <c r="R22" s="1426"/>
      <c r="T22" s="1909" t="s">
        <v>83</v>
      </c>
      <c r="U22" s="50" t="s">
        <v>60</v>
      </c>
      <c r="V22" s="1920">
        <v>148380</v>
      </c>
      <c r="W22" s="1920"/>
      <c r="X22" s="1920"/>
      <c r="Y22" s="1927"/>
    </row>
    <row r="23" spans="1:25" ht="39.75" customHeight="1" x14ac:dyDescent="0.25">
      <c r="A23" s="1426"/>
      <c r="B23" s="1947"/>
      <c r="C23" s="1950"/>
      <c r="D23" s="1950"/>
      <c r="E23" s="1950"/>
      <c r="F23" s="1950"/>
      <c r="G23" s="1426"/>
      <c r="Q23" s="1426"/>
      <c r="R23" s="1426"/>
      <c r="T23" s="1910"/>
      <c r="U23" s="50" t="s">
        <v>61</v>
      </c>
      <c r="V23" s="1920">
        <v>112000</v>
      </c>
      <c r="W23" s="1920"/>
      <c r="X23" s="1920"/>
      <c r="Y23" s="1927"/>
    </row>
    <row r="24" spans="1:25" ht="48" customHeight="1" x14ac:dyDescent="0.25">
      <c r="A24" s="1426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426"/>
      <c r="Q24" s="1426"/>
      <c r="R24" s="1426"/>
      <c r="T24" s="1893" t="s">
        <v>47</v>
      </c>
      <c r="U24" s="51" t="s">
        <v>62</v>
      </c>
      <c r="V24" s="1921">
        <f>V14+V16+V17-V18-V19-V20-V22+V23-V21</f>
        <v>39833.135000000009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51992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426"/>
      <c r="J33" s="1426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D444E-002B-473E-8EAC-0011FABF46F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AC16" sqref="A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  <c r="M3" s="1427"/>
      <c r="N3" s="1427"/>
      <c r="O3" s="1427"/>
      <c r="P3" s="1427"/>
      <c r="Q3" s="1427"/>
      <c r="R3" s="1427"/>
      <c r="S3" s="1427"/>
      <c r="T3" s="1900" t="s">
        <v>489</v>
      </c>
      <c r="U3" s="1900"/>
      <c r="V3" s="1900"/>
      <c r="W3" s="1900"/>
      <c r="X3" s="1900"/>
      <c r="Y3" s="1900"/>
    </row>
    <row r="4" spans="1:25" s="142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427" customFormat="1" ht="25.5" customHeight="1" x14ac:dyDescent="0.25">
      <c r="A5" s="1901"/>
      <c r="B5" s="1901"/>
      <c r="C5" s="1429" t="s">
        <v>42</v>
      </c>
      <c r="D5" s="1429" t="s">
        <v>43</v>
      </c>
      <c r="E5" s="1429" t="s">
        <v>42</v>
      </c>
      <c r="F5" s="1429" t="s">
        <v>43</v>
      </c>
      <c r="G5" s="1429" t="s">
        <v>42</v>
      </c>
      <c r="H5" s="1429" t="s">
        <v>43</v>
      </c>
      <c r="I5" s="1429" t="s">
        <v>42</v>
      </c>
      <c r="J5" s="1429" t="s">
        <v>43</v>
      </c>
      <c r="K5" s="1429" t="s">
        <v>42</v>
      </c>
      <c r="L5" s="1429" t="s">
        <v>43</v>
      </c>
      <c r="M5" s="1429" t="s">
        <v>42</v>
      </c>
      <c r="N5" s="1429" t="s">
        <v>43</v>
      </c>
      <c r="O5" s="1429" t="s">
        <v>42</v>
      </c>
      <c r="P5" s="1429" t="s">
        <v>43</v>
      </c>
      <c r="Q5" s="1429" t="s">
        <v>42</v>
      </c>
      <c r="R5" s="142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428" t="s">
        <v>71</v>
      </c>
      <c r="C6" s="1431">
        <v>30936</v>
      </c>
      <c r="D6" s="1432">
        <f t="shared" ref="D6:D11" si="0">0.9725*C6</f>
        <v>30085.260000000002</v>
      </c>
      <c r="E6" s="1431"/>
      <c r="F6" s="1432">
        <f>67.1*E6</f>
        <v>0</v>
      </c>
      <c r="G6" s="1431"/>
      <c r="H6" s="1431">
        <f>28.2*G6</f>
        <v>0</v>
      </c>
      <c r="I6" s="1431">
        <v>590</v>
      </c>
      <c r="J6" s="1431">
        <f>18.5*I6</f>
        <v>10915</v>
      </c>
      <c r="K6" s="1431"/>
      <c r="L6" s="1432">
        <f>28.2368*K6</f>
        <v>0</v>
      </c>
      <c r="M6" s="1431"/>
      <c r="N6" s="1432">
        <f>M6*47.6525</f>
        <v>0</v>
      </c>
      <c r="O6" s="1431"/>
      <c r="P6" s="1432">
        <f>O6*8.9</f>
        <v>0</v>
      </c>
      <c r="Q6" s="1432"/>
      <c r="R6" s="1432">
        <f>241*Q6</f>
        <v>0</v>
      </c>
      <c r="S6" s="1431"/>
      <c r="T6" s="1431">
        <f>241*S6</f>
        <v>0</v>
      </c>
      <c r="U6" s="1431"/>
      <c r="V6" s="1431">
        <f>332*U6</f>
        <v>0</v>
      </c>
      <c r="W6" s="1431"/>
      <c r="X6" s="19">
        <f>W6*100</f>
        <v>0</v>
      </c>
      <c r="Y6" s="20">
        <f t="shared" ref="Y6:Y12" si="1">D6+F6+H6+J6+L6+N6+P6+R6+T6+V6+X6</f>
        <v>41000.26</v>
      </c>
    </row>
    <row r="7" spans="1:25" ht="31.5" customHeight="1" x14ac:dyDescent="0.25">
      <c r="A7" s="12">
        <v>1984225578</v>
      </c>
      <c r="B7" s="1428" t="s">
        <v>72</v>
      </c>
      <c r="C7" s="1431">
        <v>17867</v>
      </c>
      <c r="D7" s="1432">
        <f t="shared" si="0"/>
        <v>17375.657500000001</v>
      </c>
      <c r="E7" s="1431"/>
      <c r="F7" s="1431">
        <f t="shared" ref="F7:F11" si="2">67.1*E7</f>
        <v>0</v>
      </c>
      <c r="G7" s="1431"/>
      <c r="H7" s="1431">
        <f t="shared" ref="H7:H11" si="3">28.2*G7</f>
        <v>0</v>
      </c>
      <c r="I7" s="1431">
        <v>500</v>
      </c>
      <c r="J7" s="1431">
        <f t="shared" ref="J7:J11" si="4">18.5*I7</f>
        <v>9250</v>
      </c>
      <c r="K7" s="1431"/>
      <c r="L7" s="1432">
        <f t="shared" ref="L7:L11" si="5">28.2368*K7</f>
        <v>0</v>
      </c>
      <c r="M7" s="1431"/>
      <c r="N7" s="1432">
        <f t="shared" ref="N7:N11" si="6">M7*47.6525</f>
        <v>0</v>
      </c>
      <c r="O7" s="1431"/>
      <c r="P7" s="1432">
        <f t="shared" ref="P7:P11" si="7">O7*8.9</f>
        <v>0</v>
      </c>
      <c r="Q7" s="1432"/>
      <c r="R7" s="1432">
        <f t="shared" ref="R7:R11" si="8">241*Q7</f>
        <v>0</v>
      </c>
      <c r="S7" s="1431"/>
      <c r="T7" s="1431">
        <f t="shared" ref="T7:T10" si="9">241*S7</f>
        <v>0</v>
      </c>
      <c r="U7" s="1431"/>
      <c r="V7" s="1431">
        <f t="shared" ref="V7:V11" si="10">332*U7</f>
        <v>0</v>
      </c>
      <c r="W7" s="1431"/>
      <c r="X7" s="19">
        <f t="shared" ref="X7:X11" si="11">W7*100</f>
        <v>0</v>
      </c>
      <c r="Y7" s="20">
        <f t="shared" si="1"/>
        <v>26625.657500000001</v>
      </c>
    </row>
    <row r="8" spans="1:25" ht="35.25" customHeight="1" x14ac:dyDescent="0.25">
      <c r="A8" s="12">
        <v>1967020280</v>
      </c>
      <c r="B8" s="1428" t="s">
        <v>427</v>
      </c>
      <c r="C8" s="1431">
        <v>40533</v>
      </c>
      <c r="D8" s="1432">
        <f t="shared" si="0"/>
        <v>39418.342499999999</v>
      </c>
      <c r="E8" s="1431"/>
      <c r="F8" s="1431">
        <f t="shared" si="2"/>
        <v>0</v>
      </c>
      <c r="G8" s="1431">
        <v>20</v>
      </c>
      <c r="H8" s="1432">
        <f t="shared" si="3"/>
        <v>564</v>
      </c>
      <c r="I8" s="1431">
        <v>500</v>
      </c>
      <c r="J8" s="1431">
        <f t="shared" si="4"/>
        <v>9250</v>
      </c>
      <c r="K8" s="1431"/>
      <c r="L8" s="1432">
        <f t="shared" si="5"/>
        <v>0</v>
      </c>
      <c r="M8" s="1431"/>
      <c r="N8" s="1432">
        <f t="shared" si="6"/>
        <v>0</v>
      </c>
      <c r="O8" s="1431"/>
      <c r="P8" s="1432">
        <f t="shared" si="7"/>
        <v>0</v>
      </c>
      <c r="Q8" s="1432"/>
      <c r="R8" s="1432">
        <f t="shared" si="8"/>
        <v>0</v>
      </c>
      <c r="S8" s="1431"/>
      <c r="T8" s="1431">
        <f t="shared" si="9"/>
        <v>0</v>
      </c>
      <c r="U8" s="1431"/>
      <c r="V8" s="1431">
        <f t="shared" si="10"/>
        <v>0</v>
      </c>
      <c r="W8" s="1431"/>
      <c r="X8" s="19">
        <f t="shared" si="11"/>
        <v>0</v>
      </c>
      <c r="Y8" s="20">
        <f t="shared" si="1"/>
        <v>49232.342499999999</v>
      </c>
    </row>
    <row r="9" spans="1:25" ht="38.25" customHeight="1" x14ac:dyDescent="0.25">
      <c r="A9" s="12">
        <v>1984225580</v>
      </c>
      <c r="B9" s="1428" t="s">
        <v>75</v>
      </c>
      <c r="C9" s="1431">
        <v>46929</v>
      </c>
      <c r="D9" s="1432">
        <f t="shared" si="0"/>
        <v>45638.452499999999</v>
      </c>
      <c r="E9" s="1431"/>
      <c r="F9" s="1431">
        <f t="shared" si="2"/>
        <v>0</v>
      </c>
      <c r="G9" s="1431">
        <v>30</v>
      </c>
      <c r="H9" s="1431">
        <f t="shared" si="3"/>
        <v>846</v>
      </c>
      <c r="I9" s="1431"/>
      <c r="J9" s="1431">
        <f t="shared" si="4"/>
        <v>0</v>
      </c>
      <c r="K9" s="1431"/>
      <c r="L9" s="1432">
        <f t="shared" si="5"/>
        <v>0</v>
      </c>
      <c r="M9" s="1431"/>
      <c r="N9" s="1432">
        <f t="shared" si="6"/>
        <v>0</v>
      </c>
      <c r="O9" s="1431"/>
      <c r="P9" s="1432">
        <f t="shared" si="7"/>
        <v>0</v>
      </c>
      <c r="Q9" s="1432"/>
      <c r="R9" s="1432">
        <f t="shared" si="8"/>
        <v>0</v>
      </c>
      <c r="S9" s="1431"/>
      <c r="T9" s="1431">
        <f t="shared" si="9"/>
        <v>0</v>
      </c>
      <c r="U9" s="1431"/>
      <c r="V9" s="1431">
        <f t="shared" si="10"/>
        <v>0</v>
      </c>
      <c r="W9" s="1431"/>
      <c r="X9" s="19">
        <f t="shared" si="11"/>
        <v>0</v>
      </c>
      <c r="Y9" s="20">
        <f t="shared" si="1"/>
        <v>46484.452499999999</v>
      </c>
    </row>
    <row r="10" spans="1:25" ht="35.25" customHeight="1" x14ac:dyDescent="0.25">
      <c r="A10" s="12">
        <v>1409935199</v>
      </c>
      <c r="C10" s="1431"/>
      <c r="D10" s="1432">
        <f t="shared" si="0"/>
        <v>0</v>
      </c>
      <c r="E10" s="1431"/>
      <c r="F10" s="1431">
        <f t="shared" si="2"/>
        <v>0</v>
      </c>
      <c r="G10" s="1431"/>
      <c r="H10" s="1431">
        <f t="shared" si="3"/>
        <v>0</v>
      </c>
      <c r="I10" s="1431"/>
      <c r="J10" s="1431">
        <f t="shared" si="4"/>
        <v>0</v>
      </c>
      <c r="K10" s="1431"/>
      <c r="L10" s="1432">
        <f t="shared" si="5"/>
        <v>0</v>
      </c>
      <c r="M10" s="1431"/>
      <c r="N10" s="1432">
        <f t="shared" si="6"/>
        <v>0</v>
      </c>
      <c r="O10" s="1431"/>
      <c r="P10" s="1432">
        <f t="shared" si="7"/>
        <v>0</v>
      </c>
      <c r="Q10" s="1432"/>
      <c r="R10" s="1432">
        <f t="shared" si="8"/>
        <v>0</v>
      </c>
      <c r="S10" s="1431"/>
      <c r="T10" s="1431">
        <f t="shared" si="9"/>
        <v>0</v>
      </c>
      <c r="U10" s="1431"/>
      <c r="V10" s="1431">
        <f t="shared" si="10"/>
        <v>0</v>
      </c>
      <c r="W10" s="143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30"/>
      <c r="C11" s="1431"/>
      <c r="D11" s="1432">
        <f t="shared" si="0"/>
        <v>0</v>
      </c>
      <c r="E11" s="1431"/>
      <c r="F11" s="1431">
        <f t="shared" si="2"/>
        <v>0</v>
      </c>
      <c r="G11" s="1431"/>
      <c r="H11" s="1431">
        <f t="shared" si="3"/>
        <v>0</v>
      </c>
      <c r="I11" s="1431"/>
      <c r="J11" s="1431">
        <f t="shared" si="4"/>
        <v>0</v>
      </c>
      <c r="K11" s="1431"/>
      <c r="L11" s="1432">
        <f t="shared" si="5"/>
        <v>0</v>
      </c>
      <c r="M11" s="1431"/>
      <c r="N11" s="1432">
        <f t="shared" si="6"/>
        <v>0</v>
      </c>
      <c r="O11" s="1431"/>
      <c r="P11" s="1432">
        <f t="shared" si="7"/>
        <v>0</v>
      </c>
      <c r="Q11" s="1432"/>
      <c r="R11" s="1432">
        <f t="shared" si="8"/>
        <v>0</v>
      </c>
      <c r="S11" s="1431"/>
      <c r="T11" s="1431">
        <f>341*S11</f>
        <v>0</v>
      </c>
      <c r="U11" s="1431"/>
      <c r="V11" s="1431">
        <f t="shared" si="10"/>
        <v>0</v>
      </c>
      <c r="W11" s="143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136265</v>
      </c>
      <c r="D12" s="18">
        <f t="shared" si="12"/>
        <v>132517.71250000002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1590</v>
      </c>
      <c r="J12" s="18">
        <f t="shared" si="12"/>
        <v>29415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163342.71250000002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36" t="s">
        <v>174</v>
      </c>
      <c r="K14" s="30" t="s">
        <v>36</v>
      </c>
      <c r="L14" s="1436" t="s">
        <v>403</v>
      </c>
      <c r="M14" s="30" t="s">
        <v>429</v>
      </c>
      <c r="N14" s="30" t="s">
        <v>442</v>
      </c>
      <c r="O14" s="1436" t="s">
        <v>114</v>
      </c>
      <c r="P14" s="30" t="s">
        <v>70</v>
      </c>
      <c r="Q14" s="1958" t="s">
        <v>479</v>
      </c>
      <c r="R14" s="1959"/>
      <c r="S14" s="1436" t="s">
        <v>401</v>
      </c>
      <c r="T14" s="1893" t="s">
        <v>46</v>
      </c>
      <c r="U14" s="1428" t="s">
        <v>176</v>
      </c>
      <c r="V14" s="1918">
        <v>39833</v>
      </c>
      <c r="W14" s="1926"/>
      <c r="X14" s="1919"/>
    </row>
    <row r="15" spans="1:25" ht="22.5" customHeight="1" x14ac:dyDescent="0.25">
      <c r="A15" s="100" t="s">
        <v>38</v>
      </c>
      <c r="B15" s="1918">
        <v>282328</v>
      </c>
      <c r="C15" s="1919"/>
      <c r="D15" s="1433">
        <v>130</v>
      </c>
      <c r="E15" s="1433">
        <v>1270</v>
      </c>
      <c r="F15" s="1433">
        <v>9420</v>
      </c>
      <c r="G15" s="1433">
        <v>680</v>
      </c>
      <c r="H15" s="1433">
        <v>161</v>
      </c>
      <c r="I15" s="1433">
        <v>30</v>
      </c>
      <c r="J15" s="1433">
        <v>4</v>
      </c>
      <c r="K15" s="1433">
        <v>82</v>
      </c>
      <c r="L15" s="1433">
        <v>0</v>
      </c>
      <c r="M15" s="1433">
        <v>0</v>
      </c>
      <c r="N15" s="1433">
        <v>0</v>
      </c>
      <c r="O15" s="1433">
        <v>0</v>
      </c>
      <c r="P15" s="1433">
        <v>100</v>
      </c>
      <c r="Q15" s="1918">
        <v>10</v>
      </c>
      <c r="R15" s="1919"/>
      <c r="S15" s="1428">
        <v>2</v>
      </c>
      <c r="T15" s="1893"/>
      <c r="U15" s="1428" t="s">
        <v>64</v>
      </c>
      <c r="V15" s="1920">
        <v>51992</v>
      </c>
      <c r="W15" s="1920"/>
      <c r="X15" s="1920"/>
    </row>
    <row r="16" spans="1:25" ht="24.75" customHeight="1" x14ac:dyDescent="0.25">
      <c r="A16" s="100" t="s">
        <v>39</v>
      </c>
      <c r="B16" s="1918">
        <v>236945</v>
      </c>
      <c r="C16" s="1919"/>
      <c r="D16" s="1433"/>
      <c r="E16" s="1433"/>
      <c r="F16" s="1433">
        <v>9000</v>
      </c>
      <c r="G16" s="1433"/>
      <c r="H16" s="1433"/>
      <c r="I16" s="1433"/>
      <c r="J16" s="1433"/>
      <c r="K16" s="1433"/>
      <c r="L16" s="1433"/>
      <c r="M16" s="1433"/>
      <c r="N16" s="1433">
        <v>15000</v>
      </c>
      <c r="O16" s="1433"/>
      <c r="P16" s="1433"/>
      <c r="Q16" s="1920"/>
      <c r="R16" s="1920"/>
      <c r="S16" s="1433"/>
      <c r="T16" s="1912" t="s">
        <v>55</v>
      </c>
      <c r="U16" s="1912"/>
      <c r="V16" s="1925">
        <f>Y12</f>
        <v>163342.71250000002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433"/>
      <c r="E17" s="1433"/>
      <c r="F17" s="1433"/>
      <c r="G17" s="1433"/>
      <c r="H17" s="1433"/>
      <c r="I17" s="1433"/>
      <c r="J17" s="1433"/>
      <c r="K17" s="1433"/>
      <c r="L17" s="1433"/>
      <c r="M17" s="1433"/>
      <c r="N17" s="1433"/>
      <c r="O17" s="1433"/>
      <c r="P17" s="1433"/>
      <c r="Q17" s="1883"/>
      <c r="R17" s="1883"/>
      <c r="S17" s="1430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136265</v>
      </c>
      <c r="C18" s="1919"/>
      <c r="D18" s="1434">
        <f>E12</f>
        <v>0</v>
      </c>
      <c r="E18" s="1434">
        <f>G12</f>
        <v>50</v>
      </c>
      <c r="F18" s="1434">
        <f>I12</f>
        <v>1590</v>
      </c>
      <c r="G18" s="1434">
        <f>K12</f>
        <v>0</v>
      </c>
      <c r="H18" s="1433"/>
      <c r="I18" s="1434">
        <f>U12</f>
        <v>0</v>
      </c>
      <c r="J18" s="1433"/>
      <c r="K18" s="1434">
        <f>W12</f>
        <v>0</v>
      </c>
      <c r="L18" s="1433"/>
      <c r="M18" s="1434">
        <f>M12</f>
        <v>0</v>
      </c>
      <c r="N18" s="1434">
        <f>O12</f>
        <v>0</v>
      </c>
      <c r="O18" s="1435">
        <f>Q12</f>
        <v>0</v>
      </c>
      <c r="P18" s="1434"/>
      <c r="Q18" s="1920"/>
      <c r="R18" s="1920"/>
      <c r="S18" s="1428"/>
      <c r="T18" s="1912" t="s">
        <v>57</v>
      </c>
      <c r="U18" s="1912"/>
      <c r="V18" s="1920">
        <v>720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383008</v>
      </c>
      <c r="C19" s="1919"/>
      <c r="D19" s="1433">
        <f>D15+D16+D17-D18</f>
        <v>130</v>
      </c>
      <c r="E19" s="1433">
        <f t="shared" ref="E19:N19" si="13">E15+E16+E17-E18</f>
        <v>1220</v>
      </c>
      <c r="F19" s="1433">
        <f t="shared" si="13"/>
        <v>16830</v>
      </c>
      <c r="G19" s="1433">
        <f t="shared" si="13"/>
        <v>680</v>
      </c>
      <c r="H19" s="1433">
        <f t="shared" si="13"/>
        <v>161</v>
      </c>
      <c r="I19" s="1433">
        <f t="shared" si="13"/>
        <v>30</v>
      </c>
      <c r="J19" s="1433">
        <f t="shared" si="13"/>
        <v>4</v>
      </c>
      <c r="K19" s="1433">
        <f t="shared" si="13"/>
        <v>82</v>
      </c>
      <c r="L19" s="1433">
        <f t="shared" si="13"/>
        <v>0</v>
      </c>
      <c r="M19" s="1433">
        <f t="shared" si="13"/>
        <v>0</v>
      </c>
      <c r="N19" s="1433">
        <f t="shared" si="13"/>
        <v>15000</v>
      </c>
      <c r="O19" s="1433">
        <f>O15+O16+O17-O18</f>
        <v>0</v>
      </c>
      <c r="P19" s="1433">
        <f t="shared" ref="P19:Q19" si="14">P15+P16+P17-P18</f>
        <v>100</v>
      </c>
      <c r="Q19" s="1918">
        <f t="shared" si="14"/>
        <v>10</v>
      </c>
      <c r="R19" s="1919"/>
      <c r="S19" s="1428">
        <f>S15+S16-S17-S18</f>
        <v>2</v>
      </c>
      <c r="T19" s="1914" t="s">
        <v>48</v>
      </c>
      <c r="U19" s="49" t="s">
        <v>58</v>
      </c>
      <c r="V19" s="1920">
        <v>105000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368645.2</v>
      </c>
      <c r="C20" s="1945"/>
      <c r="D20" s="290">
        <f>D19*66.41</f>
        <v>8633.2999999999993</v>
      </c>
      <c r="E20" s="290">
        <f>27.9368*E19</f>
        <v>34082.896000000001</v>
      </c>
      <c r="F20" s="290">
        <f>18.31*F19</f>
        <v>308157.3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>
        <v>125000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938522.72</v>
      </c>
      <c r="C21" s="1951"/>
      <c r="O21" s="1437"/>
      <c r="P21" s="1437"/>
      <c r="Q21" s="1437"/>
      <c r="R21" s="1437"/>
      <c r="T21" s="1952" t="s">
        <v>487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105000</v>
      </c>
      <c r="D22" s="1949">
        <v>105000</v>
      </c>
      <c r="E22" s="1949">
        <v>400000</v>
      </c>
      <c r="F22" s="1949">
        <f>C22-D22+E22</f>
        <v>400000</v>
      </c>
      <c r="G22" s="1437"/>
      <c r="Q22" s="1437"/>
      <c r="R22" s="1437"/>
      <c r="T22" s="1909" t="s">
        <v>83</v>
      </c>
      <c r="U22" s="50" t="s">
        <v>60</v>
      </c>
      <c r="V22" s="1920">
        <v>188560</v>
      </c>
      <c r="W22" s="1920"/>
      <c r="X22" s="1920"/>
      <c r="Y22" s="1927"/>
    </row>
    <row r="23" spans="1:25" ht="39.75" customHeight="1" x14ac:dyDescent="0.25">
      <c r="A23" s="1437"/>
      <c r="B23" s="1947"/>
      <c r="C23" s="1950"/>
      <c r="D23" s="1950"/>
      <c r="E23" s="1950"/>
      <c r="F23" s="1950"/>
      <c r="G23" s="1437"/>
      <c r="Q23" s="1437"/>
      <c r="R23" s="1437"/>
      <c r="T23" s="1910"/>
      <c r="U23" s="50" t="s">
        <v>61</v>
      </c>
      <c r="V23" s="1920">
        <v>230000</v>
      </c>
      <c r="W23" s="1920"/>
      <c r="X23" s="1920"/>
      <c r="Y23" s="1927"/>
    </row>
    <row r="24" spans="1:25" ht="48" customHeight="1" x14ac:dyDescent="0.25">
      <c r="A24" s="1437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437"/>
      <c r="Q24" s="1437"/>
      <c r="R24" s="1437"/>
      <c r="T24" s="1893" t="s">
        <v>47</v>
      </c>
      <c r="U24" s="51" t="s">
        <v>62</v>
      </c>
      <c r="V24" s="1921">
        <f>V14+V16+V17-V18-V19-V20-V22+V23-V21</f>
        <v>13895.712500000023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10552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437"/>
      <c r="J33" s="1437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B1774-7F9B-41C9-B7F0-7F0EA7494260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900" t="s">
        <v>490</v>
      </c>
      <c r="U3" s="1900"/>
      <c r="V3" s="1900"/>
      <c r="W3" s="1900"/>
      <c r="X3" s="1900"/>
      <c r="Y3" s="1900"/>
    </row>
    <row r="4" spans="1:25" s="144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443" customFormat="1" ht="25.5" customHeight="1" x14ac:dyDescent="0.25">
      <c r="A5" s="1901"/>
      <c r="B5" s="1901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441" t="s">
        <v>71</v>
      </c>
      <c r="C6" s="1439">
        <v>34130</v>
      </c>
      <c r="D6" s="1438">
        <f t="shared" ref="D6:D11" si="0">0.9725*C6</f>
        <v>33191.425000000003</v>
      </c>
      <c r="E6" s="1439"/>
      <c r="F6" s="1438">
        <f>67.1*E6</f>
        <v>0</v>
      </c>
      <c r="G6" s="1439"/>
      <c r="H6" s="1439">
        <f>28.2*G6</f>
        <v>0</v>
      </c>
      <c r="I6" s="1439">
        <v>420</v>
      </c>
      <c r="J6" s="1439">
        <f>18.5*I6</f>
        <v>7770</v>
      </c>
      <c r="K6" s="1439"/>
      <c r="L6" s="1438">
        <f>28.2368*K6</f>
        <v>0</v>
      </c>
      <c r="M6" s="1439"/>
      <c r="N6" s="1438">
        <f>M6*47.6525</f>
        <v>0</v>
      </c>
      <c r="O6" s="1439"/>
      <c r="P6" s="1438">
        <f>O6*8.9</f>
        <v>0</v>
      </c>
      <c r="Q6" s="1438"/>
      <c r="R6" s="1438">
        <f>241*Q6</f>
        <v>0</v>
      </c>
      <c r="S6" s="1439"/>
      <c r="T6" s="1439">
        <f>241*S6</f>
        <v>0</v>
      </c>
      <c r="U6" s="1439">
        <v>1</v>
      </c>
      <c r="V6" s="1439">
        <f>332*U6</f>
        <v>332</v>
      </c>
      <c r="W6" s="1439"/>
      <c r="X6" s="19">
        <f>W6*100</f>
        <v>0</v>
      </c>
      <c r="Y6" s="20">
        <f t="shared" ref="Y6:Y12" si="1">D6+F6+H6+J6+L6+N6+P6+R6+T6+V6+X6</f>
        <v>41293.425000000003</v>
      </c>
    </row>
    <row r="7" spans="1:25" ht="31.5" customHeight="1" x14ac:dyDescent="0.25">
      <c r="A7" s="12">
        <v>1984225578</v>
      </c>
      <c r="B7" s="1441" t="s">
        <v>72</v>
      </c>
      <c r="C7" s="1439">
        <v>13976</v>
      </c>
      <c r="D7" s="1438">
        <f t="shared" si="0"/>
        <v>13591.66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13591.66</v>
      </c>
    </row>
    <row r="8" spans="1:25" ht="35.25" customHeight="1" x14ac:dyDescent="0.25">
      <c r="A8" s="12">
        <v>1967020280</v>
      </c>
      <c r="B8" s="1441" t="s">
        <v>427</v>
      </c>
      <c r="C8" s="1439">
        <v>28263</v>
      </c>
      <c r="D8" s="1438">
        <f t="shared" si="0"/>
        <v>27485.767500000002</v>
      </c>
      <c r="E8" s="1439"/>
      <c r="F8" s="1439">
        <f t="shared" si="2"/>
        <v>0</v>
      </c>
      <c r="G8" s="1439">
        <v>50</v>
      </c>
      <c r="H8" s="1438">
        <f t="shared" si="3"/>
        <v>1410</v>
      </c>
      <c r="I8" s="1439">
        <v>760</v>
      </c>
      <c r="J8" s="1439">
        <f t="shared" si="4"/>
        <v>14060</v>
      </c>
      <c r="K8" s="1439"/>
      <c r="L8" s="1438">
        <f t="shared" si="5"/>
        <v>0</v>
      </c>
      <c r="M8" s="1439"/>
      <c r="N8" s="1438">
        <f t="shared" si="6"/>
        <v>0</v>
      </c>
      <c r="O8" s="1439"/>
      <c r="P8" s="1438">
        <f t="shared" si="7"/>
        <v>0</v>
      </c>
      <c r="Q8" s="1438"/>
      <c r="R8" s="1438">
        <f t="shared" si="8"/>
        <v>0</v>
      </c>
      <c r="S8" s="1439"/>
      <c r="T8" s="1439">
        <f t="shared" si="9"/>
        <v>0</v>
      </c>
      <c r="U8" s="1439">
        <v>13</v>
      </c>
      <c r="V8" s="1439">
        <f t="shared" si="10"/>
        <v>4316</v>
      </c>
      <c r="W8" s="1439"/>
      <c r="X8" s="19">
        <f t="shared" si="11"/>
        <v>0</v>
      </c>
      <c r="Y8" s="20">
        <f t="shared" si="1"/>
        <v>47271.767500000002</v>
      </c>
    </row>
    <row r="9" spans="1:25" ht="38.25" customHeight="1" x14ac:dyDescent="0.25">
      <c r="A9" s="12">
        <v>1984225580</v>
      </c>
      <c r="B9" s="1441" t="s">
        <v>75</v>
      </c>
      <c r="C9" s="1439">
        <v>24583</v>
      </c>
      <c r="D9" s="1438">
        <f t="shared" si="0"/>
        <v>23906.967500000002</v>
      </c>
      <c r="E9" s="1439"/>
      <c r="F9" s="1439">
        <f t="shared" si="2"/>
        <v>0</v>
      </c>
      <c r="G9" s="1439">
        <v>30</v>
      </c>
      <c r="H9" s="1439">
        <f t="shared" si="3"/>
        <v>846</v>
      </c>
      <c r="I9" s="1439">
        <v>2000</v>
      </c>
      <c r="J9" s="1439">
        <f t="shared" si="4"/>
        <v>37000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>
        <v>5</v>
      </c>
      <c r="V9" s="1439">
        <f t="shared" si="10"/>
        <v>1660</v>
      </c>
      <c r="W9" s="1439"/>
      <c r="X9" s="19">
        <f t="shared" si="11"/>
        <v>0</v>
      </c>
      <c r="Y9" s="20">
        <f t="shared" si="1"/>
        <v>63412.967499999999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100952</v>
      </c>
      <c r="D12" s="18">
        <f t="shared" si="12"/>
        <v>98175.82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19</v>
      </c>
      <c r="V12" s="18">
        <f t="shared" si="12"/>
        <v>6308</v>
      </c>
      <c r="W12" s="18">
        <f t="shared" si="12"/>
        <v>0</v>
      </c>
      <c r="X12" s="18">
        <f t="shared" si="12"/>
        <v>0</v>
      </c>
      <c r="Y12" s="20">
        <f t="shared" si="1"/>
        <v>165569.82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958" t="s">
        <v>479</v>
      </c>
      <c r="R14" s="1959"/>
      <c r="S14" s="1447" t="s">
        <v>401</v>
      </c>
      <c r="T14" s="1893" t="s">
        <v>46</v>
      </c>
      <c r="U14" s="1441" t="s">
        <v>176</v>
      </c>
      <c r="V14" s="1918">
        <v>13896</v>
      </c>
      <c r="W14" s="1926"/>
      <c r="X14" s="1919"/>
    </row>
    <row r="15" spans="1:25" ht="22.5" customHeight="1" x14ac:dyDescent="0.25">
      <c r="A15" s="100" t="s">
        <v>38</v>
      </c>
      <c r="B15" s="1918">
        <v>383008</v>
      </c>
      <c r="C15" s="1919"/>
      <c r="D15" s="1444">
        <v>130</v>
      </c>
      <c r="E15" s="1444">
        <v>1220</v>
      </c>
      <c r="F15" s="1444">
        <v>16830</v>
      </c>
      <c r="G15" s="1444">
        <v>680</v>
      </c>
      <c r="H15" s="1444">
        <v>161</v>
      </c>
      <c r="I15" s="1444">
        <v>30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1918">
        <v>10</v>
      </c>
      <c r="R15" s="1919"/>
      <c r="S15" s="1441">
        <v>2</v>
      </c>
      <c r="T15" s="1893"/>
      <c r="U15" s="1441" t="s">
        <v>64</v>
      </c>
      <c r="V15" s="1920">
        <v>10552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1920"/>
      <c r="R16" s="1920"/>
      <c r="S16" s="1444"/>
      <c r="T16" s="1912" t="s">
        <v>55</v>
      </c>
      <c r="U16" s="1912"/>
      <c r="V16" s="1925">
        <f>Y12</f>
        <v>165569.82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883"/>
      <c r="R17" s="1883"/>
      <c r="S17" s="1440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100952</v>
      </c>
      <c r="C18" s="1919"/>
      <c r="D18" s="1446">
        <f>E12</f>
        <v>0</v>
      </c>
      <c r="E18" s="1446">
        <f>G12</f>
        <v>80</v>
      </c>
      <c r="F18" s="1446">
        <f>I12</f>
        <v>3180</v>
      </c>
      <c r="G18" s="1446">
        <f>K12</f>
        <v>0</v>
      </c>
      <c r="H18" s="1444"/>
      <c r="I18" s="1446">
        <f>U12</f>
        <v>19</v>
      </c>
      <c r="J18" s="1444"/>
      <c r="K18" s="1446">
        <f>W12</f>
        <v>0</v>
      </c>
      <c r="L18" s="1444"/>
      <c r="M18" s="1446">
        <f>M12</f>
        <v>0</v>
      </c>
      <c r="N18" s="1446">
        <f>O12</f>
        <v>0</v>
      </c>
      <c r="O18" s="1445">
        <f>Q12</f>
        <v>0</v>
      </c>
      <c r="P18" s="1446"/>
      <c r="Q18" s="1920"/>
      <c r="R18" s="1920"/>
      <c r="S18" s="1441"/>
      <c r="T18" s="1912" t="s">
        <v>57</v>
      </c>
      <c r="U18" s="1912"/>
      <c r="V18" s="1920">
        <v>770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282056</v>
      </c>
      <c r="C19" s="1919"/>
      <c r="D19" s="1444">
        <f>D15+D16+D17-D18</f>
        <v>130</v>
      </c>
      <c r="E19" s="1444">
        <f t="shared" ref="E19:N19" si="13">E15+E16+E17-E18</f>
        <v>1140</v>
      </c>
      <c r="F19" s="1444">
        <f t="shared" si="13"/>
        <v>13650</v>
      </c>
      <c r="G19" s="1444">
        <f t="shared" si="13"/>
        <v>680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15000</v>
      </c>
      <c r="O19" s="1444">
        <f>O15+O16+O17-O18</f>
        <v>0</v>
      </c>
      <c r="P19" s="1444">
        <f t="shared" ref="P19:Q19" si="14">P15+P16+P17-P18</f>
        <v>100</v>
      </c>
      <c r="Q19" s="1918">
        <f t="shared" si="14"/>
        <v>10</v>
      </c>
      <c r="R19" s="1919"/>
      <c r="S19" s="1441">
        <f>S15+S16-S17-S18</f>
        <v>2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271478.90000000002</v>
      </c>
      <c r="C20" s="1945"/>
      <c r="D20" s="290">
        <f>D19*66.41</f>
        <v>8633.2999999999993</v>
      </c>
      <c r="E20" s="290">
        <f>27.9368*E19</f>
        <v>31847.952000000001</v>
      </c>
      <c r="F20" s="290">
        <f>18.31*F19</f>
        <v>249931.49999999997</v>
      </c>
      <c r="G20" s="290">
        <f>27.9368*G19</f>
        <v>18997.024000000001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774758.67599999998</v>
      </c>
      <c r="C21" s="1951"/>
      <c r="O21" s="1448"/>
      <c r="P21" s="1448"/>
      <c r="Q21" s="1448"/>
      <c r="R21" s="1448"/>
      <c r="T21" s="1952" t="s">
        <v>487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/>
      <c r="E22" s="1949"/>
      <c r="F22" s="1949">
        <f>C22-D22+E22</f>
        <v>400000</v>
      </c>
      <c r="G22" s="1448"/>
      <c r="Q22" s="1448"/>
      <c r="R22" s="1448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1448"/>
      <c r="B23" s="1947"/>
      <c r="C23" s="1950"/>
      <c r="D23" s="1950"/>
      <c r="E23" s="1950"/>
      <c r="F23" s="1950"/>
      <c r="G23" s="1448"/>
      <c r="Q23" s="1448"/>
      <c r="R23" s="1448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1448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893" t="s">
        <v>47</v>
      </c>
      <c r="U24" s="51" t="s">
        <v>62</v>
      </c>
      <c r="V24" s="1921">
        <f>V14+V16+V17-V18-V19-V20-V22+V23-V21</f>
        <v>178695.82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10552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448"/>
      <c r="J33" s="1448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505E-A42B-4325-9DF8-924569D4673F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900" t="s">
        <v>491</v>
      </c>
      <c r="U3" s="1900"/>
      <c r="V3" s="1900"/>
      <c r="W3" s="1900"/>
      <c r="X3" s="1900"/>
      <c r="Y3" s="1900"/>
    </row>
    <row r="4" spans="1:25" s="144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443" customFormat="1" ht="25.5" customHeight="1" x14ac:dyDescent="0.25">
      <c r="A5" s="1901"/>
      <c r="B5" s="1901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441" t="s">
        <v>71</v>
      </c>
      <c r="C6" s="1439">
        <v>28700</v>
      </c>
      <c r="D6" s="1438">
        <f t="shared" ref="D6:D11" si="0">0.9725*C6</f>
        <v>27910.75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4250</v>
      </c>
      <c r="P6" s="1438">
        <f>O6*8.9</f>
        <v>37825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67215.75</v>
      </c>
    </row>
    <row r="7" spans="1:25" ht="31.5" customHeight="1" x14ac:dyDescent="0.25">
      <c r="A7" s="12">
        <v>1984225578</v>
      </c>
      <c r="B7" s="1441" t="s">
        <v>72</v>
      </c>
      <c r="C7" s="1439">
        <v>16911</v>
      </c>
      <c r="D7" s="1438">
        <f t="shared" si="0"/>
        <v>16445.947500000002</v>
      </c>
      <c r="E7" s="1439"/>
      <c r="F7" s="1439">
        <f t="shared" ref="F7:F11" si="2">67.1*E7</f>
        <v>0</v>
      </c>
      <c r="G7" s="1439">
        <v>60</v>
      </c>
      <c r="H7" s="1439">
        <f t="shared" ref="H7:H11" si="3">28.2*G7</f>
        <v>1692</v>
      </c>
      <c r="I7" s="1439">
        <v>1330</v>
      </c>
      <c r="J7" s="1439">
        <f t="shared" ref="J7:J11" si="4">18.5*I7</f>
        <v>24605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>
        <v>5000</v>
      </c>
      <c r="P7" s="1438">
        <f t="shared" ref="P7:P11" si="7">O7*8.9</f>
        <v>44500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87242.947500000009</v>
      </c>
    </row>
    <row r="8" spans="1:25" ht="35.25" customHeight="1" x14ac:dyDescent="0.25">
      <c r="A8" s="12">
        <v>1967020280</v>
      </c>
      <c r="B8" s="1441" t="s">
        <v>427</v>
      </c>
      <c r="C8" s="1439">
        <v>27961</v>
      </c>
      <c r="D8" s="1438">
        <f t="shared" si="0"/>
        <v>27192.072500000002</v>
      </c>
      <c r="E8" s="1439"/>
      <c r="F8" s="1439">
        <f t="shared" si="2"/>
        <v>0</v>
      </c>
      <c r="G8" s="1439">
        <v>120</v>
      </c>
      <c r="H8" s="1438">
        <f t="shared" si="3"/>
        <v>3384</v>
      </c>
      <c r="I8" s="1439">
        <v>830</v>
      </c>
      <c r="J8" s="1439">
        <f t="shared" si="4"/>
        <v>15355</v>
      </c>
      <c r="K8" s="1439">
        <v>100</v>
      </c>
      <c r="L8" s="1438">
        <f t="shared" si="5"/>
        <v>2823.68</v>
      </c>
      <c r="M8" s="1439"/>
      <c r="N8" s="1438">
        <f t="shared" si="6"/>
        <v>0</v>
      </c>
      <c r="O8" s="1439">
        <v>2500</v>
      </c>
      <c r="P8" s="1438">
        <f t="shared" si="7"/>
        <v>22250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71004.752500000002</v>
      </c>
    </row>
    <row r="9" spans="1:25" ht="38.25" customHeight="1" x14ac:dyDescent="0.25">
      <c r="A9" s="12">
        <v>1984225580</v>
      </c>
      <c r="B9" s="1441" t="s">
        <v>75</v>
      </c>
      <c r="C9" s="1439">
        <v>39474</v>
      </c>
      <c r="D9" s="1438">
        <f t="shared" si="0"/>
        <v>38388.465000000004</v>
      </c>
      <c r="E9" s="1439"/>
      <c r="F9" s="1439">
        <f t="shared" si="2"/>
        <v>0</v>
      </c>
      <c r="G9" s="1439">
        <v>10</v>
      </c>
      <c r="H9" s="1439">
        <f t="shared" si="3"/>
        <v>282</v>
      </c>
      <c r="I9" s="1439">
        <v>1200</v>
      </c>
      <c r="J9" s="1439">
        <f t="shared" si="4"/>
        <v>22200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60870.465000000004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113046</v>
      </c>
      <c r="D12" s="18">
        <f t="shared" si="12"/>
        <v>109937.23500000002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3440</v>
      </c>
      <c r="J12" s="18">
        <f t="shared" si="12"/>
        <v>63640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11750</v>
      </c>
      <c r="P12" s="23">
        <f t="shared" si="12"/>
        <v>104575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286333.91500000004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958" t="s">
        <v>479</v>
      </c>
      <c r="R14" s="1959"/>
      <c r="S14" s="1447" t="s">
        <v>401</v>
      </c>
      <c r="T14" s="1893" t="s">
        <v>46</v>
      </c>
      <c r="U14" s="1441" t="s">
        <v>176</v>
      </c>
      <c r="V14" s="1918">
        <v>178696</v>
      </c>
      <c r="W14" s="1926"/>
      <c r="X14" s="1919"/>
    </row>
    <row r="15" spans="1:25" ht="22.5" customHeight="1" x14ac:dyDescent="0.25">
      <c r="A15" s="100" t="s">
        <v>38</v>
      </c>
      <c r="B15" s="1918">
        <v>282056</v>
      </c>
      <c r="C15" s="1919"/>
      <c r="D15" s="1444">
        <v>130</v>
      </c>
      <c r="E15" s="1444">
        <v>1140</v>
      </c>
      <c r="F15" s="1444">
        <v>13650</v>
      </c>
      <c r="G15" s="1444">
        <v>680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1918">
        <v>10</v>
      </c>
      <c r="R15" s="1919"/>
      <c r="S15" s="1441">
        <v>2</v>
      </c>
      <c r="T15" s="1893"/>
      <c r="U15" s="1441" t="s">
        <v>64</v>
      </c>
      <c r="V15" s="1920">
        <v>10552</v>
      </c>
      <c r="W15" s="1920"/>
      <c r="X15" s="1920"/>
    </row>
    <row r="16" spans="1:25" ht="24.75" customHeight="1" x14ac:dyDescent="0.25">
      <c r="A16" s="100" t="s">
        <v>39</v>
      </c>
      <c r="B16" s="1918">
        <v>209911</v>
      </c>
      <c r="C16" s="1919"/>
      <c r="D16" s="1444"/>
      <c r="E16" s="1444"/>
      <c r="F16" s="1444">
        <v>6000</v>
      </c>
      <c r="G16" s="1444"/>
      <c r="H16" s="1444"/>
      <c r="I16" s="1444"/>
      <c r="J16" s="1444"/>
      <c r="K16" s="1444"/>
      <c r="L16" s="1444"/>
      <c r="M16" s="1444"/>
      <c r="N16" s="1444">
        <v>10000</v>
      </c>
      <c r="O16" s="1444"/>
      <c r="P16" s="1444"/>
      <c r="Q16" s="1920"/>
      <c r="R16" s="1920"/>
      <c r="S16" s="1444"/>
      <c r="T16" s="1912" t="s">
        <v>55</v>
      </c>
      <c r="U16" s="1912"/>
      <c r="V16" s="1925">
        <f>Y12</f>
        <v>286333.91500000004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883"/>
      <c r="R17" s="1883"/>
      <c r="S17" s="1440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113046</v>
      </c>
      <c r="C18" s="1919"/>
      <c r="D18" s="1446">
        <f>E12</f>
        <v>0</v>
      </c>
      <c r="E18" s="1446">
        <f>G12</f>
        <v>190</v>
      </c>
      <c r="F18" s="1446">
        <f>I12</f>
        <v>3440</v>
      </c>
      <c r="G18" s="1446">
        <f>K12</f>
        <v>100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11750</v>
      </c>
      <c r="O18" s="1445">
        <f>Q12</f>
        <v>0</v>
      </c>
      <c r="P18" s="1446"/>
      <c r="Q18" s="1920"/>
      <c r="R18" s="1920"/>
      <c r="S18" s="1441"/>
      <c r="T18" s="1912" t="s">
        <v>57</v>
      </c>
      <c r="U18" s="1912"/>
      <c r="V18" s="1920">
        <v>15070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378921</v>
      </c>
      <c r="C19" s="1919"/>
      <c r="D19" s="1444">
        <f>D15+D16+D17-D18</f>
        <v>130</v>
      </c>
      <c r="E19" s="1444">
        <f t="shared" ref="E19:N19" si="13">E15+E16+E17-E18</f>
        <v>950</v>
      </c>
      <c r="F19" s="1444">
        <f t="shared" si="13"/>
        <v>16210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13250</v>
      </c>
      <c r="O19" s="1444">
        <f>O15+O16+O17-O18</f>
        <v>0</v>
      </c>
      <c r="P19" s="1444">
        <f t="shared" ref="P19:Q19" si="14">P15+P16+P17-P18</f>
        <v>100</v>
      </c>
      <c r="Q19" s="1918">
        <f t="shared" si="14"/>
        <v>10</v>
      </c>
      <c r="R19" s="1919"/>
      <c r="S19" s="1441">
        <f>S15+S16-S17-S18</f>
        <v>2</v>
      </c>
      <c r="T19" s="1914" t="s">
        <v>48</v>
      </c>
      <c r="U19" s="49" t="s">
        <v>58</v>
      </c>
      <c r="V19" s="1920">
        <v>400000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364711.46250000002</v>
      </c>
      <c r="C20" s="1945"/>
      <c r="D20" s="290">
        <f>D19*66.41</f>
        <v>8633.2999999999993</v>
      </c>
      <c r="E20" s="290">
        <f>27.9368*E19</f>
        <v>26539.960000000003</v>
      </c>
      <c r="F20" s="290">
        <f>18.31*F19</f>
        <v>296805.09999999998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116732.5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891345.66650000005</v>
      </c>
      <c r="C21" s="1951"/>
      <c r="O21" s="1448"/>
      <c r="P21" s="1448"/>
      <c r="Q21" s="1448"/>
      <c r="R21" s="1448"/>
      <c r="T21" s="1952" t="s">
        <v>487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>
        <v>400000</v>
      </c>
      <c r="E22" s="1949">
        <v>400000</v>
      </c>
      <c r="F22" s="1949">
        <f>C22-D22+E22</f>
        <v>400000</v>
      </c>
      <c r="G22" s="1448"/>
      <c r="Q22" s="1448"/>
      <c r="R22" s="1448"/>
      <c r="T22" s="1909" t="s">
        <v>83</v>
      </c>
      <c r="U22" s="50" t="s">
        <v>60</v>
      </c>
      <c r="V22" s="1920">
        <v>416470</v>
      </c>
      <c r="W22" s="1920"/>
      <c r="X22" s="1920"/>
      <c r="Y22" s="1927"/>
    </row>
    <row r="23" spans="1:25" ht="39.75" customHeight="1" x14ac:dyDescent="0.25">
      <c r="A23" s="1448"/>
      <c r="B23" s="1947"/>
      <c r="C23" s="1950"/>
      <c r="D23" s="1950"/>
      <c r="E23" s="1950"/>
      <c r="F23" s="1950"/>
      <c r="G23" s="1448"/>
      <c r="Q23" s="1448"/>
      <c r="R23" s="1448"/>
      <c r="T23" s="1910"/>
      <c r="U23" s="50" t="s">
        <v>61</v>
      </c>
      <c r="V23" s="1920">
        <v>400000</v>
      </c>
      <c r="W23" s="1920"/>
      <c r="X23" s="1920"/>
      <c r="Y23" s="1927"/>
    </row>
    <row r="24" spans="1:25" ht="48" customHeight="1" x14ac:dyDescent="0.25">
      <c r="A24" s="1448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893" t="s">
        <v>47</v>
      </c>
      <c r="U24" s="51" t="s">
        <v>62</v>
      </c>
      <c r="V24" s="1921">
        <f>V14+V16+V17-V18-V19-V20-V22+V23-V21</f>
        <v>33489.915000000037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27022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448"/>
      <c r="J33" s="1448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8F4F-EBB4-4453-915D-F18A311DCD56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900" t="s">
        <v>492</v>
      </c>
      <c r="U3" s="1900"/>
      <c r="V3" s="1900"/>
      <c r="W3" s="1900"/>
      <c r="X3" s="1900"/>
      <c r="Y3" s="1900"/>
    </row>
    <row r="4" spans="1:25" s="144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443" customFormat="1" ht="25.5" customHeight="1" x14ac:dyDescent="0.25">
      <c r="A5" s="1901"/>
      <c r="B5" s="1901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441" t="s">
        <v>71</v>
      </c>
      <c r="C6" s="1439">
        <v>30949</v>
      </c>
      <c r="D6" s="1438">
        <f t="shared" ref="D6:D11" si="0">0.9725*C6</f>
        <v>30097.9025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750</v>
      </c>
      <c r="P6" s="1438">
        <f>O6*8.9</f>
        <v>6675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38252.902499999997</v>
      </c>
    </row>
    <row r="7" spans="1:25" ht="31.5" customHeight="1" x14ac:dyDescent="0.25">
      <c r="A7" s="12">
        <v>1984225578</v>
      </c>
      <c r="B7" s="1441" t="s">
        <v>72</v>
      </c>
      <c r="C7" s="1439">
        <v>14077</v>
      </c>
      <c r="D7" s="1438">
        <f t="shared" si="0"/>
        <v>13689.8825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13689.8825</v>
      </c>
    </row>
    <row r="8" spans="1:25" ht="35.25" customHeight="1" x14ac:dyDescent="0.25">
      <c r="A8" s="12">
        <v>1967020280</v>
      </c>
      <c r="B8" s="1441" t="s">
        <v>427</v>
      </c>
      <c r="C8" s="1439">
        <v>18495</v>
      </c>
      <c r="D8" s="1438">
        <f t="shared" si="0"/>
        <v>17986.387500000001</v>
      </c>
      <c r="E8" s="1439"/>
      <c r="F8" s="1439">
        <f t="shared" si="2"/>
        <v>0</v>
      </c>
      <c r="G8" s="1439"/>
      <c r="H8" s="1438">
        <f t="shared" si="3"/>
        <v>0</v>
      </c>
      <c r="I8" s="1439">
        <v>120</v>
      </c>
      <c r="J8" s="1439">
        <f t="shared" si="4"/>
        <v>2220</v>
      </c>
      <c r="K8" s="1439"/>
      <c r="L8" s="1438">
        <f t="shared" si="5"/>
        <v>0</v>
      </c>
      <c r="M8" s="1439"/>
      <c r="N8" s="1438">
        <f t="shared" si="6"/>
        <v>0</v>
      </c>
      <c r="O8" s="1439">
        <v>2460</v>
      </c>
      <c r="P8" s="1438">
        <f t="shared" si="7"/>
        <v>21894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42100.387499999997</v>
      </c>
    </row>
    <row r="9" spans="1:25" ht="38.25" customHeight="1" x14ac:dyDescent="0.25">
      <c r="A9" s="12">
        <v>1984225580</v>
      </c>
      <c r="B9" s="1441" t="s">
        <v>75</v>
      </c>
      <c r="C9" s="1439">
        <v>23177</v>
      </c>
      <c r="D9" s="1438">
        <f t="shared" si="0"/>
        <v>22539.6325</v>
      </c>
      <c r="E9" s="1439"/>
      <c r="F9" s="1439">
        <f t="shared" si="2"/>
        <v>0</v>
      </c>
      <c r="G9" s="1439">
        <v>240</v>
      </c>
      <c r="H9" s="1439">
        <f t="shared" si="3"/>
        <v>6768</v>
      </c>
      <c r="I9" s="1439">
        <v>800</v>
      </c>
      <c r="J9" s="1439">
        <f t="shared" si="4"/>
        <v>14800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44107.6325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86698</v>
      </c>
      <c r="D12" s="18">
        <f t="shared" si="12"/>
        <v>84313.804999999993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1000</v>
      </c>
      <c r="J12" s="18">
        <f t="shared" si="12"/>
        <v>18500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3210</v>
      </c>
      <c r="P12" s="23">
        <f t="shared" si="12"/>
        <v>28569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138150.80499999999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958" t="s">
        <v>479</v>
      </c>
      <c r="R14" s="1959"/>
      <c r="S14" s="1447" t="s">
        <v>401</v>
      </c>
      <c r="T14" s="1893" t="s">
        <v>46</v>
      </c>
      <c r="U14" s="1441" t="s">
        <v>176</v>
      </c>
      <c r="V14" s="1918">
        <v>33490</v>
      </c>
      <c r="W14" s="1926"/>
      <c r="X14" s="1919"/>
    </row>
    <row r="15" spans="1:25" ht="22.5" customHeight="1" x14ac:dyDescent="0.25">
      <c r="A15" s="100" t="s">
        <v>38</v>
      </c>
      <c r="B15" s="1918">
        <v>378921</v>
      </c>
      <c r="C15" s="1919"/>
      <c r="D15" s="1444">
        <v>130</v>
      </c>
      <c r="E15" s="1444">
        <v>950</v>
      </c>
      <c r="F15" s="1444">
        <v>16210</v>
      </c>
      <c r="G15" s="1444">
        <v>580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13250</v>
      </c>
      <c r="O15" s="1444">
        <v>0</v>
      </c>
      <c r="P15" s="1444">
        <v>100</v>
      </c>
      <c r="Q15" s="1918">
        <v>10</v>
      </c>
      <c r="R15" s="1919"/>
      <c r="S15" s="1441">
        <v>2</v>
      </c>
      <c r="T15" s="1893"/>
      <c r="U15" s="1441" t="s">
        <v>64</v>
      </c>
      <c r="V15" s="1920">
        <v>27022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1920"/>
      <c r="R16" s="1920"/>
      <c r="S16" s="1444"/>
      <c r="T16" s="1912" t="s">
        <v>55</v>
      </c>
      <c r="U16" s="1912"/>
      <c r="V16" s="1925">
        <f>Y12</f>
        <v>138150.80499999999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883"/>
      <c r="R17" s="1883"/>
      <c r="S17" s="1440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86698</v>
      </c>
      <c r="C18" s="1919"/>
      <c r="D18" s="1446">
        <f>E12</f>
        <v>0</v>
      </c>
      <c r="E18" s="1446">
        <f>G12</f>
        <v>240</v>
      </c>
      <c r="F18" s="1446">
        <f>I12</f>
        <v>1000</v>
      </c>
      <c r="G18" s="1446">
        <f>K12</f>
        <v>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3210</v>
      </c>
      <c r="O18" s="1445">
        <f>Q12</f>
        <v>0</v>
      </c>
      <c r="P18" s="1446"/>
      <c r="Q18" s="1920"/>
      <c r="R18" s="1920"/>
      <c r="S18" s="1441"/>
      <c r="T18" s="1912" t="s">
        <v>57</v>
      </c>
      <c r="U18" s="1912"/>
      <c r="V18" s="1920">
        <v>1170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292223</v>
      </c>
      <c r="C19" s="1919"/>
      <c r="D19" s="1444">
        <f>D15+D16+D17-D18</f>
        <v>130</v>
      </c>
      <c r="E19" s="1444">
        <f t="shared" ref="E19:N19" si="13">E15+E16+E17-E18</f>
        <v>710</v>
      </c>
      <c r="F19" s="1444">
        <f t="shared" si="13"/>
        <v>15210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10040</v>
      </c>
      <c r="O19" s="1444">
        <f>O15+O16+O17-O18</f>
        <v>0</v>
      </c>
      <c r="P19" s="1444">
        <f t="shared" ref="P19:Q19" si="14">P15+P16+P17-P18</f>
        <v>100</v>
      </c>
      <c r="Q19" s="1918">
        <f t="shared" si="14"/>
        <v>10</v>
      </c>
      <c r="R19" s="1919"/>
      <c r="S19" s="1441">
        <f>S15+S16-S17-S18</f>
        <v>2</v>
      </c>
      <c r="T19" s="1914" t="s">
        <v>48</v>
      </c>
      <c r="U19" s="49" t="s">
        <v>58</v>
      </c>
      <c r="V19" s="1920">
        <v>155000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281264.63750000001</v>
      </c>
      <c r="C20" s="1945"/>
      <c r="D20" s="290">
        <f>D19*66.41</f>
        <v>8633.2999999999993</v>
      </c>
      <c r="E20" s="290">
        <f>27.9368*E19</f>
        <v>19835.128000000001</v>
      </c>
      <c r="F20" s="290">
        <f>18.31*F19</f>
        <v>278495.09999999998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88452.400000000009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754603.90950000007</v>
      </c>
      <c r="C21" s="1951"/>
      <c r="O21" s="1448"/>
      <c r="P21" s="1448"/>
      <c r="Q21" s="1448"/>
      <c r="R21" s="1448"/>
      <c r="T21" s="1952" t="s">
        <v>487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>
        <v>155000</v>
      </c>
      <c r="E22" s="1949"/>
      <c r="F22" s="1949">
        <f>C22-D22+E22</f>
        <v>245000</v>
      </c>
      <c r="G22" s="1448"/>
      <c r="Q22" s="1448"/>
      <c r="R22" s="1448"/>
      <c r="T22" s="1909" t="s">
        <v>83</v>
      </c>
      <c r="U22" s="50" t="s">
        <v>60</v>
      </c>
      <c r="V22" s="1920">
        <v>138030</v>
      </c>
      <c r="W22" s="1920"/>
      <c r="X22" s="1920"/>
      <c r="Y22" s="1927"/>
    </row>
    <row r="23" spans="1:25" ht="39.75" customHeight="1" x14ac:dyDescent="0.25">
      <c r="A23" s="1448"/>
      <c r="B23" s="1947"/>
      <c r="C23" s="1950"/>
      <c r="D23" s="1950"/>
      <c r="E23" s="1950"/>
      <c r="F23" s="1950"/>
      <c r="G23" s="1448"/>
      <c r="Q23" s="1448"/>
      <c r="R23" s="1448"/>
      <c r="T23" s="1910"/>
      <c r="U23" s="50" t="s">
        <v>61</v>
      </c>
      <c r="V23" s="1920">
        <v>155000</v>
      </c>
      <c r="W23" s="1920"/>
      <c r="X23" s="1920"/>
      <c r="Y23" s="1927"/>
    </row>
    <row r="24" spans="1:25" ht="48" customHeight="1" x14ac:dyDescent="0.25">
      <c r="A24" s="1448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893" t="s">
        <v>47</v>
      </c>
      <c r="U24" s="51" t="s">
        <v>62</v>
      </c>
      <c r="V24" s="1921">
        <f>V14+V16+V17-V18-V19-V20-V22+V23-V21</f>
        <v>32440.804999999993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10052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448"/>
      <c r="J33" s="1448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544E1-300E-4C10-B494-9FF333556B5A}">
  <sheetPr>
    <pageSetUpPr fitToPage="1"/>
  </sheetPr>
  <dimension ref="A1:Y33"/>
  <sheetViews>
    <sheetView zoomScale="72" zoomScaleNormal="72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1900" t="s">
        <v>493</v>
      </c>
      <c r="U3" s="1900"/>
      <c r="V3" s="1900"/>
      <c r="W3" s="1900"/>
      <c r="X3" s="1900"/>
      <c r="Y3" s="1900"/>
    </row>
    <row r="4" spans="1:25" s="144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449" customFormat="1" ht="25.5" customHeight="1" x14ac:dyDescent="0.25">
      <c r="A5" s="1901"/>
      <c r="B5" s="1901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450" t="s">
        <v>71</v>
      </c>
      <c r="C6" s="1453">
        <v>28157</v>
      </c>
      <c r="D6" s="1454">
        <f t="shared" ref="D6:D11" si="0">0.9725*C6</f>
        <v>27382.682500000003</v>
      </c>
      <c r="E6" s="1453"/>
      <c r="F6" s="1454">
        <f>67.1*E6</f>
        <v>0</v>
      </c>
      <c r="G6" s="1453"/>
      <c r="H6" s="1453">
        <f>28.2*G6</f>
        <v>0</v>
      </c>
      <c r="I6" s="1453">
        <v>20</v>
      </c>
      <c r="J6" s="1453">
        <f>18.5*I6</f>
        <v>370</v>
      </c>
      <c r="K6" s="1453"/>
      <c r="L6" s="1454">
        <f>28.2368*K6</f>
        <v>0</v>
      </c>
      <c r="M6" s="1453"/>
      <c r="N6" s="1454">
        <f>M6*47.6525</f>
        <v>0</v>
      </c>
      <c r="O6" s="1453">
        <v>370</v>
      </c>
      <c r="P6" s="1454">
        <f>O6*8.9</f>
        <v>3293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31045.682500000003</v>
      </c>
    </row>
    <row r="7" spans="1:25" ht="31.5" customHeight="1" x14ac:dyDescent="0.25">
      <c r="A7" s="12">
        <v>1984225578</v>
      </c>
      <c r="B7" s="1450" t="s">
        <v>72</v>
      </c>
      <c r="C7" s="1453">
        <v>16145</v>
      </c>
      <c r="D7" s="1454">
        <f t="shared" si="0"/>
        <v>15701.012500000001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640</v>
      </c>
      <c r="J7" s="1453">
        <f t="shared" ref="J7:J11" si="4">18.5*I7</f>
        <v>11840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27541.012500000001</v>
      </c>
    </row>
    <row r="8" spans="1:25" ht="35.25" customHeight="1" x14ac:dyDescent="0.25">
      <c r="A8" s="12">
        <v>1967020280</v>
      </c>
      <c r="B8" s="1450" t="s">
        <v>427</v>
      </c>
      <c r="C8" s="1453">
        <v>30169</v>
      </c>
      <c r="D8" s="1454">
        <f t="shared" si="0"/>
        <v>29339.352500000001</v>
      </c>
      <c r="E8" s="1453"/>
      <c r="F8" s="1453">
        <f t="shared" si="2"/>
        <v>0</v>
      </c>
      <c r="G8" s="1453">
        <v>50</v>
      </c>
      <c r="H8" s="1454">
        <f t="shared" si="3"/>
        <v>1410</v>
      </c>
      <c r="I8" s="1453">
        <v>500</v>
      </c>
      <c r="J8" s="1453">
        <f t="shared" si="4"/>
        <v>9250</v>
      </c>
      <c r="K8" s="1453"/>
      <c r="L8" s="1454">
        <f t="shared" si="5"/>
        <v>0</v>
      </c>
      <c r="M8" s="1453"/>
      <c r="N8" s="1454">
        <f t="shared" si="6"/>
        <v>0</v>
      </c>
      <c r="O8" s="1453">
        <v>2040</v>
      </c>
      <c r="P8" s="1454">
        <f t="shared" si="7"/>
        <v>18156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58155.352500000001</v>
      </c>
    </row>
    <row r="9" spans="1:25" ht="38.25" customHeight="1" x14ac:dyDescent="0.25">
      <c r="A9" s="12">
        <v>1984225580</v>
      </c>
      <c r="B9" s="1450" t="s">
        <v>75</v>
      </c>
      <c r="C9" s="1453">
        <v>32317</v>
      </c>
      <c r="D9" s="1454">
        <f t="shared" si="0"/>
        <v>31428.282500000001</v>
      </c>
      <c r="E9" s="1453"/>
      <c r="F9" s="1453">
        <f t="shared" si="2"/>
        <v>0</v>
      </c>
      <c r="G9" s="1453"/>
      <c r="H9" s="1453">
        <f t="shared" si="3"/>
        <v>0</v>
      </c>
      <c r="I9" s="1453">
        <v>240</v>
      </c>
      <c r="J9" s="1453">
        <f t="shared" si="4"/>
        <v>4440</v>
      </c>
      <c r="K9" s="1453"/>
      <c r="L9" s="1454">
        <f t="shared" si="5"/>
        <v>0</v>
      </c>
      <c r="M9" s="1453"/>
      <c r="N9" s="1454">
        <f t="shared" si="6"/>
        <v>0</v>
      </c>
      <c r="O9" s="1453"/>
      <c r="P9" s="1454">
        <f t="shared" si="7"/>
        <v>0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35868.282500000001</v>
      </c>
    </row>
    <row r="10" spans="1:25" ht="35.25" customHeight="1" x14ac:dyDescent="0.25">
      <c r="A10" s="12">
        <v>1409935199</v>
      </c>
      <c r="C10" s="1453"/>
      <c r="D10" s="1454">
        <f t="shared" si="0"/>
        <v>0</v>
      </c>
      <c r="E10" s="1453"/>
      <c r="F10" s="1453">
        <f t="shared" si="2"/>
        <v>0</v>
      </c>
      <c r="G10" s="1453"/>
      <c r="H10" s="1453">
        <f t="shared" si="3"/>
        <v>0</v>
      </c>
      <c r="I10" s="1453">
        <v>3500</v>
      </c>
      <c r="J10" s="1453">
        <f t="shared" si="4"/>
        <v>64750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64750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106788</v>
      </c>
      <c r="D12" s="18">
        <f t="shared" si="12"/>
        <v>103851.33000000002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4900</v>
      </c>
      <c r="J12" s="18">
        <f t="shared" si="12"/>
        <v>90650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2410</v>
      </c>
      <c r="P12" s="23">
        <f t="shared" si="12"/>
        <v>21449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217360.33000000002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1958" t="s">
        <v>479</v>
      </c>
      <c r="R14" s="1959"/>
      <c r="S14" s="1458" t="s">
        <v>401</v>
      </c>
      <c r="T14" s="1893" t="s">
        <v>46</v>
      </c>
      <c r="U14" s="1450" t="s">
        <v>176</v>
      </c>
      <c r="V14" s="1918">
        <v>32441</v>
      </c>
      <c r="W14" s="1926"/>
      <c r="X14" s="1919"/>
    </row>
    <row r="15" spans="1:25" ht="22.5" customHeight="1" x14ac:dyDescent="0.25">
      <c r="A15" s="100" t="s">
        <v>38</v>
      </c>
      <c r="B15" s="1918">
        <v>292223</v>
      </c>
      <c r="C15" s="1919"/>
      <c r="D15" s="1455">
        <v>130</v>
      </c>
      <c r="E15" s="1455">
        <v>710</v>
      </c>
      <c r="F15" s="1455">
        <v>15210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10040</v>
      </c>
      <c r="O15" s="1455">
        <v>0</v>
      </c>
      <c r="P15" s="1455">
        <v>100</v>
      </c>
      <c r="Q15" s="1918">
        <v>10</v>
      </c>
      <c r="R15" s="1919"/>
      <c r="S15" s="1450">
        <v>2</v>
      </c>
      <c r="T15" s="1893"/>
      <c r="U15" s="1450" t="s">
        <v>64</v>
      </c>
      <c r="V15" s="1920">
        <v>10052</v>
      </c>
      <c r="W15" s="1920"/>
      <c r="X15" s="1920"/>
    </row>
    <row r="16" spans="1:25" ht="24.75" customHeight="1" x14ac:dyDescent="0.25">
      <c r="A16" s="100" t="s">
        <v>39</v>
      </c>
      <c r="B16" s="1918">
        <v>93506</v>
      </c>
      <c r="C16" s="1919"/>
      <c r="D16" s="1455"/>
      <c r="E16" s="1455"/>
      <c r="F16" s="1455">
        <v>5000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1920"/>
      <c r="R16" s="1920"/>
      <c r="S16" s="1455"/>
      <c r="T16" s="1912" t="s">
        <v>55</v>
      </c>
      <c r="U16" s="1912"/>
      <c r="V16" s="1925">
        <f>Y12</f>
        <v>217360.33000000002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1883"/>
      <c r="R17" s="1883"/>
      <c r="S17" s="1452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106788</v>
      </c>
      <c r="C18" s="1919"/>
      <c r="D18" s="1456">
        <f>E12</f>
        <v>0</v>
      </c>
      <c r="E18" s="1456">
        <f>G12</f>
        <v>50</v>
      </c>
      <c r="F18" s="1456">
        <f>I12</f>
        <v>4900</v>
      </c>
      <c r="G18" s="1456">
        <f>K12</f>
        <v>0</v>
      </c>
      <c r="H18" s="1455"/>
      <c r="I18" s="1456">
        <f>U12</f>
        <v>0</v>
      </c>
      <c r="J18" s="1455"/>
      <c r="K18" s="1456">
        <f>W12</f>
        <v>0</v>
      </c>
      <c r="L18" s="1455"/>
      <c r="M18" s="1456">
        <f>M12</f>
        <v>0</v>
      </c>
      <c r="N18" s="1456">
        <f>O12</f>
        <v>2410</v>
      </c>
      <c r="O18" s="1457">
        <f>Q12</f>
        <v>0</v>
      </c>
      <c r="P18" s="1456"/>
      <c r="Q18" s="1920"/>
      <c r="R18" s="1920"/>
      <c r="S18" s="1450"/>
      <c r="T18" s="1912" t="s">
        <v>57</v>
      </c>
      <c r="U18" s="1912"/>
      <c r="V18" s="1920">
        <v>1020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278941</v>
      </c>
      <c r="C19" s="1919"/>
      <c r="D19" s="1455">
        <f>D15+D16+D17-D18</f>
        <v>130</v>
      </c>
      <c r="E19" s="1455">
        <f t="shared" ref="E19:N19" si="13">E15+E16+E17-E18</f>
        <v>660</v>
      </c>
      <c r="F19" s="1455">
        <f t="shared" si="13"/>
        <v>15310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82</v>
      </c>
      <c r="L19" s="1455">
        <f t="shared" si="13"/>
        <v>0</v>
      </c>
      <c r="M19" s="1455">
        <f t="shared" si="13"/>
        <v>0</v>
      </c>
      <c r="N19" s="1455">
        <f t="shared" si="13"/>
        <v>7630</v>
      </c>
      <c r="O19" s="1455">
        <f>O15+O16+O17-O18</f>
        <v>0</v>
      </c>
      <c r="P19" s="1455">
        <f t="shared" ref="P19:Q19" si="14">P15+P16+P17-P18</f>
        <v>100</v>
      </c>
      <c r="Q19" s="1918">
        <f t="shared" si="14"/>
        <v>10</v>
      </c>
      <c r="R19" s="1919"/>
      <c r="S19" s="1450">
        <f>S15+S16-S17-S18</f>
        <v>2</v>
      </c>
      <c r="T19" s="1914" t="s">
        <v>48</v>
      </c>
      <c r="U19" s="49" t="s">
        <v>58</v>
      </c>
      <c r="V19" s="1920">
        <v>245000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268480.71250000002</v>
      </c>
      <c r="C20" s="1945"/>
      <c r="D20" s="290">
        <f>D19*66.41</f>
        <v>8633.2999999999993</v>
      </c>
      <c r="E20" s="290">
        <f>27.9368*E19</f>
        <v>18438.288</v>
      </c>
      <c r="F20" s="290">
        <f>18.31*F19</f>
        <v>280326.09999999998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67220.3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721022.04450000008</v>
      </c>
      <c r="C21" s="1951"/>
      <c r="O21" s="1459"/>
      <c r="P21" s="1459"/>
      <c r="Q21" s="1459"/>
      <c r="R21" s="1459"/>
      <c r="T21" s="1952" t="s">
        <v>487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245000</v>
      </c>
      <c r="D22" s="1949">
        <v>245000</v>
      </c>
      <c r="E22" s="1949">
        <v>181550</v>
      </c>
      <c r="F22" s="1949">
        <f>C22-D22+E22</f>
        <v>181550</v>
      </c>
      <c r="G22" s="1459"/>
      <c r="Q22" s="1459"/>
      <c r="R22" s="1459"/>
      <c r="T22" s="1909" t="s">
        <v>83</v>
      </c>
      <c r="U22" s="50" t="s">
        <v>60</v>
      </c>
      <c r="V22" s="1920">
        <v>241310</v>
      </c>
      <c r="W22" s="1920"/>
      <c r="X22" s="1920"/>
      <c r="Y22" s="1927"/>
    </row>
    <row r="23" spans="1:25" ht="39.75" customHeight="1" x14ac:dyDescent="0.25">
      <c r="A23" s="1459"/>
      <c r="B23" s="1947"/>
      <c r="C23" s="1950"/>
      <c r="D23" s="1950"/>
      <c r="E23" s="1950"/>
      <c r="F23" s="1950"/>
      <c r="G23" s="1459"/>
      <c r="Q23" s="1459"/>
      <c r="R23" s="1459"/>
      <c r="T23" s="1910"/>
      <c r="U23" s="50" t="s">
        <v>61</v>
      </c>
      <c r="V23" s="1920">
        <v>245000</v>
      </c>
      <c r="W23" s="1920"/>
      <c r="X23" s="1920"/>
      <c r="Y23" s="1927"/>
    </row>
    <row r="24" spans="1:25" ht="48" customHeight="1" x14ac:dyDescent="0.25">
      <c r="A24" s="1459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1893" t="s">
        <v>47</v>
      </c>
      <c r="U24" s="51" t="s">
        <v>62</v>
      </c>
      <c r="V24" s="1921">
        <f>V14+V16+V17-V18-V19-V20-V22+V23-V21</f>
        <v>7471.3300000000163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6362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459"/>
      <c r="J33" s="1459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C8031-D953-45B9-99FB-5B9166408FA3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Q44" sqref="Q4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1900" t="s">
        <v>494</v>
      </c>
      <c r="U3" s="1900"/>
      <c r="V3" s="1900"/>
      <c r="W3" s="1900"/>
      <c r="X3" s="1900"/>
      <c r="Y3" s="1900"/>
    </row>
    <row r="4" spans="1:25" s="144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449" customFormat="1" ht="25.5" customHeight="1" x14ac:dyDescent="0.25">
      <c r="A5" s="1901"/>
      <c r="B5" s="1901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450" t="s">
        <v>71</v>
      </c>
      <c r="C6" s="1453">
        <v>38145</v>
      </c>
      <c r="D6" s="1454">
        <f t="shared" ref="D6:D11" si="0">0.9725*C6</f>
        <v>37096.012500000004</v>
      </c>
      <c r="E6" s="1453"/>
      <c r="F6" s="1454">
        <f>67.1*E6</f>
        <v>0</v>
      </c>
      <c r="G6" s="1453">
        <v>70</v>
      </c>
      <c r="H6" s="1453">
        <f>28.2*G6</f>
        <v>1974</v>
      </c>
      <c r="I6" s="1453">
        <v>350</v>
      </c>
      <c r="J6" s="1453">
        <f>18.5*I6</f>
        <v>6475</v>
      </c>
      <c r="K6" s="1453"/>
      <c r="L6" s="1454">
        <f>28.2368*K6</f>
        <v>0</v>
      </c>
      <c r="M6" s="1453"/>
      <c r="N6" s="1454">
        <f>M6*47.6525</f>
        <v>0</v>
      </c>
      <c r="O6" s="1453">
        <v>3990</v>
      </c>
      <c r="P6" s="1454">
        <f>O6*8.9</f>
        <v>35511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81056.012500000012</v>
      </c>
    </row>
    <row r="7" spans="1:25" ht="31.5" customHeight="1" x14ac:dyDescent="0.25">
      <c r="A7" s="12">
        <v>1984225578</v>
      </c>
      <c r="B7" s="1450" t="s">
        <v>72</v>
      </c>
      <c r="C7" s="1453">
        <v>14695</v>
      </c>
      <c r="D7" s="1454">
        <f t="shared" si="0"/>
        <v>14290.887500000001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250</v>
      </c>
      <c r="J7" s="1453">
        <f t="shared" ref="J7:J11" si="4">18.5*I7</f>
        <v>4625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18915.887500000001</v>
      </c>
    </row>
    <row r="8" spans="1:25" ht="35.25" customHeight="1" x14ac:dyDescent="0.25">
      <c r="A8" s="12">
        <v>1967020280</v>
      </c>
      <c r="B8" s="1450" t="s">
        <v>427</v>
      </c>
      <c r="C8" s="1453">
        <v>26434</v>
      </c>
      <c r="D8" s="1454">
        <f t="shared" si="0"/>
        <v>25707.065000000002</v>
      </c>
      <c r="E8" s="1453"/>
      <c r="F8" s="1453">
        <f t="shared" si="2"/>
        <v>0</v>
      </c>
      <c r="G8" s="1453">
        <v>10</v>
      </c>
      <c r="H8" s="1454">
        <f t="shared" si="3"/>
        <v>282</v>
      </c>
      <c r="I8" s="1453">
        <v>140</v>
      </c>
      <c r="J8" s="1453">
        <f t="shared" si="4"/>
        <v>2590</v>
      </c>
      <c r="K8" s="1453"/>
      <c r="L8" s="1454">
        <f t="shared" si="5"/>
        <v>0</v>
      </c>
      <c r="M8" s="1453"/>
      <c r="N8" s="1454">
        <f t="shared" si="6"/>
        <v>0</v>
      </c>
      <c r="O8" s="1453">
        <v>1900</v>
      </c>
      <c r="P8" s="1454">
        <f t="shared" si="7"/>
        <v>16910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45489.065000000002</v>
      </c>
    </row>
    <row r="9" spans="1:25" ht="38.25" customHeight="1" x14ac:dyDescent="0.25">
      <c r="A9" s="12">
        <v>1984225580</v>
      </c>
      <c r="B9" s="1450" t="s">
        <v>75</v>
      </c>
      <c r="C9" s="1453">
        <v>27687</v>
      </c>
      <c r="D9" s="1454">
        <f t="shared" si="0"/>
        <v>26925.607500000002</v>
      </c>
      <c r="E9" s="1453"/>
      <c r="F9" s="1453">
        <f t="shared" si="2"/>
        <v>0</v>
      </c>
      <c r="G9" s="1453"/>
      <c r="H9" s="1453">
        <f t="shared" si="3"/>
        <v>0</v>
      </c>
      <c r="I9" s="1453"/>
      <c r="J9" s="1453">
        <f t="shared" si="4"/>
        <v>0</v>
      </c>
      <c r="K9" s="1453"/>
      <c r="L9" s="1454">
        <f t="shared" si="5"/>
        <v>0</v>
      </c>
      <c r="M9" s="1453"/>
      <c r="N9" s="1454">
        <f t="shared" si="6"/>
        <v>0</v>
      </c>
      <c r="O9" s="1453">
        <v>1240</v>
      </c>
      <c r="P9" s="1454">
        <f t="shared" si="7"/>
        <v>11036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37961.607499999998</v>
      </c>
    </row>
    <row r="10" spans="1:25" ht="35.25" customHeight="1" x14ac:dyDescent="0.25">
      <c r="A10" s="12">
        <v>1409935199</v>
      </c>
      <c r="C10" s="1453">
        <v>325</v>
      </c>
      <c r="D10" s="1454">
        <f t="shared" si="0"/>
        <v>316.0625</v>
      </c>
      <c r="E10" s="1453"/>
      <c r="F10" s="1453">
        <f t="shared" si="2"/>
        <v>0</v>
      </c>
      <c r="G10" s="1453"/>
      <c r="H10" s="1453">
        <f t="shared" si="3"/>
        <v>0</v>
      </c>
      <c r="I10" s="1453"/>
      <c r="J10" s="1453">
        <f t="shared" si="4"/>
        <v>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316.0625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>
        <v>2</v>
      </c>
      <c r="X11" s="19">
        <f t="shared" si="11"/>
        <v>200</v>
      </c>
      <c r="Y11" s="20">
        <f t="shared" si="1"/>
        <v>200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107286</v>
      </c>
      <c r="D12" s="18">
        <f t="shared" si="12"/>
        <v>104335.63500000001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7130</v>
      </c>
      <c r="P12" s="23">
        <f t="shared" si="12"/>
        <v>63457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183938.63500000001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1958" t="s">
        <v>479</v>
      </c>
      <c r="R14" s="1959"/>
      <c r="S14" s="1458" t="s">
        <v>401</v>
      </c>
      <c r="T14" s="1893" t="s">
        <v>46</v>
      </c>
      <c r="U14" s="1450" t="s">
        <v>176</v>
      </c>
      <c r="V14" s="1918">
        <v>7471</v>
      </c>
      <c r="W14" s="1926"/>
      <c r="X14" s="1919"/>
    </row>
    <row r="15" spans="1:25" ht="22.5" customHeight="1" x14ac:dyDescent="0.25">
      <c r="A15" s="100" t="s">
        <v>38</v>
      </c>
      <c r="B15" s="1918">
        <v>278941</v>
      </c>
      <c r="C15" s="1919"/>
      <c r="D15" s="1455">
        <v>130</v>
      </c>
      <c r="E15" s="1455">
        <v>660</v>
      </c>
      <c r="F15" s="1455">
        <v>15310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7630</v>
      </c>
      <c r="O15" s="1455">
        <v>0</v>
      </c>
      <c r="P15" s="1455">
        <v>100</v>
      </c>
      <c r="Q15" s="1918">
        <v>10</v>
      </c>
      <c r="R15" s="1919"/>
      <c r="S15" s="1450">
        <v>2</v>
      </c>
      <c r="T15" s="1893"/>
      <c r="U15" s="1450" t="s">
        <v>64</v>
      </c>
      <c r="V15" s="1920">
        <v>6362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455"/>
      <c r="E16" s="1455"/>
      <c r="F16" s="1455">
        <v>6000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1920"/>
      <c r="R16" s="1920"/>
      <c r="S16" s="1455"/>
      <c r="T16" s="1912" t="s">
        <v>55</v>
      </c>
      <c r="U16" s="1912"/>
      <c r="V16" s="1925">
        <f>Y12</f>
        <v>183938.63500000001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1883"/>
      <c r="R17" s="1883"/>
      <c r="S17" s="1452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107286</v>
      </c>
      <c r="C18" s="1919"/>
      <c r="D18" s="1456">
        <f>E12</f>
        <v>0</v>
      </c>
      <c r="E18" s="1456">
        <f>G12</f>
        <v>80</v>
      </c>
      <c r="F18" s="1456">
        <f>I12</f>
        <v>740</v>
      </c>
      <c r="G18" s="1456">
        <f>K12</f>
        <v>0</v>
      </c>
      <c r="H18" s="1455"/>
      <c r="I18" s="1456">
        <f>U12</f>
        <v>0</v>
      </c>
      <c r="J18" s="1455"/>
      <c r="K18" s="1456">
        <f>W12</f>
        <v>2</v>
      </c>
      <c r="L18" s="1455"/>
      <c r="M18" s="1456">
        <f>M12</f>
        <v>0</v>
      </c>
      <c r="N18" s="1456">
        <f>O12</f>
        <v>7130</v>
      </c>
      <c r="O18" s="1457">
        <f>Q12</f>
        <v>0</v>
      </c>
      <c r="P18" s="1456"/>
      <c r="Q18" s="1920"/>
      <c r="R18" s="1920"/>
      <c r="S18" s="1450"/>
      <c r="T18" s="1912" t="s">
        <v>57</v>
      </c>
      <c r="U18" s="1912"/>
      <c r="V18" s="1920">
        <v>1150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171655</v>
      </c>
      <c r="C19" s="1919"/>
      <c r="D19" s="1455">
        <f>D15+D16+D17-D18</f>
        <v>130</v>
      </c>
      <c r="E19" s="1455">
        <f t="shared" ref="E19:N19" si="13">E15+E16+E17-E18</f>
        <v>580</v>
      </c>
      <c r="F19" s="1455">
        <f t="shared" si="13"/>
        <v>20570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80</v>
      </c>
      <c r="L19" s="1455">
        <f t="shared" si="13"/>
        <v>0</v>
      </c>
      <c r="M19" s="1455">
        <f t="shared" si="13"/>
        <v>0</v>
      </c>
      <c r="N19" s="1455">
        <f t="shared" si="13"/>
        <v>500</v>
      </c>
      <c r="O19" s="1455">
        <f>O15+O16+O17-O18</f>
        <v>0</v>
      </c>
      <c r="P19" s="1455">
        <f t="shared" ref="P19:Q19" si="14">P15+P16+P17-P18</f>
        <v>100</v>
      </c>
      <c r="Q19" s="1918">
        <f t="shared" si="14"/>
        <v>10</v>
      </c>
      <c r="R19" s="1919"/>
      <c r="S19" s="1450">
        <f>S15+S16-S17-S18</f>
        <v>2</v>
      </c>
      <c r="T19" s="1914" t="s">
        <v>48</v>
      </c>
      <c r="U19" s="49" t="s">
        <v>58</v>
      </c>
      <c r="V19" s="1920">
        <v>181550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165217.9375</v>
      </c>
      <c r="C20" s="1945"/>
      <c r="D20" s="290">
        <f>D19*66.41</f>
        <v>8633.2999999999993</v>
      </c>
      <c r="E20" s="290">
        <f>27.9368*E19</f>
        <v>16203.344000000001</v>
      </c>
      <c r="F20" s="290">
        <f>18.31*F19</f>
        <v>376636.69999999995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648819.62549999997</v>
      </c>
      <c r="C21" s="1951"/>
      <c r="O21" s="1459"/>
      <c r="P21" s="1459"/>
      <c r="Q21" s="1459"/>
      <c r="R21" s="1459"/>
      <c r="T21" s="1952" t="s">
        <v>487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181550</v>
      </c>
      <c r="D22" s="1949">
        <v>181550</v>
      </c>
      <c r="E22" s="1949">
        <v>109860</v>
      </c>
      <c r="F22" s="1949">
        <f>C22-D22+E22</f>
        <v>109860</v>
      </c>
      <c r="G22" s="1459"/>
      <c r="Q22" s="1459"/>
      <c r="R22" s="1459"/>
      <c r="T22" s="1909" t="s">
        <v>83</v>
      </c>
      <c r="U22" s="50" t="s">
        <v>60</v>
      </c>
      <c r="V22" s="1920">
        <v>186650</v>
      </c>
      <c r="W22" s="1920"/>
      <c r="X22" s="1920"/>
      <c r="Y22" s="1927"/>
    </row>
    <row r="23" spans="1:25" ht="39.75" customHeight="1" x14ac:dyDescent="0.25">
      <c r="A23" s="1459"/>
      <c r="B23" s="1947"/>
      <c r="C23" s="1950"/>
      <c r="D23" s="1950"/>
      <c r="E23" s="1950"/>
      <c r="F23" s="1950"/>
      <c r="G23" s="1459"/>
      <c r="Q23" s="1459"/>
      <c r="R23" s="1459"/>
      <c r="T23" s="1910"/>
      <c r="U23" s="50" t="s">
        <v>61</v>
      </c>
      <c r="V23" s="1920">
        <v>181550</v>
      </c>
      <c r="W23" s="1920"/>
      <c r="X23" s="1920"/>
      <c r="Y23" s="1927"/>
    </row>
    <row r="24" spans="1:25" ht="48" customHeight="1" x14ac:dyDescent="0.25">
      <c r="A24" s="1459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1893" t="s">
        <v>47</v>
      </c>
      <c r="U24" s="51" t="s">
        <v>62</v>
      </c>
      <c r="V24" s="1921">
        <f>V14+V16+V17-V18-V19-V20-V22+V23-V21</f>
        <v>3609.6350000000093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11462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459"/>
      <c r="J33" s="1459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6FCC-BF9F-4750-A5CD-EA46D49EEAD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460"/>
      <c r="B3" s="1460"/>
      <c r="C3" s="1460"/>
      <c r="D3" s="1460"/>
      <c r="E3" s="1460"/>
      <c r="F3" s="1460"/>
      <c r="G3" s="1460"/>
      <c r="H3" s="1460"/>
      <c r="I3" s="1460"/>
      <c r="J3" s="1460"/>
      <c r="K3" s="1460"/>
      <c r="L3" s="1460"/>
      <c r="M3" s="1460"/>
      <c r="N3" s="1460"/>
      <c r="O3" s="1460"/>
      <c r="P3" s="1460"/>
      <c r="Q3" s="1460"/>
      <c r="R3" s="1460"/>
      <c r="S3" s="1460"/>
      <c r="T3" s="1900" t="s">
        <v>495</v>
      </c>
      <c r="U3" s="1900"/>
      <c r="V3" s="1900"/>
      <c r="W3" s="1900"/>
      <c r="X3" s="1900"/>
      <c r="Y3" s="1900"/>
    </row>
    <row r="4" spans="1:25" s="1460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460" customFormat="1" ht="25.5" customHeight="1" x14ac:dyDescent="0.25">
      <c r="A5" s="1901"/>
      <c r="B5" s="1901"/>
      <c r="C5" s="1462" t="s">
        <v>42</v>
      </c>
      <c r="D5" s="1462" t="s">
        <v>43</v>
      </c>
      <c r="E5" s="1462" t="s">
        <v>42</v>
      </c>
      <c r="F5" s="1462" t="s">
        <v>43</v>
      </c>
      <c r="G5" s="1462" t="s">
        <v>42</v>
      </c>
      <c r="H5" s="1462" t="s">
        <v>43</v>
      </c>
      <c r="I5" s="1462" t="s">
        <v>42</v>
      </c>
      <c r="J5" s="1462" t="s">
        <v>43</v>
      </c>
      <c r="K5" s="1462" t="s">
        <v>42</v>
      </c>
      <c r="L5" s="1462" t="s">
        <v>43</v>
      </c>
      <c r="M5" s="1462" t="s">
        <v>42</v>
      </c>
      <c r="N5" s="1462" t="s">
        <v>43</v>
      </c>
      <c r="O5" s="1462" t="s">
        <v>42</v>
      </c>
      <c r="P5" s="1462" t="s">
        <v>43</v>
      </c>
      <c r="Q5" s="1462" t="s">
        <v>42</v>
      </c>
      <c r="R5" s="14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461" t="s">
        <v>71</v>
      </c>
      <c r="C6" s="1464">
        <v>19379</v>
      </c>
      <c r="D6" s="1465">
        <f t="shared" ref="D6:D11" si="0">0.9725*C6</f>
        <v>18846.077499999999</v>
      </c>
      <c r="E6" s="1464"/>
      <c r="F6" s="1465">
        <f>67.1*E6</f>
        <v>0</v>
      </c>
      <c r="G6" s="1464"/>
      <c r="H6" s="1464">
        <f>28.2*G6</f>
        <v>0</v>
      </c>
      <c r="I6" s="1464">
        <v>110</v>
      </c>
      <c r="J6" s="1464">
        <f>18.5*I6</f>
        <v>2035</v>
      </c>
      <c r="K6" s="1464"/>
      <c r="L6" s="1465">
        <f>28.2368*K6</f>
        <v>0</v>
      </c>
      <c r="M6" s="1464"/>
      <c r="N6" s="1465">
        <f>M6*47.6525</f>
        <v>0</v>
      </c>
      <c r="O6" s="1464"/>
      <c r="P6" s="1465">
        <f>O6*8.9</f>
        <v>0</v>
      </c>
      <c r="Q6" s="1465"/>
      <c r="R6" s="1465">
        <f>241*Q6</f>
        <v>0</v>
      </c>
      <c r="S6" s="1464">
        <v>22</v>
      </c>
      <c r="T6" s="1464">
        <f>241*S6</f>
        <v>5302</v>
      </c>
      <c r="U6" s="1464"/>
      <c r="V6" s="1464">
        <f>332*U6</f>
        <v>0</v>
      </c>
      <c r="W6" s="1464"/>
      <c r="X6" s="19">
        <f>W6*100</f>
        <v>0</v>
      </c>
      <c r="Y6" s="20">
        <f t="shared" ref="Y6:Y12" si="1">D6+F6+H6+J6+L6+N6+P6+R6+T6+V6+X6</f>
        <v>26183.077499999999</v>
      </c>
    </row>
    <row r="7" spans="1:25" ht="31.5" customHeight="1" x14ac:dyDescent="0.25">
      <c r="A7" s="12">
        <v>1984225578</v>
      </c>
      <c r="B7" s="1461" t="s">
        <v>72</v>
      </c>
      <c r="C7" s="1464">
        <v>22407</v>
      </c>
      <c r="D7" s="1465">
        <f t="shared" si="0"/>
        <v>21790.807499999999</v>
      </c>
      <c r="E7" s="1464"/>
      <c r="F7" s="1464">
        <f t="shared" ref="F7:F11" si="2">67.1*E7</f>
        <v>0</v>
      </c>
      <c r="G7" s="1464"/>
      <c r="H7" s="1464">
        <f t="shared" ref="H7:H11" si="3">28.2*G7</f>
        <v>0</v>
      </c>
      <c r="I7" s="1464"/>
      <c r="J7" s="1464">
        <f t="shared" ref="J7:J11" si="4">18.5*I7</f>
        <v>0</v>
      </c>
      <c r="K7" s="1464"/>
      <c r="L7" s="1465">
        <f t="shared" ref="L7:L11" si="5">28.2368*K7</f>
        <v>0</v>
      </c>
      <c r="M7" s="1464"/>
      <c r="N7" s="1465">
        <f t="shared" ref="N7:N11" si="6">M7*47.6525</f>
        <v>0</v>
      </c>
      <c r="O7" s="1464"/>
      <c r="P7" s="1465">
        <f t="shared" ref="P7:P11" si="7">O7*8.9</f>
        <v>0</v>
      </c>
      <c r="Q7" s="1465"/>
      <c r="R7" s="1465">
        <f t="shared" ref="R7:R11" si="8">241*Q7</f>
        <v>0</v>
      </c>
      <c r="S7" s="1464">
        <v>35</v>
      </c>
      <c r="T7" s="1464">
        <f t="shared" ref="T7:T10" si="9">241*S7</f>
        <v>8435</v>
      </c>
      <c r="U7" s="1464"/>
      <c r="V7" s="1464">
        <f t="shared" ref="V7:V11" si="10">332*U7</f>
        <v>0</v>
      </c>
      <c r="W7" s="1464"/>
      <c r="X7" s="19">
        <f t="shared" ref="X7:X11" si="11">W7*100</f>
        <v>0</v>
      </c>
      <c r="Y7" s="20">
        <f t="shared" si="1"/>
        <v>30225.807499999999</v>
      </c>
    </row>
    <row r="8" spans="1:25" ht="35.25" customHeight="1" x14ac:dyDescent="0.25">
      <c r="A8" s="12">
        <v>1967020280</v>
      </c>
      <c r="B8" s="1461" t="s">
        <v>427</v>
      </c>
      <c r="C8" s="1464">
        <v>27235</v>
      </c>
      <c r="D8" s="1465">
        <f t="shared" si="0"/>
        <v>26486.037500000002</v>
      </c>
      <c r="E8" s="1464"/>
      <c r="F8" s="1464">
        <f t="shared" si="2"/>
        <v>0</v>
      </c>
      <c r="G8" s="1464"/>
      <c r="H8" s="1465">
        <f t="shared" si="3"/>
        <v>0</v>
      </c>
      <c r="I8" s="1464">
        <v>390</v>
      </c>
      <c r="J8" s="1464">
        <f t="shared" si="4"/>
        <v>7215</v>
      </c>
      <c r="K8" s="1464"/>
      <c r="L8" s="1465">
        <f t="shared" si="5"/>
        <v>0</v>
      </c>
      <c r="M8" s="1464"/>
      <c r="N8" s="1465">
        <f t="shared" si="6"/>
        <v>0</v>
      </c>
      <c r="O8" s="1464"/>
      <c r="P8" s="1465">
        <f t="shared" si="7"/>
        <v>0</v>
      </c>
      <c r="Q8" s="1465"/>
      <c r="R8" s="1465">
        <f t="shared" si="8"/>
        <v>0</v>
      </c>
      <c r="S8" s="1464">
        <v>15</v>
      </c>
      <c r="T8" s="1464">
        <f t="shared" si="9"/>
        <v>3615</v>
      </c>
      <c r="U8" s="1464"/>
      <c r="V8" s="1464">
        <f t="shared" si="10"/>
        <v>0</v>
      </c>
      <c r="W8" s="1464"/>
      <c r="X8" s="19">
        <f t="shared" si="11"/>
        <v>0</v>
      </c>
      <c r="Y8" s="20">
        <f t="shared" si="1"/>
        <v>37316.037500000006</v>
      </c>
    </row>
    <row r="9" spans="1:25" ht="38.25" customHeight="1" x14ac:dyDescent="0.25">
      <c r="A9" s="12">
        <v>1984225580</v>
      </c>
      <c r="B9" s="1461" t="s">
        <v>75</v>
      </c>
      <c r="C9" s="1464">
        <v>45141</v>
      </c>
      <c r="D9" s="1465">
        <f t="shared" si="0"/>
        <v>43899.622500000005</v>
      </c>
      <c r="E9" s="1464"/>
      <c r="F9" s="1464">
        <f t="shared" si="2"/>
        <v>0</v>
      </c>
      <c r="G9" s="1464"/>
      <c r="H9" s="1464">
        <f t="shared" si="3"/>
        <v>0</v>
      </c>
      <c r="I9" s="1464"/>
      <c r="J9" s="1464">
        <f t="shared" si="4"/>
        <v>0</v>
      </c>
      <c r="K9" s="1464"/>
      <c r="L9" s="1465">
        <f t="shared" si="5"/>
        <v>0</v>
      </c>
      <c r="M9" s="1464"/>
      <c r="N9" s="1465">
        <f t="shared" si="6"/>
        <v>0</v>
      </c>
      <c r="O9" s="1464"/>
      <c r="P9" s="1465">
        <f t="shared" si="7"/>
        <v>0</v>
      </c>
      <c r="Q9" s="1465"/>
      <c r="R9" s="1465">
        <f t="shared" si="8"/>
        <v>0</v>
      </c>
      <c r="S9" s="1464">
        <v>17</v>
      </c>
      <c r="T9" s="1464">
        <f t="shared" si="9"/>
        <v>4097</v>
      </c>
      <c r="U9" s="1464"/>
      <c r="V9" s="1464">
        <f t="shared" si="10"/>
        <v>0</v>
      </c>
      <c r="W9" s="1464"/>
      <c r="X9" s="19">
        <f t="shared" si="11"/>
        <v>0</v>
      </c>
      <c r="Y9" s="20">
        <f t="shared" si="1"/>
        <v>47996.622500000005</v>
      </c>
    </row>
    <row r="10" spans="1:25" ht="35.25" customHeight="1" x14ac:dyDescent="0.25">
      <c r="A10" s="12">
        <v>1409935199</v>
      </c>
      <c r="C10" s="1464"/>
      <c r="D10" s="1465">
        <f t="shared" si="0"/>
        <v>0</v>
      </c>
      <c r="E10" s="1464"/>
      <c r="F10" s="1464">
        <f t="shared" si="2"/>
        <v>0</v>
      </c>
      <c r="G10" s="1464"/>
      <c r="H10" s="1464">
        <f t="shared" si="3"/>
        <v>0</v>
      </c>
      <c r="I10" s="1464"/>
      <c r="J10" s="1464">
        <f t="shared" si="4"/>
        <v>0</v>
      </c>
      <c r="K10" s="1464"/>
      <c r="L10" s="1465">
        <f t="shared" si="5"/>
        <v>0</v>
      </c>
      <c r="M10" s="1464"/>
      <c r="N10" s="1465">
        <f t="shared" si="6"/>
        <v>0</v>
      </c>
      <c r="O10" s="1464"/>
      <c r="P10" s="1465">
        <f t="shared" si="7"/>
        <v>0</v>
      </c>
      <c r="Q10" s="1465"/>
      <c r="R10" s="1465">
        <f t="shared" si="8"/>
        <v>0</v>
      </c>
      <c r="S10" s="1464"/>
      <c r="T10" s="1464">
        <f t="shared" si="9"/>
        <v>0</v>
      </c>
      <c r="U10" s="1464"/>
      <c r="V10" s="1464">
        <f t="shared" si="10"/>
        <v>0</v>
      </c>
      <c r="W10" s="146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63"/>
      <c r="C11" s="1464"/>
      <c r="D11" s="1465">
        <f t="shared" si="0"/>
        <v>0</v>
      </c>
      <c r="E11" s="1464"/>
      <c r="F11" s="1464">
        <f t="shared" si="2"/>
        <v>0</v>
      </c>
      <c r="G11" s="1464"/>
      <c r="H11" s="1464">
        <f t="shared" si="3"/>
        <v>0</v>
      </c>
      <c r="I11" s="1464"/>
      <c r="J11" s="1464">
        <f t="shared" si="4"/>
        <v>0</v>
      </c>
      <c r="K11" s="1464"/>
      <c r="L11" s="1465">
        <f t="shared" si="5"/>
        <v>0</v>
      </c>
      <c r="M11" s="1464"/>
      <c r="N11" s="1465">
        <f t="shared" si="6"/>
        <v>0</v>
      </c>
      <c r="O11" s="1464"/>
      <c r="P11" s="1465">
        <f t="shared" si="7"/>
        <v>0</v>
      </c>
      <c r="Q11" s="1465"/>
      <c r="R11" s="1465">
        <f t="shared" si="8"/>
        <v>0</v>
      </c>
      <c r="S11" s="1464"/>
      <c r="T11" s="1464">
        <f>341*S11</f>
        <v>0</v>
      </c>
      <c r="U11" s="1464"/>
      <c r="V11" s="1464">
        <f t="shared" si="10"/>
        <v>0</v>
      </c>
      <c r="W11" s="146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114162</v>
      </c>
      <c r="D12" s="18">
        <f t="shared" si="12"/>
        <v>111022.54500000001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9250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89</v>
      </c>
      <c r="T12" s="18">
        <f t="shared" si="12"/>
        <v>21449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141721.54500000001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69" t="s">
        <v>174</v>
      </c>
      <c r="K14" s="30" t="s">
        <v>36</v>
      </c>
      <c r="L14" s="1469" t="s">
        <v>403</v>
      </c>
      <c r="M14" s="30" t="s">
        <v>429</v>
      </c>
      <c r="N14" s="30" t="s">
        <v>442</v>
      </c>
      <c r="O14" s="1469" t="s">
        <v>114</v>
      </c>
      <c r="P14" s="30" t="s">
        <v>70</v>
      </c>
      <c r="Q14" s="1958" t="s">
        <v>479</v>
      </c>
      <c r="R14" s="1959"/>
      <c r="S14" s="1469" t="s">
        <v>401</v>
      </c>
      <c r="T14" s="1893" t="s">
        <v>46</v>
      </c>
      <c r="U14" s="1461" t="s">
        <v>176</v>
      </c>
      <c r="V14" s="1918">
        <v>3610</v>
      </c>
      <c r="W14" s="1926"/>
      <c r="X14" s="1919"/>
    </row>
    <row r="15" spans="1:25" ht="22.5" customHeight="1" x14ac:dyDescent="0.25">
      <c r="A15" s="100" t="s">
        <v>38</v>
      </c>
      <c r="B15" s="1918">
        <v>171655</v>
      </c>
      <c r="C15" s="1919"/>
      <c r="D15" s="1466">
        <v>130</v>
      </c>
      <c r="E15" s="1466">
        <v>580</v>
      </c>
      <c r="F15" s="1466">
        <v>20570</v>
      </c>
      <c r="G15" s="1466">
        <v>580</v>
      </c>
      <c r="H15" s="1466">
        <v>161</v>
      </c>
      <c r="I15" s="1466">
        <v>11</v>
      </c>
      <c r="J15" s="1466">
        <v>4</v>
      </c>
      <c r="K15" s="1466">
        <v>80</v>
      </c>
      <c r="L15" s="1466">
        <v>0</v>
      </c>
      <c r="M15" s="1466">
        <v>0</v>
      </c>
      <c r="N15" s="1466">
        <v>500</v>
      </c>
      <c r="O15" s="1466">
        <v>0</v>
      </c>
      <c r="P15" s="1466">
        <v>100</v>
      </c>
      <c r="Q15" s="1918">
        <v>10</v>
      </c>
      <c r="R15" s="1919"/>
      <c r="S15" s="1461">
        <v>2</v>
      </c>
      <c r="T15" s="1893"/>
      <c r="U15" s="1461" t="s">
        <v>64</v>
      </c>
      <c r="V15" s="1920">
        <v>11462</v>
      </c>
      <c r="W15" s="1920"/>
      <c r="X15" s="1920"/>
    </row>
    <row r="16" spans="1:25" ht="24.75" customHeight="1" x14ac:dyDescent="0.25">
      <c r="A16" s="100" t="s">
        <v>39</v>
      </c>
      <c r="B16" s="1918">
        <v>415584</v>
      </c>
      <c r="C16" s="1919"/>
      <c r="D16" s="1466"/>
      <c r="E16" s="1466"/>
      <c r="F16" s="1466"/>
      <c r="G16" s="1466"/>
      <c r="H16" s="1466"/>
      <c r="I16" s="1466"/>
      <c r="J16" s="1466"/>
      <c r="K16" s="1466"/>
      <c r="L16" s="1466">
        <v>89</v>
      </c>
      <c r="M16" s="1466"/>
      <c r="N16" s="1466"/>
      <c r="O16" s="1466"/>
      <c r="P16" s="1466"/>
      <c r="Q16" s="1920"/>
      <c r="R16" s="1920"/>
      <c r="S16" s="1466"/>
      <c r="T16" s="1912" t="s">
        <v>55</v>
      </c>
      <c r="U16" s="1912"/>
      <c r="V16" s="1925">
        <f>Y12</f>
        <v>141721.54500000001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466"/>
      <c r="E17" s="1466"/>
      <c r="F17" s="1466"/>
      <c r="G17" s="1466"/>
      <c r="H17" s="1466"/>
      <c r="I17" s="1466"/>
      <c r="J17" s="1466"/>
      <c r="K17" s="1466"/>
      <c r="L17" s="1466"/>
      <c r="M17" s="1466"/>
      <c r="N17" s="1466"/>
      <c r="O17" s="1466"/>
      <c r="P17" s="1466"/>
      <c r="Q17" s="1883"/>
      <c r="R17" s="1883"/>
      <c r="S17" s="1463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114162</v>
      </c>
      <c r="C18" s="1919"/>
      <c r="D18" s="1467">
        <f>E12</f>
        <v>0</v>
      </c>
      <c r="E18" s="1467">
        <f>G12</f>
        <v>0</v>
      </c>
      <c r="F18" s="1467">
        <f>I12</f>
        <v>500</v>
      </c>
      <c r="G18" s="1467">
        <f>K12</f>
        <v>0</v>
      </c>
      <c r="H18" s="1466">
        <v>89</v>
      </c>
      <c r="I18" s="1467">
        <f>U12</f>
        <v>0</v>
      </c>
      <c r="J18" s="1466"/>
      <c r="K18" s="1467">
        <f>W12</f>
        <v>0</v>
      </c>
      <c r="L18" s="1466">
        <v>89</v>
      </c>
      <c r="M18" s="1467">
        <f>M12</f>
        <v>0</v>
      </c>
      <c r="N18" s="1467">
        <f>O12</f>
        <v>0</v>
      </c>
      <c r="O18" s="1468">
        <f>Q12</f>
        <v>0</v>
      </c>
      <c r="P18" s="1467"/>
      <c r="Q18" s="1920"/>
      <c r="R18" s="1920"/>
      <c r="S18" s="1461"/>
      <c r="T18" s="1912" t="s">
        <v>57</v>
      </c>
      <c r="U18" s="1912"/>
      <c r="V18" s="1920">
        <v>1020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473077</v>
      </c>
      <c r="C19" s="1919"/>
      <c r="D19" s="1466">
        <f>D15+D16+D17-D18</f>
        <v>130</v>
      </c>
      <c r="E19" s="1466">
        <f t="shared" ref="E19:N19" si="13">E15+E16+E17-E18</f>
        <v>580</v>
      </c>
      <c r="F19" s="1466">
        <f t="shared" si="13"/>
        <v>20070</v>
      </c>
      <c r="G19" s="1466">
        <f t="shared" si="13"/>
        <v>580</v>
      </c>
      <c r="H19" s="1466">
        <f t="shared" si="13"/>
        <v>72</v>
      </c>
      <c r="I19" s="1466">
        <f t="shared" si="13"/>
        <v>11</v>
      </c>
      <c r="J19" s="1466">
        <f t="shared" si="13"/>
        <v>4</v>
      </c>
      <c r="K19" s="1466">
        <f t="shared" si="13"/>
        <v>80</v>
      </c>
      <c r="L19" s="1466">
        <f t="shared" si="13"/>
        <v>0</v>
      </c>
      <c r="M19" s="1466">
        <f t="shared" si="13"/>
        <v>0</v>
      </c>
      <c r="N19" s="1466">
        <f t="shared" si="13"/>
        <v>500</v>
      </c>
      <c r="O19" s="1466">
        <f>O15+O16+O17-O18</f>
        <v>0</v>
      </c>
      <c r="P19" s="1466">
        <f t="shared" ref="P19:Q19" si="14">P15+P16+P17-P18</f>
        <v>100</v>
      </c>
      <c r="Q19" s="1918">
        <f t="shared" si="14"/>
        <v>10</v>
      </c>
      <c r="R19" s="1919"/>
      <c r="S19" s="1461">
        <f>S15+S16-S17-S18</f>
        <v>2</v>
      </c>
      <c r="T19" s="1914" t="s">
        <v>48</v>
      </c>
      <c r="U19" s="49" t="s">
        <v>58</v>
      </c>
      <c r="V19" s="1920">
        <v>109860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455336.61249999999</v>
      </c>
      <c r="C20" s="1945"/>
      <c r="D20" s="290">
        <f>D19*66.41</f>
        <v>8633.2999999999993</v>
      </c>
      <c r="E20" s="290">
        <f>27.9368*E19</f>
        <v>16203.344000000001</v>
      </c>
      <c r="F20" s="290">
        <f>18.31*F19</f>
        <v>367481.69999999995</v>
      </c>
      <c r="G20" s="290">
        <f>27.9368*G19</f>
        <v>16203.344000000001</v>
      </c>
      <c r="H20" s="290">
        <f>241*H19</f>
        <v>17352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908334.3004999999</v>
      </c>
      <c r="C21" s="1951"/>
      <c r="O21" s="1470"/>
      <c r="P21" s="1470"/>
      <c r="Q21" s="1470"/>
      <c r="R21" s="1470"/>
      <c r="T21" s="1952" t="s">
        <v>487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109860</v>
      </c>
      <c r="D22" s="1949">
        <v>109860</v>
      </c>
      <c r="E22" s="1949">
        <v>400000</v>
      </c>
      <c r="F22" s="1949">
        <f>C22-D22+E22</f>
        <v>400000</v>
      </c>
      <c r="G22" s="1470"/>
      <c r="Q22" s="1470"/>
      <c r="R22" s="1470"/>
      <c r="T22" s="1909" t="s">
        <v>83</v>
      </c>
      <c r="U22" s="50" t="s">
        <v>60</v>
      </c>
      <c r="V22" s="1920">
        <v>122340</v>
      </c>
      <c r="W22" s="1920"/>
      <c r="X22" s="1920"/>
      <c r="Y22" s="1927"/>
    </row>
    <row r="23" spans="1:25" ht="39.75" customHeight="1" x14ac:dyDescent="0.25">
      <c r="A23" s="1470"/>
      <c r="B23" s="1947"/>
      <c r="C23" s="1950"/>
      <c r="D23" s="1950"/>
      <c r="E23" s="1950"/>
      <c r="F23" s="1950"/>
      <c r="G23" s="1470"/>
      <c r="Q23" s="1470"/>
      <c r="R23" s="1470"/>
      <c r="T23" s="1910"/>
      <c r="U23" s="50" t="s">
        <v>61</v>
      </c>
      <c r="V23" s="1920">
        <v>109860</v>
      </c>
      <c r="W23" s="1920"/>
      <c r="X23" s="1920"/>
      <c r="Y23" s="1927"/>
    </row>
    <row r="24" spans="1:25" ht="48" customHeight="1" x14ac:dyDescent="0.25">
      <c r="A24" s="1470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470"/>
      <c r="Q24" s="1470"/>
      <c r="R24" s="1470"/>
      <c r="T24" s="1893" t="s">
        <v>47</v>
      </c>
      <c r="U24" s="51" t="s">
        <v>62</v>
      </c>
      <c r="V24" s="1921">
        <f>V14+V16+V17-V18-V19-V20-V22+V23-V21</f>
        <v>21971.545000000013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23942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470"/>
      <c r="J33" s="1470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B3F9A-EC8A-45C1-A0D8-6350BDACD87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G11" sqref="G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1900" t="s">
        <v>496</v>
      </c>
      <c r="U3" s="1900"/>
      <c r="V3" s="1900"/>
      <c r="W3" s="1900"/>
      <c r="X3" s="1900"/>
      <c r="Y3" s="1900"/>
    </row>
    <row r="4" spans="1:25" s="147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476" customFormat="1" ht="25.5" customHeight="1" x14ac:dyDescent="0.25">
      <c r="A5" s="1901"/>
      <c r="B5" s="1901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474" t="s">
        <v>71</v>
      </c>
      <c r="C6" s="1472">
        <v>62659</v>
      </c>
      <c r="D6" s="1471">
        <f t="shared" ref="D6:D11" si="0">0.9725*C6</f>
        <v>60935.877500000002</v>
      </c>
      <c r="E6" s="1472"/>
      <c r="F6" s="1471">
        <f>67.1*E6</f>
        <v>0</v>
      </c>
      <c r="G6" s="1472">
        <v>110</v>
      </c>
      <c r="H6" s="1472">
        <f>28.2*G6</f>
        <v>3102</v>
      </c>
      <c r="I6" s="1472">
        <v>420</v>
      </c>
      <c r="J6" s="1472">
        <f>18.5*I6</f>
        <v>7770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71807.877500000002</v>
      </c>
    </row>
    <row r="7" spans="1:25" ht="31.5" customHeight="1" x14ac:dyDescent="0.25">
      <c r="A7" s="12">
        <v>1984225578</v>
      </c>
      <c r="B7" s="1474" t="s">
        <v>72</v>
      </c>
      <c r="C7" s="1472">
        <v>41776</v>
      </c>
      <c r="D7" s="1471">
        <f t="shared" si="0"/>
        <v>40627.160000000003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90</v>
      </c>
      <c r="J7" s="1472">
        <f t="shared" ref="J7:J11" si="4">18.5*I7</f>
        <v>1665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42292.160000000003</v>
      </c>
    </row>
    <row r="8" spans="1:25" ht="35.25" customHeight="1" x14ac:dyDescent="0.25">
      <c r="A8" s="12">
        <v>1967020280</v>
      </c>
      <c r="B8" s="1474" t="s">
        <v>427</v>
      </c>
      <c r="C8" s="1472">
        <v>37869</v>
      </c>
      <c r="D8" s="1471">
        <f t="shared" si="0"/>
        <v>36827.602500000001</v>
      </c>
      <c r="E8" s="1472"/>
      <c r="F8" s="1472">
        <f t="shared" si="2"/>
        <v>0</v>
      </c>
      <c r="G8" s="1472">
        <v>30</v>
      </c>
      <c r="H8" s="1471">
        <f t="shared" si="3"/>
        <v>846</v>
      </c>
      <c r="I8" s="1472">
        <v>670</v>
      </c>
      <c r="J8" s="1472">
        <f t="shared" si="4"/>
        <v>12395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50068.602500000001</v>
      </c>
    </row>
    <row r="9" spans="1:25" ht="38.25" customHeight="1" x14ac:dyDescent="0.25">
      <c r="A9" s="12">
        <v>1984225580</v>
      </c>
      <c r="B9" s="1474" t="s">
        <v>75</v>
      </c>
      <c r="C9" s="1472">
        <v>54669</v>
      </c>
      <c r="D9" s="1471">
        <f t="shared" si="0"/>
        <v>53165.602500000001</v>
      </c>
      <c r="E9" s="1472"/>
      <c r="F9" s="1472">
        <f t="shared" si="2"/>
        <v>0</v>
      </c>
      <c r="G9" s="1472"/>
      <c r="H9" s="1472">
        <f t="shared" si="3"/>
        <v>0</v>
      </c>
      <c r="I9" s="1472">
        <v>1080</v>
      </c>
      <c r="J9" s="1472">
        <f t="shared" si="4"/>
        <v>19980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>
        <v>3</v>
      </c>
      <c r="V9" s="1472">
        <f t="shared" si="10"/>
        <v>996</v>
      </c>
      <c r="W9" s="1472"/>
      <c r="X9" s="19">
        <f t="shared" si="11"/>
        <v>0</v>
      </c>
      <c r="Y9" s="20">
        <f t="shared" si="1"/>
        <v>74141.602500000008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196973</v>
      </c>
      <c r="D12" s="18">
        <f t="shared" si="12"/>
        <v>191556.24250000002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3948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238310.24250000002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1958" t="s">
        <v>479</v>
      </c>
      <c r="R14" s="1959"/>
      <c r="S14" s="1480" t="s">
        <v>401</v>
      </c>
      <c r="T14" s="1893" t="s">
        <v>46</v>
      </c>
      <c r="U14" s="1474" t="s">
        <v>176</v>
      </c>
      <c r="V14" s="1918">
        <v>21972</v>
      </c>
      <c r="W14" s="1926"/>
      <c r="X14" s="1919"/>
    </row>
    <row r="15" spans="1:25" ht="22.5" customHeight="1" x14ac:dyDescent="0.25">
      <c r="A15" s="100" t="s">
        <v>38</v>
      </c>
      <c r="B15" s="1918">
        <v>473077</v>
      </c>
      <c r="C15" s="1919"/>
      <c r="D15" s="1477">
        <v>130</v>
      </c>
      <c r="E15" s="1477">
        <v>580</v>
      </c>
      <c r="F15" s="1477">
        <v>20070</v>
      </c>
      <c r="G15" s="1477">
        <v>580</v>
      </c>
      <c r="H15" s="1477">
        <v>72</v>
      </c>
      <c r="I15" s="1477">
        <v>11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1918">
        <v>10</v>
      </c>
      <c r="R15" s="1919"/>
      <c r="S15" s="1474">
        <v>2</v>
      </c>
      <c r="T15" s="1893"/>
      <c r="U15" s="1474" t="s">
        <v>64</v>
      </c>
      <c r="V15" s="1920">
        <v>23942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1920"/>
      <c r="R16" s="1920"/>
      <c r="S16" s="1477"/>
      <c r="T16" s="1912" t="s">
        <v>55</v>
      </c>
      <c r="U16" s="1912"/>
      <c r="V16" s="1925">
        <f>Y12</f>
        <v>238310.24250000002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883"/>
      <c r="R17" s="1883"/>
      <c r="S17" s="1473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196973</v>
      </c>
      <c r="C18" s="1919"/>
      <c r="D18" s="1479">
        <f>E12</f>
        <v>0</v>
      </c>
      <c r="E18" s="1479">
        <f>G12</f>
        <v>140</v>
      </c>
      <c r="F18" s="1479">
        <f>I12</f>
        <v>2260</v>
      </c>
      <c r="G18" s="1479">
        <f>K12</f>
        <v>0</v>
      </c>
      <c r="H18" s="1477"/>
      <c r="I18" s="1479">
        <f>U12</f>
        <v>3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1920"/>
      <c r="R18" s="1920"/>
      <c r="S18" s="1474"/>
      <c r="T18" s="1912" t="s">
        <v>57</v>
      </c>
      <c r="U18" s="1912"/>
      <c r="V18" s="1920">
        <v>620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276104</v>
      </c>
      <c r="C19" s="1919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17810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1918">
        <f t="shared" si="14"/>
        <v>10</v>
      </c>
      <c r="R19" s="1919"/>
      <c r="S19" s="1474">
        <f>S15+S16-S17-S18</f>
        <v>2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265750.10000000003</v>
      </c>
      <c r="C20" s="1945"/>
      <c r="D20" s="290">
        <f>D19*66.41</f>
        <v>8633.2999999999993</v>
      </c>
      <c r="E20" s="290">
        <f>27.9368*E19</f>
        <v>12292.192000000001</v>
      </c>
      <c r="F20" s="290">
        <f>18.31*F19</f>
        <v>326101.09999999998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672487.03600000008</v>
      </c>
      <c r="C21" s="1951"/>
      <c r="O21" s="1481"/>
      <c r="P21" s="1481"/>
      <c r="Q21" s="1481"/>
      <c r="R21" s="1481"/>
      <c r="T21" s="1952" t="s">
        <v>487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/>
      <c r="E22" s="1949"/>
      <c r="F22" s="1949">
        <f>C22-D22+E22</f>
        <v>400000</v>
      </c>
      <c r="G22" s="1481"/>
      <c r="Q22" s="1481"/>
      <c r="R22" s="1481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1481"/>
      <c r="B23" s="1947"/>
      <c r="C23" s="1950"/>
      <c r="D23" s="1950"/>
      <c r="E23" s="1950"/>
      <c r="F23" s="1950"/>
      <c r="G23" s="1481"/>
      <c r="Q23" s="1481"/>
      <c r="R23" s="1481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1481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1893" t="s">
        <v>47</v>
      </c>
      <c r="U24" s="51" t="s">
        <v>62</v>
      </c>
      <c r="V24" s="1921">
        <f>V14+V16+V17-V18-V19-V20-V22+V23-V21</f>
        <v>259662.24250000002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23942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481"/>
      <c r="J33" s="1481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AADA-BA9A-4279-95B6-B5F55FBC367F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1900" t="s">
        <v>497</v>
      </c>
      <c r="U3" s="1900"/>
      <c r="V3" s="1900"/>
      <c r="W3" s="1900"/>
      <c r="X3" s="1900"/>
      <c r="Y3" s="1900"/>
    </row>
    <row r="4" spans="1:25" s="147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476" customFormat="1" ht="25.5" customHeight="1" x14ac:dyDescent="0.25">
      <c r="A5" s="1901"/>
      <c r="B5" s="1901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474" t="s">
        <v>71</v>
      </c>
      <c r="C6" s="1472">
        <v>38224</v>
      </c>
      <c r="D6" s="1471">
        <f t="shared" ref="D6:D11" si="0">0.9725*C6</f>
        <v>37172.840000000004</v>
      </c>
      <c r="E6" s="1472"/>
      <c r="F6" s="1471">
        <f>67.1*E6</f>
        <v>0</v>
      </c>
      <c r="G6" s="1472"/>
      <c r="H6" s="1472">
        <f>28.2*G6</f>
        <v>0</v>
      </c>
      <c r="I6" s="1472">
        <v>100</v>
      </c>
      <c r="J6" s="1472">
        <f>18.5*I6</f>
        <v>1850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39022.840000000004</v>
      </c>
    </row>
    <row r="7" spans="1:25" ht="31.5" customHeight="1" x14ac:dyDescent="0.25">
      <c r="A7" s="12">
        <v>1984225578</v>
      </c>
      <c r="B7" s="1474" t="s">
        <v>72</v>
      </c>
      <c r="C7" s="1472">
        <v>28469</v>
      </c>
      <c r="D7" s="1471">
        <f t="shared" si="0"/>
        <v>27686.102500000001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30</v>
      </c>
      <c r="J7" s="1472">
        <f t="shared" ref="J7:J11" si="4">18.5*I7</f>
        <v>555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28241.102500000001</v>
      </c>
    </row>
    <row r="8" spans="1:25" ht="35.25" customHeight="1" x14ac:dyDescent="0.25">
      <c r="A8" s="12">
        <v>1967020280</v>
      </c>
      <c r="B8" s="1474" t="s">
        <v>427</v>
      </c>
      <c r="C8" s="1472">
        <v>25406</v>
      </c>
      <c r="D8" s="1471">
        <f t="shared" si="0"/>
        <v>24707.334999999999</v>
      </c>
      <c r="E8" s="1472"/>
      <c r="F8" s="1472">
        <f t="shared" si="2"/>
        <v>0</v>
      </c>
      <c r="G8" s="1472"/>
      <c r="H8" s="1471">
        <f t="shared" si="3"/>
        <v>0</v>
      </c>
      <c r="I8" s="1472">
        <v>260</v>
      </c>
      <c r="J8" s="1472">
        <f t="shared" si="4"/>
        <v>4810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29517.334999999999</v>
      </c>
    </row>
    <row r="9" spans="1:25" ht="38.25" customHeight="1" x14ac:dyDescent="0.25">
      <c r="A9" s="12">
        <v>1984225580</v>
      </c>
      <c r="B9" s="1474" t="s">
        <v>75</v>
      </c>
      <c r="C9" s="1472">
        <v>48412</v>
      </c>
      <c r="D9" s="1471">
        <f t="shared" si="0"/>
        <v>47080.67</v>
      </c>
      <c r="E9" s="1472"/>
      <c r="F9" s="1472">
        <f t="shared" si="2"/>
        <v>0</v>
      </c>
      <c r="G9" s="1472"/>
      <c r="H9" s="1472">
        <f t="shared" si="3"/>
        <v>0</v>
      </c>
      <c r="I9" s="1472">
        <v>310</v>
      </c>
      <c r="J9" s="1472">
        <f t="shared" si="4"/>
        <v>5735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/>
      <c r="V9" s="1472">
        <f t="shared" si="10"/>
        <v>0</v>
      </c>
      <c r="W9" s="1472"/>
      <c r="X9" s="19">
        <f t="shared" si="11"/>
        <v>0</v>
      </c>
      <c r="Y9" s="20">
        <f t="shared" si="1"/>
        <v>52815.67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140511</v>
      </c>
      <c r="D12" s="18">
        <f t="shared" si="12"/>
        <v>136646.94750000001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149596.94750000001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1958" t="s">
        <v>479</v>
      </c>
      <c r="R14" s="1959"/>
      <c r="S14" s="1480" t="s">
        <v>401</v>
      </c>
      <c r="T14" s="1893" t="s">
        <v>46</v>
      </c>
      <c r="U14" s="1474" t="s">
        <v>176</v>
      </c>
      <c r="V14" s="1918">
        <v>259662</v>
      </c>
      <c r="W14" s="1926"/>
      <c r="X14" s="1919"/>
    </row>
    <row r="15" spans="1:25" ht="22.5" customHeight="1" x14ac:dyDescent="0.25">
      <c r="A15" s="100" t="s">
        <v>38</v>
      </c>
      <c r="B15" s="1918">
        <v>276104</v>
      </c>
      <c r="C15" s="1919"/>
      <c r="D15" s="1477">
        <v>130</v>
      </c>
      <c r="E15" s="1477">
        <v>440</v>
      </c>
      <c r="F15" s="1477">
        <v>17810</v>
      </c>
      <c r="G15" s="1477">
        <v>580</v>
      </c>
      <c r="H15" s="1477">
        <v>72</v>
      </c>
      <c r="I15" s="1477">
        <v>8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1918">
        <v>10</v>
      </c>
      <c r="R15" s="1919"/>
      <c r="S15" s="1474">
        <v>2</v>
      </c>
      <c r="T15" s="1893"/>
      <c r="U15" s="1474" t="s">
        <v>64</v>
      </c>
      <c r="V15" s="1920">
        <v>23942</v>
      </c>
      <c r="W15" s="1920"/>
      <c r="X15" s="1920"/>
    </row>
    <row r="16" spans="1:25" ht="24.75" customHeight="1" x14ac:dyDescent="0.25">
      <c r="A16" s="100" t="s">
        <v>39</v>
      </c>
      <c r="B16" s="1918">
        <v>160000</v>
      </c>
      <c r="C16" s="1919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1920"/>
      <c r="R16" s="1920"/>
      <c r="S16" s="1477"/>
      <c r="T16" s="1912" t="s">
        <v>55</v>
      </c>
      <c r="U16" s="1912"/>
      <c r="V16" s="1925">
        <f>Y12</f>
        <v>149596.94750000001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883"/>
      <c r="R17" s="1883"/>
      <c r="S17" s="1473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140511</v>
      </c>
      <c r="C18" s="1919"/>
      <c r="D18" s="1479">
        <f>E12</f>
        <v>0</v>
      </c>
      <c r="E18" s="1479">
        <f>G12</f>
        <v>0</v>
      </c>
      <c r="F18" s="1479">
        <f>I12</f>
        <v>700</v>
      </c>
      <c r="G18" s="1479">
        <f>K12</f>
        <v>0</v>
      </c>
      <c r="H18" s="1477"/>
      <c r="I18" s="1479">
        <f>U12</f>
        <v>0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1920"/>
      <c r="R18" s="1920"/>
      <c r="S18" s="1474"/>
      <c r="T18" s="1912" t="s">
        <v>57</v>
      </c>
      <c r="U18" s="1912"/>
      <c r="V18" s="1920">
        <v>10770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295593</v>
      </c>
      <c r="C19" s="1919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17110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1918">
        <f t="shared" si="14"/>
        <v>10</v>
      </c>
      <c r="R19" s="1919"/>
      <c r="S19" s="1474">
        <f>S15+S16-S17-S18</f>
        <v>2</v>
      </c>
      <c r="T19" s="1914" t="s">
        <v>48</v>
      </c>
      <c r="U19" s="49" t="s">
        <v>58</v>
      </c>
      <c r="V19" s="1920">
        <v>400000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284508.26250000001</v>
      </c>
      <c r="C20" s="1945"/>
      <c r="D20" s="290">
        <f>D19*66.41</f>
        <v>8633.2999999999993</v>
      </c>
      <c r="E20" s="290">
        <f>27.9368*E19</f>
        <v>12292.192000000001</v>
      </c>
      <c r="F20" s="290">
        <f>18.31*F19</f>
        <v>313284.09999999998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678428.19849999994</v>
      </c>
      <c r="C21" s="1951"/>
      <c r="O21" s="1481"/>
      <c r="P21" s="1481"/>
      <c r="Q21" s="1481"/>
      <c r="R21" s="1481"/>
      <c r="T21" s="1952" t="s">
        <v>487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>
        <v>400000</v>
      </c>
      <c r="E22" s="1949">
        <v>154000</v>
      </c>
      <c r="F22" s="1949">
        <f>C22-D22+E22</f>
        <v>154000</v>
      </c>
      <c r="G22" s="1481"/>
      <c r="Q22" s="1481"/>
      <c r="R22" s="1481"/>
      <c r="T22" s="1909" t="s">
        <v>83</v>
      </c>
      <c r="U22" s="50" t="s">
        <v>60</v>
      </c>
      <c r="V22" s="1920">
        <v>391980</v>
      </c>
      <c r="W22" s="1920"/>
      <c r="X22" s="1920"/>
      <c r="Y22" s="1927"/>
    </row>
    <row r="23" spans="1:25" ht="39.75" customHeight="1" x14ac:dyDescent="0.25">
      <c r="A23" s="1481"/>
      <c r="B23" s="1947"/>
      <c r="C23" s="1950"/>
      <c r="D23" s="1950"/>
      <c r="E23" s="1950"/>
      <c r="F23" s="1950"/>
      <c r="G23" s="1481"/>
      <c r="Q23" s="1481"/>
      <c r="R23" s="1481"/>
      <c r="T23" s="1910"/>
      <c r="U23" s="50" t="s">
        <v>61</v>
      </c>
      <c r="V23" s="1920">
        <v>400000</v>
      </c>
      <c r="W23" s="1920"/>
      <c r="X23" s="1920"/>
      <c r="Y23" s="1927"/>
    </row>
    <row r="24" spans="1:25" ht="48" customHeight="1" x14ac:dyDescent="0.25">
      <c r="A24" s="1481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1893" t="s">
        <v>47</v>
      </c>
      <c r="U24" s="51" t="s">
        <v>62</v>
      </c>
      <c r="V24" s="1921">
        <f>V14+V16+V17-V18-V19-V20-V22+V23-V21</f>
        <v>6508.9475000000093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15922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481"/>
      <c r="J33" s="1481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1D490-EBE3-4479-A662-D9513901A6E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B19" sqref="B19:C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482"/>
      <c r="B3" s="1482"/>
      <c r="C3" s="1482"/>
      <c r="D3" s="1482"/>
      <c r="E3" s="1482"/>
      <c r="F3" s="1482"/>
      <c r="G3" s="1482"/>
      <c r="H3" s="1482"/>
      <c r="I3" s="1482"/>
      <c r="J3" s="1482"/>
      <c r="K3" s="1482"/>
      <c r="L3" s="1482"/>
      <c r="M3" s="1482"/>
      <c r="N3" s="1482"/>
      <c r="O3" s="1482"/>
      <c r="P3" s="1482"/>
      <c r="Q3" s="1482"/>
      <c r="R3" s="1482"/>
      <c r="S3" s="1482"/>
      <c r="T3" s="1900" t="s">
        <v>498</v>
      </c>
      <c r="U3" s="1900"/>
      <c r="V3" s="1900"/>
      <c r="W3" s="1900"/>
      <c r="X3" s="1900"/>
      <c r="Y3" s="1900"/>
    </row>
    <row r="4" spans="1:25" s="148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482" customFormat="1" ht="25.5" customHeight="1" x14ac:dyDescent="0.25">
      <c r="A5" s="1901"/>
      <c r="B5" s="1901"/>
      <c r="C5" s="1484" t="s">
        <v>42</v>
      </c>
      <c r="D5" s="1484" t="s">
        <v>43</v>
      </c>
      <c r="E5" s="1484" t="s">
        <v>42</v>
      </c>
      <c r="F5" s="1484" t="s">
        <v>43</v>
      </c>
      <c r="G5" s="1484" t="s">
        <v>42</v>
      </c>
      <c r="H5" s="1484" t="s">
        <v>43</v>
      </c>
      <c r="I5" s="1484" t="s">
        <v>42</v>
      </c>
      <c r="J5" s="1484" t="s">
        <v>43</v>
      </c>
      <c r="K5" s="1484" t="s">
        <v>42</v>
      </c>
      <c r="L5" s="1484" t="s">
        <v>43</v>
      </c>
      <c r="M5" s="1484" t="s">
        <v>42</v>
      </c>
      <c r="N5" s="1484" t="s">
        <v>43</v>
      </c>
      <c r="O5" s="1484" t="s">
        <v>42</v>
      </c>
      <c r="P5" s="1484" t="s">
        <v>43</v>
      </c>
      <c r="Q5" s="1484" t="s">
        <v>42</v>
      </c>
      <c r="R5" s="14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483" t="s">
        <v>71</v>
      </c>
      <c r="C6" s="1486">
        <v>31762</v>
      </c>
      <c r="D6" s="1487">
        <f t="shared" ref="D6:D11" si="0">0.9725*C6</f>
        <v>30888.545000000002</v>
      </c>
      <c r="E6" s="1486"/>
      <c r="F6" s="1487">
        <f>67.1*E6</f>
        <v>0</v>
      </c>
      <c r="G6" s="1486">
        <v>30</v>
      </c>
      <c r="H6" s="1486">
        <f>28.2*G6</f>
        <v>846</v>
      </c>
      <c r="I6" s="1486">
        <v>550</v>
      </c>
      <c r="J6" s="1486">
        <f>18.5*I6</f>
        <v>10175</v>
      </c>
      <c r="K6" s="1486"/>
      <c r="L6" s="1487">
        <f>28.2368*K6</f>
        <v>0</v>
      </c>
      <c r="M6" s="1486"/>
      <c r="N6" s="1487">
        <f>M6*47.6525</f>
        <v>0</v>
      </c>
      <c r="O6" s="1486">
        <v>500</v>
      </c>
      <c r="P6" s="1487">
        <f>O6*8.9</f>
        <v>4450</v>
      </c>
      <c r="Q6" s="1487"/>
      <c r="R6" s="1487">
        <f>241*Q6</f>
        <v>0</v>
      </c>
      <c r="S6" s="1486"/>
      <c r="T6" s="1486">
        <f>241*S6</f>
        <v>0</v>
      </c>
      <c r="U6" s="1486">
        <v>4</v>
      </c>
      <c r="V6" s="1486">
        <f>332*U6</f>
        <v>1328</v>
      </c>
      <c r="W6" s="1486"/>
      <c r="X6" s="19">
        <f>W6*100</f>
        <v>0</v>
      </c>
      <c r="Y6" s="20">
        <f t="shared" ref="Y6:Y12" si="1">D6+F6+H6+J6+L6+N6+P6+R6+T6+V6+X6</f>
        <v>47687.544999999998</v>
      </c>
    </row>
    <row r="7" spans="1:25" ht="31.5" customHeight="1" x14ac:dyDescent="0.25">
      <c r="A7" s="12">
        <v>1984225578</v>
      </c>
      <c r="B7" s="1483" t="s">
        <v>72</v>
      </c>
      <c r="C7" s="1486">
        <v>27846</v>
      </c>
      <c r="D7" s="1487">
        <f t="shared" si="0"/>
        <v>27080.235000000001</v>
      </c>
      <c r="E7" s="1486"/>
      <c r="F7" s="1486">
        <f t="shared" ref="F7:F11" si="2">67.1*E7</f>
        <v>0</v>
      </c>
      <c r="G7" s="1486">
        <v>60</v>
      </c>
      <c r="H7" s="1486">
        <f t="shared" ref="H7:H11" si="3">28.2*G7</f>
        <v>1692</v>
      </c>
      <c r="I7" s="1486">
        <v>1060</v>
      </c>
      <c r="J7" s="1486">
        <f t="shared" ref="J7:J11" si="4">18.5*I7</f>
        <v>19610</v>
      </c>
      <c r="K7" s="1486"/>
      <c r="L7" s="1487">
        <f t="shared" ref="L7:L11" si="5">28.2368*K7</f>
        <v>0</v>
      </c>
      <c r="M7" s="1486"/>
      <c r="N7" s="1487">
        <f t="shared" ref="N7:N11" si="6">M7*47.6525</f>
        <v>0</v>
      </c>
      <c r="O7" s="1486"/>
      <c r="P7" s="1487">
        <f t="shared" ref="P7:P11" si="7">O7*8.9</f>
        <v>0</v>
      </c>
      <c r="Q7" s="1487"/>
      <c r="R7" s="1487">
        <f t="shared" ref="R7:R11" si="8">241*Q7</f>
        <v>0</v>
      </c>
      <c r="S7" s="1486"/>
      <c r="T7" s="1486">
        <f t="shared" ref="T7:T10" si="9">241*S7</f>
        <v>0</v>
      </c>
      <c r="U7" s="1486"/>
      <c r="V7" s="1486">
        <f t="shared" ref="V7:V11" si="10">332*U7</f>
        <v>0</v>
      </c>
      <c r="W7" s="1486">
        <v>3</v>
      </c>
      <c r="X7" s="19">
        <f t="shared" ref="X7:X11" si="11">W7*100</f>
        <v>300</v>
      </c>
      <c r="Y7" s="20">
        <f t="shared" si="1"/>
        <v>48682.235000000001</v>
      </c>
    </row>
    <row r="8" spans="1:25" ht="35.25" customHeight="1" x14ac:dyDescent="0.25">
      <c r="A8" s="12">
        <v>1967020280</v>
      </c>
      <c r="B8" s="1483" t="s">
        <v>427</v>
      </c>
      <c r="C8" s="1486">
        <v>17462</v>
      </c>
      <c r="D8" s="1487">
        <f t="shared" si="0"/>
        <v>16981.795000000002</v>
      </c>
      <c r="E8" s="1486"/>
      <c r="F8" s="1486">
        <f t="shared" si="2"/>
        <v>0</v>
      </c>
      <c r="G8" s="1486">
        <v>20</v>
      </c>
      <c r="H8" s="1487">
        <f t="shared" si="3"/>
        <v>564</v>
      </c>
      <c r="I8" s="1486">
        <v>550</v>
      </c>
      <c r="J8" s="1486">
        <f t="shared" si="4"/>
        <v>10175</v>
      </c>
      <c r="K8" s="1486"/>
      <c r="L8" s="1487">
        <f t="shared" si="5"/>
        <v>0</v>
      </c>
      <c r="M8" s="1486"/>
      <c r="N8" s="1487">
        <f t="shared" si="6"/>
        <v>0</v>
      </c>
      <c r="O8" s="1486"/>
      <c r="P8" s="1487">
        <f t="shared" si="7"/>
        <v>0</v>
      </c>
      <c r="Q8" s="1487"/>
      <c r="R8" s="1487">
        <f t="shared" si="8"/>
        <v>0</v>
      </c>
      <c r="S8" s="1486"/>
      <c r="T8" s="1486">
        <f t="shared" si="9"/>
        <v>0</v>
      </c>
      <c r="U8" s="1486"/>
      <c r="V8" s="1486">
        <f t="shared" si="10"/>
        <v>0</v>
      </c>
      <c r="W8" s="1486"/>
      <c r="X8" s="19">
        <f t="shared" si="11"/>
        <v>0</v>
      </c>
      <c r="Y8" s="20">
        <f t="shared" si="1"/>
        <v>27720.795000000002</v>
      </c>
    </row>
    <row r="9" spans="1:25" ht="38.25" customHeight="1" x14ac:dyDescent="0.25">
      <c r="A9" s="12">
        <v>1984225580</v>
      </c>
      <c r="B9" s="1483" t="s">
        <v>75</v>
      </c>
      <c r="C9" s="1486">
        <v>23811</v>
      </c>
      <c r="D9" s="1487">
        <f t="shared" si="0"/>
        <v>23156.197500000002</v>
      </c>
      <c r="E9" s="1486">
        <v>20</v>
      </c>
      <c r="F9" s="1486">
        <f t="shared" si="2"/>
        <v>1342</v>
      </c>
      <c r="G9" s="1486"/>
      <c r="H9" s="1486">
        <f t="shared" si="3"/>
        <v>0</v>
      </c>
      <c r="I9" s="1486">
        <v>1410</v>
      </c>
      <c r="J9" s="1486">
        <f t="shared" si="4"/>
        <v>26085</v>
      </c>
      <c r="K9" s="1486"/>
      <c r="L9" s="1487">
        <f t="shared" si="5"/>
        <v>0</v>
      </c>
      <c r="M9" s="1486"/>
      <c r="N9" s="1487">
        <f t="shared" si="6"/>
        <v>0</v>
      </c>
      <c r="O9" s="1486"/>
      <c r="P9" s="1487">
        <f t="shared" si="7"/>
        <v>0</v>
      </c>
      <c r="Q9" s="1487"/>
      <c r="R9" s="1487">
        <f t="shared" si="8"/>
        <v>0</v>
      </c>
      <c r="S9" s="1486"/>
      <c r="T9" s="1486">
        <f t="shared" si="9"/>
        <v>0</v>
      </c>
      <c r="U9" s="1486"/>
      <c r="V9" s="1486">
        <f t="shared" si="10"/>
        <v>0</v>
      </c>
      <c r="W9" s="1486"/>
      <c r="X9" s="19">
        <f t="shared" si="11"/>
        <v>0</v>
      </c>
      <c r="Y9" s="20">
        <f t="shared" si="1"/>
        <v>50583.197500000002</v>
      </c>
    </row>
    <row r="10" spans="1:25" ht="35.25" customHeight="1" x14ac:dyDescent="0.25">
      <c r="A10" s="12">
        <v>1409935199</v>
      </c>
      <c r="C10" s="1486"/>
      <c r="D10" s="1487">
        <f t="shared" si="0"/>
        <v>0</v>
      </c>
      <c r="E10" s="1486"/>
      <c r="F10" s="1486">
        <f t="shared" si="2"/>
        <v>0</v>
      </c>
      <c r="G10" s="1486"/>
      <c r="H10" s="1486">
        <f t="shared" si="3"/>
        <v>0</v>
      </c>
      <c r="I10" s="1486"/>
      <c r="J10" s="1486">
        <f t="shared" si="4"/>
        <v>0</v>
      </c>
      <c r="K10" s="1486"/>
      <c r="L10" s="1487">
        <f t="shared" si="5"/>
        <v>0</v>
      </c>
      <c r="M10" s="1486"/>
      <c r="N10" s="1487">
        <f t="shared" si="6"/>
        <v>0</v>
      </c>
      <c r="O10" s="1486"/>
      <c r="P10" s="1487">
        <f t="shared" si="7"/>
        <v>0</v>
      </c>
      <c r="Q10" s="1487"/>
      <c r="R10" s="1487">
        <f t="shared" si="8"/>
        <v>0</v>
      </c>
      <c r="S10" s="1486"/>
      <c r="T10" s="1486">
        <f t="shared" si="9"/>
        <v>0</v>
      </c>
      <c r="U10" s="1486"/>
      <c r="V10" s="1486">
        <f t="shared" si="10"/>
        <v>0</v>
      </c>
      <c r="W10" s="148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85"/>
      <c r="C11" s="1486"/>
      <c r="D11" s="1487">
        <f t="shared" si="0"/>
        <v>0</v>
      </c>
      <c r="E11" s="1486"/>
      <c r="F11" s="1486">
        <f t="shared" si="2"/>
        <v>0</v>
      </c>
      <c r="G11" s="1486"/>
      <c r="H11" s="1486">
        <f t="shared" si="3"/>
        <v>0</v>
      </c>
      <c r="I11" s="1486"/>
      <c r="J11" s="1486">
        <f t="shared" si="4"/>
        <v>0</v>
      </c>
      <c r="K11" s="1486"/>
      <c r="L11" s="1487">
        <f t="shared" si="5"/>
        <v>0</v>
      </c>
      <c r="M11" s="1486"/>
      <c r="N11" s="1487">
        <f t="shared" si="6"/>
        <v>0</v>
      </c>
      <c r="O11" s="1486"/>
      <c r="P11" s="1487">
        <f t="shared" si="7"/>
        <v>0</v>
      </c>
      <c r="Q11" s="1487"/>
      <c r="R11" s="1487">
        <f t="shared" si="8"/>
        <v>0</v>
      </c>
      <c r="S11" s="1486"/>
      <c r="T11" s="1486">
        <f>341*S11</f>
        <v>0</v>
      </c>
      <c r="U11" s="1486"/>
      <c r="V11" s="1486">
        <f t="shared" si="10"/>
        <v>0</v>
      </c>
      <c r="W11" s="148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100881</v>
      </c>
      <c r="D12" s="18">
        <f t="shared" si="12"/>
        <v>98106.772499999992</v>
      </c>
      <c r="E12" s="18">
        <f t="shared" si="12"/>
        <v>20</v>
      </c>
      <c r="F12" s="18">
        <f t="shared" si="12"/>
        <v>1342</v>
      </c>
      <c r="G12" s="18">
        <f t="shared" si="12"/>
        <v>110</v>
      </c>
      <c r="H12" s="18">
        <f t="shared" si="12"/>
        <v>3102</v>
      </c>
      <c r="I12" s="18">
        <f t="shared" si="12"/>
        <v>3570</v>
      </c>
      <c r="J12" s="18">
        <f t="shared" si="12"/>
        <v>66045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500</v>
      </c>
      <c r="P12" s="23">
        <f t="shared" si="12"/>
        <v>4450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3</v>
      </c>
      <c r="X12" s="18">
        <f t="shared" si="12"/>
        <v>300</v>
      </c>
      <c r="Y12" s="20">
        <f t="shared" si="1"/>
        <v>174673.77249999999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91" t="s">
        <v>174</v>
      </c>
      <c r="K14" s="30" t="s">
        <v>36</v>
      </c>
      <c r="L14" s="1491" t="s">
        <v>403</v>
      </c>
      <c r="M14" s="30" t="s">
        <v>429</v>
      </c>
      <c r="N14" s="30" t="s">
        <v>442</v>
      </c>
      <c r="O14" s="1491" t="s">
        <v>114</v>
      </c>
      <c r="P14" s="30" t="s">
        <v>70</v>
      </c>
      <c r="Q14" s="1958" t="s">
        <v>479</v>
      </c>
      <c r="R14" s="1959"/>
      <c r="S14" s="1491" t="s">
        <v>401</v>
      </c>
      <c r="T14" s="1893" t="s">
        <v>46</v>
      </c>
      <c r="U14" s="1483" t="s">
        <v>176</v>
      </c>
      <c r="V14" s="1918">
        <v>6509</v>
      </c>
      <c r="W14" s="1926"/>
      <c r="X14" s="1919"/>
    </row>
    <row r="15" spans="1:25" ht="22.5" customHeight="1" x14ac:dyDescent="0.25">
      <c r="A15" s="100" t="s">
        <v>38</v>
      </c>
      <c r="B15" s="1918">
        <v>295593</v>
      </c>
      <c r="C15" s="1919"/>
      <c r="D15" s="1488">
        <v>130</v>
      </c>
      <c r="E15" s="1488">
        <v>440</v>
      </c>
      <c r="F15" s="1488">
        <v>17110</v>
      </c>
      <c r="G15" s="1488">
        <v>580</v>
      </c>
      <c r="H15" s="1488">
        <v>72</v>
      </c>
      <c r="I15" s="1488">
        <v>8</v>
      </c>
      <c r="J15" s="1488">
        <v>4</v>
      </c>
      <c r="K15" s="1488">
        <v>80</v>
      </c>
      <c r="L15" s="1488">
        <v>0</v>
      </c>
      <c r="M15" s="1488">
        <v>0</v>
      </c>
      <c r="N15" s="1488">
        <v>500</v>
      </c>
      <c r="O15" s="1488">
        <v>0</v>
      </c>
      <c r="P15" s="1488">
        <v>100</v>
      </c>
      <c r="Q15" s="1918">
        <v>10</v>
      </c>
      <c r="R15" s="1919"/>
      <c r="S15" s="1483">
        <v>2</v>
      </c>
      <c r="T15" s="1893"/>
      <c r="U15" s="1483" t="s">
        <v>64</v>
      </c>
      <c r="V15" s="1920">
        <v>15922</v>
      </c>
      <c r="W15" s="1920"/>
      <c r="X15" s="1920"/>
    </row>
    <row r="16" spans="1:25" ht="24.75" customHeight="1" x14ac:dyDescent="0.25">
      <c r="A16" s="100" t="s">
        <v>39</v>
      </c>
      <c r="B16" s="1918">
        <v>103896</v>
      </c>
      <c r="C16" s="1919"/>
      <c r="D16" s="1488"/>
      <c r="E16" s="1488"/>
      <c r="F16" s="1488"/>
      <c r="G16" s="1488"/>
      <c r="H16" s="1488"/>
      <c r="I16" s="1488"/>
      <c r="J16" s="1488"/>
      <c r="K16" s="1488"/>
      <c r="L16" s="1488"/>
      <c r="M16" s="1488"/>
      <c r="N16" s="1488"/>
      <c r="O16" s="1488"/>
      <c r="P16" s="1488"/>
      <c r="Q16" s="1920"/>
      <c r="R16" s="1920"/>
      <c r="S16" s="1488"/>
      <c r="T16" s="1912" t="s">
        <v>55</v>
      </c>
      <c r="U16" s="1912"/>
      <c r="V16" s="1925">
        <f>Y12</f>
        <v>174673.77249999999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488"/>
      <c r="E17" s="1488"/>
      <c r="F17" s="1488"/>
      <c r="G17" s="1488"/>
      <c r="H17" s="1488"/>
      <c r="I17" s="1488"/>
      <c r="J17" s="1488"/>
      <c r="K17" s="1488"/>
      <c r="L17" s="1488"/>
      <c r="M17" s="1488"/>
      <c r="N17" s="1488"/>
      <c r="O17" s="1488"/>
      <c r="P17" s="1488"/>
      <c r="Q17" s="1883"/>
      <c r="R17" s="1883"/>
      <c r="S17" s="1485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100881</v>
      </c>
      <c r="C18" s="1919"/>
      <c r="D18" s="1489">
        <f>E12</f>
        <v>20</v>
      </c>
      <c r="E18" s="1489">
        <f>G12</f>
        <v>110</v>
      </c>
      <c r="F18" s="1489">
        <f>I12</f>
        <v>3570</v>
      </c>
      <c r="G18" s="1489">
        <f>K12</f>
        <v>0</v>
      </c>
      <c r="H18" s="1488"/>
      <c r="I18" s="1489">
        <f>U12</f>
        <v>4</v>
      </c>
      <c r="J18" s="1488"/>
      <c r="K18" s="1489">
        <f>W12</f>
        <v>3</v>
      </c>
      <c r="L18" s="1488"/>
      <c r="M18" s="1489">
        <f>M12</f>
        <v>0</v>
      </c>
      <c r="N18" s="1489">
        <f>O12</f>
        <v>500</v>
      </c>
      <c r="O18" s="1490">
        <f>Q12</f>
        <v>0</v>
      </c>
      <c r="P18" s="1489"/>
      <c r="Q18" s="1920"/>
      <c r="R18" s="1920"/>
      <c r="S18" s="1483"/>
      <c r="T18" s="1912" t="s">
        <v>57</v>
      </c>
      <c r="U18" s="1912"/>
      <c r="V18" s="1920">
        <v>620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298608</v>
      </c>
      <c r="C19" s="1919"/>
      <c r="D19" s="1488">
        <f>D15+D16+D17-D18</f>
        <v>110</v>
      </c>
      <c r="E19" s="1488">
        <f t="shared" ref="E19:N19" si="13">E15+E16+E17-E18</f>
        <v>330</v>
      </c>
      <c r="F19" s="1488">
        <f t="shared" si="13"/>
        <v>13540</v>
      </c>
      <c r="G19" s="1488">
        <f t="shared" si="13"/>
        <v>580</v>
      </c>
      <c r="H19" s="1488">
        <f t="shared" si="13"/>
        <v>72</v>
      </c>
      <c r="I19" s="1488">
        <f t="shared" si="13"/>
        <v>4</v>
      </c>
      <c r="J19" s="1488">
        <f t="shared" si="13"/>
        <v>4</v>
      </c>
      <c r="K19" s="1488">
        <f t="shared" si="13"/>
        <v>77</v>
      </c>
      <c r="L19" s="1488">
        <f t="shared" si="13"/>
        <v>0</v>
      </c>
      <c r="M19" s="1488">
        <f t="shared" si="13"/>
        <v>0</v>
      </c>
      <c r="N19" s="1488">
        <f t="shared" si="13"/>
        <v>0</v>
      </c>
      <c r="O19" s="1488">
        <f>O15+O16+O17-O18</f>
        <v>0</v>
      </c>
      <c r="P19" s="1488">
        <f t="shared" ref="P19:Q19" si="14">P15+P16+P17-P18</f>
        <v>100</v>
      </c>
      <c r="Q19" s="1918">
        <f t="shared" si="14"/>
        <v>10</v>
      </c>
      <c r="R19" s="1919"/>
      <c r="S19" s="1483">
        <f>S15+S16-S17-S18</f>
        <v>2</v>
      </c>
      <c r="T19" s="1914" t="s">
        <v>48</v>
      </c>
      <c r="U19" s="49" t="s">
        <v>58</v>
      </c>
      <c r="V19" s="1920">
        <v>154000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287410.2</v>
      </c>
      <c r="C20" s="1945"/>
      <c r="D20" s="290">
        <f>D19*66.41</f>
        <v>7305.0999999999995</v>
      </c>
      <c r="E20" s="290">
        <f>27.9368*E19</f>
        <v>9219.1440000000002</v>
      </c>
      <c r="F20" s="290">
        <f>18.31*F19</f>
        <v>247917.4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605565.18800000008</v>
      </c>
      <c r="C21" s="1951"/>
      <c r="O21" s="1492"/>
      <c r="P21" s="1492"/>
      <c r="Q21" s="1492"/>
      <c r="R21" s="1492"/>
      <c r="T21" s="1952" t="s">
        <v>487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154000</v>
      </c>
      <c r="D22" s="1949">
        <v>154000</v>
      </c>
      <c r="E22" s="1949">
        <v>100000</v>
      </c>
      <c r="F22" s="1949">
        <f>C22-D22+E22</f>
        <v>100000</v>
      </c>
      <c r="G22" s="1492"/>
      <c r="Q22" s="1492"/>
      <c r="R22" s="1492"/>
      <c r="T22" s="1909" t="s">
        <v>83</v>
      </c>
      <c r="U22" s="50" t="s">
        <v>60</v>
      </c>
      <c r="V22" s="1920">
        <v>174680</v>
      </c>
      <c r="W22" s="1920"/>
      <c r="X22" s="1920"/>
      <c r="Y22" s="1927"/>
    </row>
    <row r="23" spans="1:25" ht="39.75" customHeight="1" x14ac:dyDescent="0.25">
      <c r="A23" s="1492"/>
      <c r="B23" s="1947"/>
      <c r="C23" s="1950"/>
      <c r="D23" s="1950"/>
      <c r="E23" s="1950"/>
      <c r="F23" s="1950"/>
      <c r="G23" s="1492"/>
      <c r="Q23" s="1492"/>
      <c r="R23" s="1492"/>
      <c r="T23" s="1910"/>
      <c r="U23" s="50" t="s">
        <v>61</v>
      </c>
      <c r="V23" s="1920">
        <v>154000</v>
      </c>
      <c r="W23" s="1920"/>
      <c r="X23" s="1920"/>
      <c r="Y23" s="1927"/>
    </row>
    <row r="24" spans="1:25" ht="48" customHeight="1" x14ac:dyDescent="0.25">
      <c r="A24" s="1492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492"/>
      <c r="Q24" s="1492"/>
      <c r="R24" s="1492"/>
      <c r="T24" s="1893" t="s">
        <v>47</v>
      </c>
      <c r="U24" s="51" t="s">
        <v>62</v>
      </c>
      <c r="V24" s="1921">
        <f>V14+V16+V17-V18-V19-V20-V22+V23-V21</f>
        <v>5882.7724999999919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36602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492"/>
      <c r="J33" s="1492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D266-E0E6-4106-912B-6F5FCC81EE1A}">
  <sheetPr>
    <pageSetUpPr fitToPage="1"/>
  </sheetPr>
  <dimension ref="A1:Y33"/>
  <sheetViews>
    <sheetView zoomScale="70" zoomScaleNormal="70" zoomScaleSheetLayoutView="100" zoomScalePageLayoutView="68" workbookViewId="0">
      <selection activeCell="B16" sqref="B16: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493"/>
      <c r="B3" s="1493"/>
      <c r="C3" s="1493"/>
      <c r="D3" s="1493"/>
      <c r="E3" s="1493"/>
      <c r="F3" s="1493"/>
      <c r="G3" s="1493"/>
      <c r="H3" s="1493"/>
      <c r="I3" s="1493"/>
      <c r="J3" s="1493"/>
      <c r="K3" s="1493"/>
      <c r="L3" s="1493"/>
      <c r="M3" s="1493"/>
      <c r="N3" s="1493"/>
      <c r="O3" s="1493"/>
      <c r="P3" s="1493"/>
      <c r="Q3" s="1493"/>
      <c r="R3" s="1493"/>
      <c r="S3" s="1493"/>
      <c r="T3" s="1900" t="s">
        <v>499</v>
      </c>
      <c r="U3" s="1900"/>
      <c r="V3" s="1900"/>
      <c r="W3" s="1900"/>
      <c r="X3" s="1900"/>
      <c r="Y3" s="1900"/>
    </row>
    <row r="4" spans="1:25" s="149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493" customFormat="1" ht="25.5" customHeight="1" x14ac:dyDescent="0.25">
      <c r="A5" s="1901"/>
      <c r="B5" s="1901"/>
      <c r="C5" s="1495" t="s">
        <v>42</v>
      </c>
      <c r="D5" s="1495" t="s">
        <v>43</v>
      </c>
      <c r="E5" s="1495" t="s">
        <v>42</v>
      </c>
      <c r="F5" s="1495" t="s">
        <v>43</v>
      </c>
      <c r="G5" s="1495" t="s">
        <v>42</v>
      </c>
      <c r="H5" s="1495" t="s">
        <v>43</v>
      </c>
      <c r="I5" s="1495" t="s">
        <v>42</v>
      </c>
      <c r="J5" s="1495" t="s">
        <v>43</v>
      </c>
      <c r="K5" s="1495" t="s">
        <v>42</v>
      </c>
      <c r="L5" s="1495" t="s">
        <v>43</v>
      </c>
      <c r="M5" s="1495" t="s">
        <v>42</v>
      </c>
      <c r="N5" s="1495" t="s">
        <v>43</v>
      </c>
      <c r="O5" s="1495" t="s">
        <v>42</v>
      </c>
      <c r="P5" s="1495" t="s">
        <v>43</v>
      </c>
      <c r="Q5" s="1495" t="s">
        <v>42</v>
      </c>
      <c r="R5" s="14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494" t="s">
        <v>71</v>
      </c>
      <c r="C6" s="1497">
        <v>33671</v>
      </c>
      <c r="D6" s="1498">
        <f t="shared" ref="D6:D11" si="0">0.9725*C6</f>
        <v>32745.047500000001</v>
      </c>
      <c r="E6" s="1497"/>
      <c r="F6" s="1498">
        <f>67.1*E6</f>
        <v>0</v>
      </c>
      <c r="G6" s="1497"/>
      <c r="H6" s="1497">
        <f>28.2*G6</f>
        <v>0</v>
      </c>
      <c r="I6" s="1497">
        <v>350</v>
      </c>
      <c r="J6" s="1497">
        <f>18.5*I6</f>
        <v>6475</v>
      </c>
      <c r="K6" s="1497"/>
      <c r="L6" s="1498">
        <f>28.2368*K6</f>
        <v>0</v>
      </c>
      <c r="M6" s="1497"/>
      <c r="N6" s="1498">
        <f>M6*47.6525</f>
        <v>0</v>
      </c>
      <c r="O6" s="1497"/>
      <c r="P6" s="1498">
        <f>O6*8.9</f>
        <v>0</v>
      </c>
      <c r="Q6" s="1498"/>
      <c r="R6" s="1498">
        <f>241*Q6</f>
        <v>0</v>
      </c>
      <c r="S6" s="1497"/>
      <c r="T6" s="1497">
        <f>241*S6</f>
        <v>0</v>
      </c>
      <c r="U6" s="1497"/>
      <c r="V6" s="1497">
        <f>332*U6</f>
        <v>0</v>
      </c>
      <c r="W6" s="1497"/>
      <c r="X6" s="19">
        <f>W6*100</f>
        <v>0</v>
      </c>
      <c r="Y6" s="20">
        <f t="shared" ref="Y6:Y12" si="1">D6+F6+H6+J6+L6+N6+P6+R6+T6+V6+X6</f>
        <v>39220.047500000001</v>
      </c>
    </row>
    <row r="7" spans="1:25" ht="31.5" customHeight="1" x14ac:dyDescent="0.25">
      <c r="A7" s="12">
        <v>1984225578</v>
      </c>
      <c r="B7" s="1494" t="s">
        <v>72</v>
      </c>
      <c r="C7" s="1497">
        <v>25094</v>
      </c>
      <c r="D7" s="1498">
        <f t="shared" si="0"/>
        <v>24403.915000000001</v>
      </c>
      <c r="E7" s="1497"/>
      <c r="F7" s="1497">
        <f t="shared" ref="F7:F11" si="2">67.1*E7</f>
        <v>0</v>
      </c>
      <c r="G7" s="1497"/>
      <c r="H7" s="1497">
        <f t="shared" ref="H7:H11" si="3">28.2*G7</f>
        <v>0</v>
      </c>
      <c r="I7" s="1497">
        <v>500</v>
      </c>
      <c r="J7" s="1497">
        <f t="shared" ref="J7:J11" si="4">18.5*I7</f>
        <v>9250</v>
      </c>
      <c r="K7" s="1497"/>
      <c r="L7" s="1498">
        <f t="shared" ref="L7:L11" si="5">28.2368*K7</f>
        <v>0</v>
      </c>
      <c r="M7" s="1497"/>
      <c r="N7" s="1498">
        <f t="shared" ref="N7:N11" si="6">M7*47.6525</f>
        <v>0</v>
      </c>
      <c r="O7" s="1497"/>
      <c r="P7" s="1498">
        <f t="shared" ref="P7:P11" si="7">O7*8.9</f>
        <v>0</v>
      </c>
      <c r="Q7" s="1498"/>
      <c r="R7" s="1498">
        <f t="shared" ref="R7:R11" si="8">241*Q7</f>
        <v>0</v>
      </c>
      <c r="S7" s="1497"/>
      <c r="T7" s="1497">
        <f t="shared" ref="T7:T10" si="9">241*S7</f>
        <v>0</v>
      </c>
      <c r="U7" s="1497"/>
      <c r="V7" s="1497">
        <f t="shared" ref="V7:V11" si="10">332*U7</f>
        <v>0</v>
      </c>
      <c r="W7" s="1497"/>
      <c r="X7" s="19">
        <f t="shared" ref="X7:X11" si="11">W7*100</f>
        <v>0</v>
      </c>
      <c r="Y7" s="20">
        <f t="shared" si="1"/>
        <v>33653.915000000001</v>
      </c>
    </row>
    <row r="8" spans="1:25" ht="35.25" customHeight="1" x14ac:dyDescent="0.25">
      <c r="A8" s="12">
        <v>1967020280</v>
      </c>
      <c r="B8" s="1494" t="s">
        <v>427</v>
      </c>
      <c r="C8" s="1497">
        <v>25426</v>
      </c>
      <c r="D8" s="1498">
        <f t="shared" si="0"/>
        <v>24726.785</v>
      </c>
      <c r="E8" s="1497"/>
      <c r="F8" s="1497">
        <f t="shared" si="2"/>
        <v>0</v>
      </c>
      <c r="G8" s="1497">
        <v>30</v>
      </c>
      <c r="H8" s="1498">
        <f t="shared" si="3"/>
        <v>846</v>
      </c>
      <c r="I8" s="1497">
        <v>740</v>
      </c>
      <c r="J8" s="1497">
        <f t="shared" si="4"/>
        <v>13690</v>
      </c>
      <c r="K8" s="1497"/>
      <c r="L8" s="1498">
        <f t="shared" si="5"/>
        <v>0</v>
      </c>
      <c r="M8" s="1497"/>
      <c r="N8" s="1498">
        <f t="shared" si="6"/>
        <v>0</v>
      </c>
      <c r="O8" s="1497"/>
      <c r="P8" s="1498">
        <f t="shared" si="7"/>
        <v>0</v>
      </c>
      <c r="Q8" s="1498"/>
      <c r="R8" s="1498">
        <f t="shared" si="8"/>
        <v>0</v>
      </c>
      <c r="S8" s="1497"/>
      <c r="T8" s="1497">
        <f t="shared" si="9"/>
        <v>0</v>
      </c>
      <c r="U8" s="1497"/>
      <c r="V8" s="1497">
        <f t="shared" si="10"/>
        <v>0</v>
      </c>
      <c r="W8" s="1497"/>
      <c r="X8" s="19">
        <f t="shared" si="11"/>
        <v>0</v>
      </c>
      <c r="Y8" s="20">
        <f t="shared" si="1"/>
        <v>39262.785000000003</v>
      </c>
    </row>
    <row r="9" spans="1:25" ht="38.25" customHeight="1" x14ac:dyDescent="0.25">
      <c r="A9" s="12">
        <v>1984225580</v>
      </c>
      <c r="B9" s="1494" t="s">
        <v>75</v>
      </c>
      <c r="C9" s="1497">
        <v>28677</v>
      </c>
      <c r="D9" s="1498">
        <f t="shared" si="0"/>
        <v>27888.3825</v>
      </c>
      <c r="E9" s="1497"/>
      <c r="F9" s="1497">
        <f t="shared" si="2"/>
        <v>0</v>
      </c>
      <c r="G9" s="1497"/>
      <c r="H9" s="1497">
        <f t="shared" si="3"/>
        <v>0</v>
      </c>
      <c r="I9" s="1497">
        <v>450</v>
      </c>
      <c r="J9" s="1497">
        <f t="shared" si="4"/>
        <v>8325</v>
      </c>
      <c r="K9" s="1497"/>
      <c r="L9" s="1498">
        <f t="shared" si="5"/>
        <v>0</v>
      </c>
      <c r="M9" s="1497"/>
      <c r="N9" s="1498">
        <f t="shared" si="6"/>
        <v>0</v>
      </c>
      <c r="O9" s="1497"/>
      <c r="P9" s="1498">
        <f t="shared" si="7"/>
        <v>0</v>
      </c>
      <c r="Q9" s="1498"/>
      <c r="R9" s="1498">
        <f t="shared" si="8"/>
        <v>0</v>
      </c>
      <c r="S9" s="1497"/>
      <c r="T9" s="1497">
        <f t="shared" si="9"/>
        <v>0</v>
      </c>
      <c r="U9" s="1497"/>
      <c r="V9" s="1497">
        <f t="shared" si="10"/>
        <v>0</v>
      </c>
      <c r="W9" s="1497"/>
      <c r="X9" s="19">
        <f t="shared" si="11"/>
        <v>0</v>
      </c>
      <c r="Y9" s="20">
        <f t="shared" si="1"/>
        <v>36213.3825</v>
      </c>
    </row>
    <row r="10" spans="1:25" ht="35.25" customHeight="1" x14ac:dyDescent="0.25">
      <c r="A10" s="12">
        <v>1409935199</v>
      </c>
      <c r="C10" s="1497"/>
      <c r="D10" s="1498">
        <f t="shared" si="0"/>
        <v>0</v>
      </c>
      <c r="E10" s="1497"/>
      <c r="F10" s="1497">
        <f t="shared" si="2"/>
        <v>0</v>
      </c>
      <c r="G10" s="1497"/>
      <c r="H10" s="1497">
        <f t="shared" si="3"/>
        <v>0</v>
      </c>
      <c r="I10" s="1497"/>
      <c r="J10" s="1497">
        <f t="shared" si="4"/>
        <v>0</v>
      </c>
      <c r="K10" s="1497"/>
      <c r="L10" s="1498">
        <f t="shared" si="5"/>
        <v>0</v>
      </c>
      <c r="M10" s="1497"/>
      <c r="N10" s="1498">
        <f t="shared" si="6"/>
        <v>0</v>
      </c>
      <c r="O10" s="1497"/>
      <c r="P10" s="1498">
        <f t="shared" si="7"/>
        <v>0</v>
      </c>
      <c r="Q10" s="1498"/>
      <c r="R10" s="1498">
        <f t="shared" si="8"/>
        <v>0</v>
      </c>
      <c r="S10" s="1497"/>
      <c r="T10" s="1497">
        <f t="shared" si="9"/>
        <v>0</v>
      </c>
      <c r="U10" s="1497"/>
      <c r="V10" s="1497">
        <f t="shared" si="10"/>
        <v>0</v>
      </c>
      <c r="W10" s="149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96"/>
      <c r="C11" s="1497"/>
      <c r="D11" s="1498">
        <f t="shared" si="0"/>
        <v>0</v>
      </c>
      <c r="E11" s="1497"/>
      <c r="F11" s="1497">
        <f t="shared" si="2"/>
        <v>0</v>
      </c>
      <c r="G11" s="1497"/>
      <c r="H11" s="1497">
        <f t="shared" si="3"/>
        <v>0</v>
      </c>
      <c r="I11" s="1497"/>
      <c r="J11" s="1497">
        <f t="shared" si="4"/>
        <v>0</v>
      </c>
      <c r="K11" s="1497"/>
      <c r="L11" s="1498">
        <f t="shared" si="5"/>
        <v>0</v>
      </c>
      <c r="M11" s="1497"/>
      <c r="N11" s="1498">
        <f t="shared" si="6"/>
        <v>0</v>
      </c>
      <c r="O11" s="1497"/>
      <c r="P11" s="1498">
        <f t="shared" si="7"/>
        <v>0</v>
      </c>
      <c r="Q11" s="1498"/>
      <c r="R11" s="1498">
        <f t="shared" si="8"/>
        <v>0</v>
      </c>
      <c r="S11" s="1497"/>
      <c r="T11" s="1497">
        <f>341*S11</f>
        <v>0</v>
      </c>
      <c r="U11" s="1497"/>
      <c r="V11" s="1497">
        <f t="shared" si="10"/>
        <v>0</v>
      </c>
      <c r="W11" s="149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112868</v>
      </c>
      <c r="D12" s="18">
        <f t="shared" si="12"/>
        <v>109764.13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2040</v>
      </c>
      <c r="J12" s="18">
        <f t="shared" si="12"/>
        <v>37740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148350.13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02" t="s">
        <v>174</v>
      </c>
      <c r="K14" s="30" t="s">
        <v>36</v>
      </c>
      <c r="L14" s="1502" t="s">
        <v>403</v>
      </c>
      <c r="M14" s="30" t="s">
        <v>429</v>
      </c>
      <c r="N14" s="30" t="s">
        <v>442</v>
      </c>
      <c r="O14" s="1502" t="s">
        <v>114</v>
      </c>
      <c r="P14" s="30" t="s">
        <v>70</v>
      </c>
      <c r="Q14" s="1958" t="s">
        <v>479</v>
      </c>
      <c r="R14" s="1959"/>
      <c r="S14" s="1502" t="s">
        <v>401</v>
      </c>
      <c r="T14" s="1893" t="s">
        <v>46</v>
      </c>
      <c r="U14" s="1494" t="s">
        <v>176</v>
      </c>
      <c r="V14" s="1918">
        <v>5883</v>
      </c>
      <c r="W14" s="1926"/>
      <c r="X14" s="1919"/>
    </row>
    <row r="15" spans="1:25" ht="22.5" customHeight="1" x14ac:dyDescent="0.25">
      <c r="A15" s="100" t="s">
        <v>38</v>
      </c>
      <c r="B15" s="1918">
        <v>298608</v>
      </c>
      <c r="C15" s="1919"/>
      <c r="D15" s="1499">
        <v>110</v>
      </c>
      <c r="E15" s="1499">
        <v>330</v>
      </c>
      <c r="F15" s="1499">
        <v>13540</v>
      </c>
      <c r="G15" s="1499">
        <v>580</v>
      </c>
      <c r="H15" s="1499">
        <v>72</v>
      </c>
      <c r="I15" s="1499">
        <v>4</v>
      </c>
      <c r="J15" s="1499">
        <v>4</v>
      </c>
      <c r="K15" s="1499">
        <v>77</v>
      </c>
      <c r="L15" s="1499">
        <v>0</v>
      </c>
      <c r="M15" s="1499">
        <v>0</v>
      </c>
      <c r="N15" s="1499">
        <v>0</v>
      </c>
      <c r="O15" s="1499">
        <v>0</v>
      </c>
      <c r="P15" s="1499">
        <v>100</v>
      </c>
      <c r="Q15" s="1918">
        <v>10</v>
      </c>
      <c r="R15" s="1919"/>
      <c r="S15" s="1494">
        <v>2</v>
      </c>
      <c r="T15" s="1893"/>
      <c r="U15" s="1494" t="s">
        <v>64</v>
      </c>
      <c r="V15" s="1920">
        <v>36602</v>
      </c>
      <c r="W15" s="1920"/>
      <c r="X15" s="1920"/>
    </row>
    <row r="16" spans="1:25" ht="24.75" customHeight="1" x14ac:dyDescent="0.25">
      <c r="A16" s="100" t="s">
        <v>39</v>
      </c>
      <c r="B16" s="1918">
        <v>114285</v>
      </c>
      <c r="C16" s="1919"/>
      <c r="D16" s="1499"/>
      <c r="E16" s="1499"/>
      <c r="F16" s="1499"/>
      <c r="G16" s="1499"/>
      <c r="H16" s="1499"/>
      <c r="I16" s="1499"/>
      <c r="J16" s="1499"/>
      <c r="K16" s="1499"/>
      <c r="L16" s="1499"/>
      <c r="M16" s="1499"/>
      <c r="N16" s="1499"/>
      <c r="O16" s="1499"/>
      <c r="P16" s="1499"/>
      <c r="Q16" s="1920"/>
      <c r="R16" s="1920"/>
      <c r="S16" s="1499"/>
      <c r="T16" s="1912" t="s">
        <v>55</v>
      </c>
      <c r="U16" s="1912"/>
      <c r="V16" s="1925">
        <f>Y12</f>
        <v>148350.13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499"/>
      <c r="E17" s="1499"/>
      <c r="F17" s="1499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1883"/>
      <c r="R17" s="1883"/>
      <c r="S17" s="1496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112868</v>
      </c>
      <c r="C18" s="1919"/>
      <c r="D18" s="1500">
        <f>E12</f>
        <v>0</v>
      </c>
      <c r="E18" s="1500">
        <f>G12</f>
        <v>30</v>
      </c>
      <c r="F18" s="1500">
        <f>I12</f>
        <v>2040</v>
      </c>
      <c r="G18" s="1500">
        <f>K12</f>
        <v>0</v>
      </c>
      <c r="H18" s="1499"/>
      <c r="I18" s="1500">
        <f>U12</f>
        <v>0</v>
      </c>
      <c r="J18" s="1499"/>
      <c r="K18" s="1500">
        <f>W12</f>
        <v>0</v>
      </c>
      <c r="L18" s="1499"/>
      <c r="M18" s="1500">
        <f>M12</f>
        <v>0</v>
      </c>
      <c r="N18" s="1500">
        <f>O12</f>
        <v>0</v>
      </c>
      <c r="O18" s="1501">
        <f>Q12</f>
        <v>0</v>
      </c>
      <c r="P18" s="1500"/>
      <c r="Q18" s="1920"/>
      <c r="R18" s="1920"/>
      <c r="S18" s="1494"/>
      <c r="T18" s="1912" t="s">
        <v>57</v>
      </c>
      <c r="U18" s="1912"/>
      <c r="V18" s="1920">
        <v>760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300025</v>
      </c>
      <c r="C19" s="1919"/>
      <c r="D19" s="1499">
        <f>D15+D16+D17-D18</f>
        <v>110</v>
      </c>
      <c r="E19" s="1499">
        <f t="shared" ref="E19:N19" si="13">E15+E16+E17-E18</f>
        <v>300</v>
      </c>
      <c r="F19" s="1499">
        <f t="shared" si="13"/>
        <v>11500</v>
      </c>
      <c r="G19" s="1499">
        <f t="shared" si="13"/>
        <v>580</v>
      </c>
      <c r="H19" s="1499">
        <f t="shared" si="13"/>
        <v>72</v>
      </c>
      <c r="I19" s="1499">
        <f t="shared" si="13"/>
        <v>4</v>
      </c>
      <c r="J19" s="1499">
        <f t="shared" si="13"/>
        <v>4</v>
      </c>
      <c r="K19" s="1499">
        <f t="shared" si="13"/>
        <v>77</v>
      </c>
      <c r="L19" s="1499">
        <f t="shared" si="13"/>
        <v>0</v>
      </c>
      <c r="M19" s="1499">
        <f t="shared" si="13"/>
        <v>0</v>
      </c>
      <c r="N19" s="1499">
        <f t="shared" si="13"/>
        <v>0</v>
      </c>
      <c r="O19" s="1499">
        <f>O15+O16+O17-O18</f>
        <v>0</v>
      </c>
      <c r="P19" s="1499">
        <f t="shared" ref="P19:Q19" si="14">P15+P16+P17-P18</f>
        <v>100</v>
      </c>
      <c r="Q19" s="1918">
        <f t="shared" si="14"/>
        <v>10</v>
      </c>
      <c r="R19" s="1919"/>
      <c r="S19" s="1494">
        <f>S15+S16-S17-S18</f>
        <v>2</v>
      </c>
      <c r="T19" s="1914" t="s">
        <v>48</v>
      </c>
      <c r="U19" s="49" t="s">
        <v>58</v>
      </c>
      <c r="V19" s="1920">
        <v>100000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288774.0625</v>
      </c>
      <c r="C20" s="1945"/>
      <c r="D20" s="290">
        <f>D19*66.41</f>
        <v>7305.0999999999995</v>
      </c>
      <c r="E20" s="290">
        <f>27.9368*E19</f>
        <v>8381.0400000000009</v>
      </c>
      <c r="F20" s="290">
        <f>18.31*F19</f>
        <v>210564.99999999997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568738.54649999994</v>
      </c>
      <c r="C21" s="1951"/>
      <c r="O21" s="1503"/>
      <c r="P21" s="1503"/>
      <c r="Q21" s="1503"/>
      <c r="R21" s="1503"/>
      <c r="T21" s="1952" t="s">
        <v>487</v>
      </c>
      <c r="U21" s="1953"/>
      <c r="V21" s="1955">
        <v>50000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100000</v>
      </c>
      <c r="D22" s="1949">
        <v>100000</v>
      </c>
      <c r="E22" s="1949">
        <v>110000</v>
      </c>
      <c r="F22" s="1949">
        <f>C22-D22+E22</f>
        <v>110000</v>
      </c>
      <c r="G22" s="1503"/>
      <c r="Q22" s="1503"/>
      <c r="R22" s="1503"/>
      <c r="T22" s="1909" t="s">
        <v>83</v>
      </c>
      <c r="U22" s="50" t="s">
        <v>60</v>
      </c>
      <c r="V22" s="1920">
        <v>146890</v>
      </c>
      <c r="W22" s="1920"/>
      <c r="X22" s="1920"/>
      <c r="Y22" s="1927"/>
    </row>
    <row r="23" spans="1:25" ht="39.75" customHeight="1" x14ac:dyDescent="0.25">
      <c r="A23" s="1503"/>
      <c r="B23" s="1947"/>
      <c r="C23" s="1950"/>
      <c r="D23" s="1950"/>
      <c r="E23" s="1950"/>
      <c r="F23" s="1950"/>
      <c r="G23" s="1503"/>
      <c r="Q23" s="1503"/>
      <c r="R23" s="1503"/>
      <c r="T23" s="1910"/>
      <c r="U23" s="50" t="s">
        <v>61</v>
      </c>
      <c r="V23" s="1920">
        <v>150000</v>
      </c>
      <c r="W23" s="1920"/>
      <c r="X23" s="1920"/>
      <c r="Y23" s="1927"/>
    </row>
    <row r="24" spans="1:25" ht="48" customHeight="1" x14ac:dyDescent="0.25">
      <c r="A24" s="1503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503"/>
      <c r="Q24" s="1503"/>
      <c r="R24" s="1503"/>
      <c r="T24" s="1893" t="s">
        <v>47</v>
      </c>
      <c r="U24" s="51" t="s">
        <v>62</v>
      </c>
      <c r="V24" s="1921">
        <f>V14+V16+V17-V18-V19-V20-V22+V23-V21</f>
        <v>6583.1300000000047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33492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503"/>
      <c r="J33" s="1503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F92CD-E562-4603-8EB2-52665EDFF7B6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509"/>
      <c r="B3" s="1509"/>
      <c r="C3" s="1509"/>
      <c r="D3" s="1509"/>
      <c r="E3" s="1509"/>
      <c r="F3" s="1509"/>
      <c r="G3" s="1509"/>
      <c r="H3" s="1509"/>
      <c r="I3" s="1509"/>
      <c r="J3" s="1509"/>
      <c r="K3" s="1509"/>
      <c r="L3" s="1509"/>
      <c r="M3" s="1509"/>
      <c r="N3" s="1509"/>
      <c r="O3" s="1509"/>
      <c r="P3" s="1509"/>
      <c r="Q3" s="1509"/>
      <c r="R3" s="1509"/>
      <c r="S3" s="1509"/>
      <c r="T3" s="1900" t="s">
        <v>500</v>
      </c>
      <c r="U3" s="1900"/>
      <c r="V3" s="1900"/>
      <c r="W3" s="1900"/>
      <c r="X3" s="1900"/>
      <c r="Y3" s="1900"/>
    </row>
    <row r="4" spans="1:25" s="150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509" customFormat="1" ht="25.5" customHeight="1" x14ac:dyDescent="0.25">
      <c r="A5" s="1901"/>
      <c r="B5" s="1901"/>
      <c r="C5" s="1508" t="s">
        <v>42</v>
      </c>
      <c r="D5" s="1508" t="s">
        <v>43</v>
      </c>
      <c r="E5" s="1508" t="s">
        <v>42</v>
      </c>
      <c r="F5" s="1508" t="s">
        <v>43</v>
      </c>
      <c r="G5" s="1508" t="s">
        <v>42</v>
      </c>
      <c r="H5" s="1508" t="s">
        <v>43</v>
      </c>
      <c r="I5" s="1508" t="s">
        <v>42</v>
      </c>
      <c r="J5" s="1508" t="s">
        <v>43</v>
      </c>
      <c r="K5" s="1508" t="s">
        <v>42</v>
      </c>
      <c r="L5" s="1508" t="s">
        <v>43</v>
      </c>
      <c r="M5" s="1508" t="s">
        <v>42</v>
      </c>
      <c r="N5" s="1508" t="s">
        <v>43</v>
      </c>
      <c r="O5" s="1508" t="s">
        <v>42</v>
      </c>
      <c r="P5" s="1508" t="s">
        <v>43</v>
      </c>
      <c r="Q5" s="1508" t="s">
        <v>42</v>
      </c>
      <c r="R5" s="1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507" t="s">
        <v>71</v>
      </c>
      <c r="C6" s="1505">
        <v>44949</v>
      </c>
      <c r="D6" s="1504">
        <f t="shared" ref="D6:D11" si="0">0.9725*C6</f>
        <v>43712.902500000004</v>
      </c>
      <c r="E6" s="1505"/>
      <c r="F6" s="1504">
        <f>67.1*E6</f>
        <v>0</v>
      </c>
      <c r="G6" s="1505"/>
      <c r="H6" s="1505">
        <f>28.2*G6</f>
        <v>0</v>
      </c>
      <c r="I6" s="1505">
        <v>440</v>
      </c>
      <c r="J6" s="1505">
        <f>18.5*I6</f>
        <v>8140</v>
      </c>
      <c r="K6" s="1505"/>
      <c r="L6" s="1504">
        <f>28.2368*K6</f>
        <v>0</v>
      </c>
      <c r="M6" s="1505"/>
      <c r="N6" s="1504">
        <f>M6*47.6525</f>
        <v>0</v>
      </c>
      <c r="O6" s="1505"/>
      <c r="P6" s="1504">
        <f>O6*8.9</f>
        <v>0</v>
      </c>
      <c r="Q6" s="1504"/>
      <c r="R6" s="1504">
        <f>241*Q6</f>
        <v>0</v>
      </c>
      <c r="S6" s="1505"/>
      <c r="T6" s="1505">
        <f>241*S6</f>
        <v>0</v>
      </c>
      <c r="U6" s="1505"/>
      <c r="V6" s="1505">
        <f>332*U6</f>
        <v>0</v>
      </c>
      <c r="W6" s="1505"/>
      <c r="X6" s="19">
        <f>W6*100</f>
        <v>0</v>
      </c>
      <c r="Y6" s="20">
        <f t="shared" ref="Y6:Y12" si="1">D6+F6+H6+J6+L6+N6+P6+R6+T6+V6+X6</f>
        <v>51852.902500000004</v>
      </c>
    </row>
    <row r="7" spans="1:25" ht="31.5" customHeight="1" x14ac:dyDescent="0.25">
      <c r="A7" s="12">
        <v>1984225578</v>
      </c>
      <c r="B7" s="1507" t="s">
        <v>72</v>
      </c>
      <c r="C7" s="1505">
        <v>29284</v>
      </c>
      <c r="D7" s="1504">
        <f t="shared" si="0"/>
        <v>28478.690000000002</v>
      </c>
      <c r="E7" s="1505"/>
      <c r="F7" s="1505">
        <f t="shared" ref="F7:F11" si="2">67.1*E7</f>
        <v>0</v>
      </c>
      <c r="G7" s="1505"/>
      <c r="H7" s="1505">
        <f t="shared" ref="H7:H11" si="3">28.2*G7</f>
        <v>0</v>
      </c>
      <c r="I7" s="1505">
        <v>1180</v>
      </c>
      <c r="J7" s="1505">
        <f t="shared" ref="J7:J11" si="4">18.5*I7</f>
        <v>21830</v>
      </c>
      <c r="K7" s="1505"/>
      <c r="L7" s="1504">
        <f t="shared" ref="L7:L11" si="5">28.2368*K7</f>
        <v>0</v>
      </c>
      <c r="M7" s="1505"/>
      <c r="N7" s="1504">
        <f t="shared" ref="N7:N11" si="6">M7*47.6525</f>
        <v>0</v>
      </c>
      <c r="O7" s="1505"/>
      <c r="P7" s="1504">
        <f t="shared" ref="P7:P11" si="7">O7*8.9</f>
        <v>0</v>
      </c>
      <c r="Q7" s="1504"/>
      <c r="R7" s="1504">
        <f t="shared" ref="R7:R11" si="8">241*Q7</f>
        <v>0</v>
      </c>
      <c r="S7" s="1505"/>
      <c r="T7" s="1505">
        <f t="shared" ref="T7:T10" si="9">241*S7</f>
        <v>0</v>
      </c>
      <c r="U7" s="1505">
        <v>1</v>
      </c>
      <c r="V7" s="1505">
        <f t="shared" ref="V7:V11" si="10">332*U7</f>
        <v>332</v>
      </c>
      <c r="W7" s="1505"/>
      <c r="X7" s="19">
        <f t="shared" ref="X7:X11" si="11">W7*100</f>
        <v>0</v>
      </c>
      <c r="Y7" s="20">
        <f t="shared" si="1"/>
        <v>50640.69</v>
      </c>
    </row>
    <row r="8" spans="1:25" ht="35.25" customHeight="1" x14ac:dyDescent="0.25">
      <c r="A8" s="12">
        <v>1967020280</v>
      </c>
      <c r="B8" s="1507" t="s">
        <v>427</v>
      </c>
      <c r="C8" s="1505">
        <v>34698</v>
      </c>
      <c r="D8" s="1504">
        <f t="shared" si="0"/>
        <v>33743.805</v>
      </c>
      <c r="E8" s="1505"/>
      <c r="F8" s="1505">
        <f t="shared" si="2"/>
        <v>0</v>
      </c>
      <c r="G8" s="1505"/>
      <c r="H8" s="1504">
        <f t="shared" si="3"/>
        <v>0</v>
      </c>
      <c r="I8" s="1505">
        <v>360</v>
      </c>
      <c r="J8" s="1505">
        <f t="shared" si="4"/>
        <v>6660</v>
      </c>
      <c r="K8" s="1505"/>
      <c r="L8" s="1504">
        <f t="shared" si="5"/>
        <v>0</v>
      </c>
      <c r="M8" s="1505"/>
      <c r="N8" s="1504">
        <f t="shared" si="6"/>
        <v>0</v>
      </c>
      <c r="O8" s="1505"/>
      <c r="P8" s="1504">
        <f t="shared" si="7"/>
        <v>0</v>
      </c>
      <c r="Q8" s="1504"/>
      <c r="R8" s="1504">
        <f t="shared" si="8"/>
        <v>0</v>
      </c>
      <c r="S8" s="1505"/>
      <c r="T8" s="1505">
        <f t="shared" si="9"/>
        <v>0</v>
      </c>
      <c r="U8" s="1505"/>
      <c r="V8" s="1505">
        <f t="shared" si="10"/>
        <v>0</v>
      </c>
      <c r="W8" s="1505"/>
      <c r="X8" s="19">
        <f t="shared" si="11"/>
        <v>0</v>
      </c>
      <c r="Y8" s="20">
        <f t="shared" si="1"/>
        <v>40403.805</v>
      </c>
    </row>
    <row r="9" spans="1:25" ht="38.25" customHeight="1" x14ac:dyDescent="0.25">
      <c r="A9" s="12">
        <v>1984225580</v>
      </c>
      <c r="B9" s="1507" t="s">
        <v>75</v>
      </c>
      <c r="C9" s="1505">
        <v>27953</v>
      </c>
      <c r="D9" s="1504">
        <f t="shared" si="0"/>
        <v>27184.2925</v>
      </c>
      <c r="E9" s="1505">
        <v>10</v>
      </c>
      <c r="F9" s="1505">
        <f t="shared" si="2"/>
        <v>671</v>
      </c>
      <c r="G9" s="1505"/>
      <c r="H9" s="1505">
        <f t="shared" si="3"/>
        <v>0</v>
      </c>
      <c r="I9" s="1505">
        <v>500</v>
      </c>
      <c r="J9" s="1505">
        <f t="shared" si="4"/>
        <v>9250</v>
      </c>
      <c r="K9" s="1505"/>
      <c r="L9" s="1504">
        <f t="shared" si="5"/>
        <v>0</v>
      </c>
      <c r="M9" s="1505"/>
      <c r="N9" s="1504">
        <f t="shared" si="6"/>
        <v>0</v>
      </c>
      <c r="O9" s="1505"/>
      <c r="P9" s="1504">
        <f t="shared" si="7"/>
        <v>0</v>
      </c>
      <c r="Q9" s="1504"/>
      <c r="R9" s="1504">
        <f t="shared" si="8"/>
        <v>0</v>
      </c>
      <c r="S9" s="1505"/>
      <c r="T9" s="1505">
        <f t="shared" si="9"/>
        <v>0</v>
      </c>
      <c r="U9" s="1505"/>
      <c r="V9" s="1505">
        <f t="shared" si="10"/>
        <v>0</v>
      </c>
      <c r="W9" s="1505"/>
      <c r="X9" s="19">
        <f t="shared" si="11"/>
        <v>0</v>
      </c>
      <c r="Y9" s="20">
        <f t="shared" si="1"/>
        <v>37105.292499999996</v>
      </c>
    </row>
    <row r="10" spans="1:25" ht="35.25" customHeight="1" x14ac:dyDescent="0.25">
      <c r="A10" s="12">
        <v>1409935199</v>
      </c>
      <c r="C10" s="1505"/>
      <c r="D10" s="1504">
        <f t="shared" si="0"/>
        <v>0</v>
      </c>
      <c r="E10" s="1505"/>
      <c r="F10" s="1505">
        <f t="shared" si="2"/>
        <v>0</v>
      </c>
      <c r="G10" s="1505"/>
      <c r="H10" s="1505">
        <f t="shared" si="3"/>
        <v>0</v>
      </c>
      <c r="I10" s="1505"/>
      <c r="J10" s="1505">
        <f t="shared" si="4"/>
        <v>0</v>
      </c>
      <c r="K10" s="1505"/>
      <c r="L10" s="1504">
        <f t="shared" si="5"/>
        <v>0</v>
      </c>
      <c r="M10" s="1505"/>
      <c r="N10" s="1504">
        <f t="shared" si="6"/>
        <v>0</v>
      </c>
      <c r="O10" s="1505"/>
      <c r="P10" s="1504">
        <f t="shared" si="7"/>
        <v>0</v>
      </c>
      <c r="Q10" s="1504"/>
      <c r="R10" s="1504">
        <f t="shared" si="8"/>
        <v>0</v>
      </c>
      <c r="S10" s="1505"/>
      <c r="T10" s="1505">
        <f t="shared" si="9"/>
        <v>0</v>
      </c>
      <c r="U10" s="1505"/>
      <c r="V10" s="1505">
        <f t="shared" si="10"/>
        <v>0</v>
      </c>
      <c r="W10" s="150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06"/>
      <c r="C11" s="1505"/>
      <c r="D11" s="1504">
        <f t="shared" si="0"/>
        <v>0</v>
      </c>
      <c r="E11" s="1505"/>
      <c r="F11" s="1505">
        <f t="shared" si="2"/>
        <v>0</v>
      </c>
      <c r="G11" s="1505"/>
      <c r="H11" s="1505">
        <f t="shared" si="3"/>
        <v>0</v>
      </c>
      <c r="I11" s="1505"/>
      <c r="J11" s="1505">
        <f t="shared" si="4"/>
        <v>0</v>
      </c>
      <c r="K11" s="1505"/>
      <c r="L11" s="1504">
        <f t="shared" si="5"/>
        <v>0</v>
      </c>
      <c r="M11" s="1505"/>
      <c r="N11" s="1504">
        <f t="shared" si="6"/>
        <v>0</v>
      </c>
      <c r="O11" s="1505"/>
      <c r="P11" s="1504">
        <f t="shared" si="7"/>
        <v>0</v>
      </c>
      <c r="Q11" s="1504"/>
      <c r="R11" s="1504">
        <f t="shared" si="8"/>
        <v>0</v>
      </c>
      <c r="S11" s="1505"/>
      <c r="T11" s="1505">
        <f>341*S11</f>
        <v>0</v>
      </c>
      <c r="U11" s="1505"/>
      <c r="V11" s="1505">
        <f t="shared" si="10"/>
        <v>0</v>
      </c>
      <c r="W11" s="15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136884</v>
      </c>
      <c r="D12" s="18">
        <f t="shared" si="12"/>
        <v>133119.69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2480</v>
      </c>
      <c r="J12" s="18">
        <f t="shared" si="12"/>
        <v>45880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"/>
        <v>180002.69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13" t="s">
        <v>174</v>
      </c>
      <c r="K14" s="30" t="s">
        <v>36</v>
      </c>
      <c r="L14" s="1513" t="s">
        <v>403</v>
      </c>
      <c r="M14" s="30" t="s">
        <v>429</v>
      </c>
      <c r="N14" s="30" t="s">
        <v>442</v>
      </c>
      <c r="O14" s="1513" t="s">
        <v>114</v>
      </c>
      <c r="P14" s="30" t="s">
        <v>70</v>
      </c>
      <c r="Q14" s="1958" t="s">
        <v>479</v>
      </c>
      <c r="R14" s="1959"/>
      <c r="S14" s="1513" t="s">
        <v>401</v>
      </c>
      <c r="T14" s="1893" t="s">
        <v>46</v>
      </c>
      <c r="U14" s="1507" t="s">
        <v>176</v>
      </c>
      <c r="V14" s="1918">
        <v>6583</v>
      </c>
      <c r="W14" s="1926"/>
      <c r="X14" s="1919"/>
    </row>
    <row r="15" spans="1:25" ht="22.5" customHeight="1" x14ac:dyDescent="0.25">
      <c r="A15" s="100" t="s">
        <v>38</v>
      </c>
      <c r="B15" s="1918">
        <v>300025</v>
      </c>
      <c r="C15" s="1919"/>
      <c r="D15" s="1510">
        <v>110</v>
      </c>
      <c r="E15" s="1510">
        <v>300</v>
      </c>
      <c r="F15" s="1510">
        <v>11500</v>
      </c>
      <c r="G15" s="1510">
        <v>580</v>
      </c>
      <c r="H15" s="1510">
        <v>72</v>
      </c>
      <c r="I15" s="1510">
        <v>4</v>
      </c>
      <c r="J15" s="1510">
        <v>4</v>
      </c>
      <c r="K15" s="1510">
        <v>77</v>
      </c>
      <c r="L15" s="1510">
        <v>0</v>
      </c>
      <c r="M15" s="1510">
        <v>0</v>
      </c>
      <c r="N15" s="1510">
        <v>0</v>
      </c>
      <c r="O15" s="1510">
        <v>0</v>
      </c>
      <c r="P15" s="1510">
        <v>100</v>
      </c>
      <c r="Q15" s="1918">
        <v>10</v>
      </c>
      <c r="R15" s="1919"/>
      <c r="S15" s="1507">
        <v>2</v>
      </c>
      <c r="T15" s="1893"/>
      <c r="U15" s="1507" t="s">
        <v>64</v>
      </c>
      <c r="V15" s="1920">
        <v>33492</v>
      </c>
      <c r="W15" s="1920"/>
      <c r="X15" s="1920"/>
    </row>
    <row r="16" spans="1:25" ht="24.75" customHeight="1" x14ac:dyDescent="0.25">
      <c r="A16" s="100" t="s">
        <v>39</v>
      </c>
      <c r="B16" s="1918">
        <v>135064</v>
      </c>
      <c r="C16" s="1919"/>
      <c r="D16" s="1510"/>
      <c r="E16" s="1510"/>
      <c r="F16" s="1510"/>
      <c r="G16" s="1510"/>
      <c r="H16" s="1510"/>
      <c r="I16" s="1510">
        <v>100</v>
      </c>
      <c r="J16" s="1510"/>
      <c r="K16" s="1510"/>
      <c r="L16" s="1510"/>
      <c r="M16" s="1510"/>
      <c r="N16" s="1510"/>
      <c r="O16" s="1510"/>
      <c r="P16" s="1510"/>
      <c r="Q16" s="1920"/>
      <c r="R16" s="1920"/>
      <c r="S16" s="1510"/>
      <c r="T16" s="1912" t="s">
        <v>55</v>
      </c>
      <c r="U16" s="1912"/>
      <c r="V16" s="1925">
        <f>Y12</f>
        <v>180002.69</v>
      </c>
      <c r="W16" s="1925"/>
      <c r="X16" s="1920"/>
    </row>
    <row r="17" spans="1:25" ht="28.5" customHeight="1" x14ac:dyDescent="0.25">
      <c r="A17" s="101" t="s">
        <v>44</v>
      </c>
      <c r="B17" s="1918">
        <v>4170</v>
      </c>
      <c r="C17" s="1919"/>
      <c r="D17" s="1510"/>
      <c r="E17" s="1510"/>
      <c r="F17" s="1510"/>
      <c r="G17" s="1510"/>
      <c r="H17" s="1510"/>
      <c r="I17" s="1510"/>
      <c r="J17" s="1510"/>
      <c r="K17" s="1510"/>
      <c r="L17" s="1510"/>
      <c r="M17" s="1510"/>
      <c r="N17" s="1510"/>
      <c r="O17" s="1510"/>
      <c r="P17" s="1510"/>
      <c r="Q17" s="1883"/>
      <c r="R17" s="1883"/>
      <c r="S17" s="1506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136884</v>
      </c>
      <c r="C18" s="1919"/>
      <c r="D18" s="1512">
        <f>E12</f>
        <v>10</v>
      </c>
      <c r="E18" s="1512">
        <f>G12</f>
        <v>0</v>
      </c>
      <c r="F18" s="1512">
        <f>I12</f>
        <v>2480</v>
      </c>
      <c r="G18" s="1512">
        <f>K12</f>
        <v>0</v>
      </c>
      <c r="H18" s="1510"/>
      <c r="I18" s="1512">
        <f>U12</f>
        <v>1</v>
      </c>
      <c r="J18" s="1510"/>
      <c r="K18" s="1512">
        <f>W12</f>
        <v>0</v>
      </c>
      <c r="L18" s="1510"/>
      <c r="M18" s="1512">
        <f>M12</f>
        <v>0</v>
      </c>
      <c r="N18" s="1512">
        <f>O12</f>
        <v>0</v>
      </c>
      <c r="O18" s="1511">
        <f>Q12</f>
        <v>0</v>
      </c>
      <c r="P18" s="1512"/>
      <c r="Q18" s="1920"/>
      <c r="R18" s="1920"/>
      <c r="S18" s="1507"/>
      <c r="T18" s="1912" t="s">
        <v>57</v>
      </c>
      <c r="U18" s="1912"/>
      <c r="V18" s="1920">
        <v>4833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302375</v>
      </c>
      <c r="C19" s="1919"/>
      <c r="D19" s="1510">
        <f>D15+D16+D17-D18</f>
        <v>100</v>
      </c>
      <c r="E19" s="1510">
        <f t="shared" ref="E19:N19" si="13">E15+E16+E17-E18</f>
        <v>300</v>
      </c>
      <c r="F19" s="1510">
        <f t="shared" si="13"/>
        <v>9020</v>
      </c>
      <c r="G19" s="1510">
        <f t="shared" si="13"/>
        <v>580</v>
      </c>
      <c r="H19" s="1510">
        <f t="shared" si="13"/>
        <v>72</v>
      </c>
      <c r="I19" s="1510">
        <f t="shared" si="13"/>
        <v>103</v>
      </c>
      <c r="J19" s="1510">
        <f t="shared" si="13"/>
        <v>4</v>
      </c>
      <c r="K19" s="1510">
        <f t="shared" si="13"/>
        <v>77</v>
      </c>
      <c r="L19" s="1510">
        <f t="shared" si="13"/>
        <v>0</v>
      </c>
      <c r="M19" s="1510">
        <f t="shared" si="13"/>
        <v>0</v>
      </c>
      <c r="N19" s="1510">
        <f t="shared" si="13"/>
        <v>0</v>
      </c>
      <c r="O19" s="1510">
        <f>O15+O16+O17-O18</f>
        <v>0</v>
      </c>
      <c r="P19" s="1510">
        <f t="shared" ref="P19:Q19" si="14">P15+P16+P17-P18</f>
        <v>100</v>
      </c>
      <c r="Q19" s="1918">
        <f t="shared" si="14"/>
        <v>10</v>
      </c>
      <c r="R19" s="1919"/>
      <c r="S19" s="1507">
        <f>S15+S16-S17-S18</f>
        <v>2</v>
      </c>
      <c r="T19" s="1914" t="s">
        <v>48</v>
      </c>
      <c r="U19" s="49" t="s">
        <v>58</v>
      </c>
      <c r="V19" s="1920">
        <v>110000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291035.9375</v>
      </c>
      <c r="C20" s="1945"/>
      <c r="D20" s="290">
        <f>D19*66.41</f>
        <v>6641</v>
      </c>
      <c r="E20" s="290">
        <f>27.9368*E19</f>
        <v>8381.0400000000009</v>
      </c>
      <c r="F20" s="290">
        <f>18.31*F19</f>
        <v>165156.19999999998</v>
      </c>
      <c r="G20" s="290">
        <f>27.9368*G19</f>
        <v>16203.344000000001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>
        <v>32300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556904.52150000003</v>
      </c>
      <c r="C21" s="1951"/>
      <c r="O21" s="1514"/>
      <c r="P21" s="1514"/>
      <c r="Q21" s="1514"/>
      <c r="R21" s="1514"/>
      <c r="T21" s="1952" t="s">
        <v>487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110000</v>
      </c>
      <c r="D22" s="1949">
        <v>110000</v>
      </c>
      <c r="E22" s="1949">
        <v>130000</v>
      </c>
      <c r="F22" s="1949">
        <f>C22-D22+E22</f>
        <v>130000</v>
      </c>
      <c r="G22" s="1514"/>
      <c r="Q22" s="1514"/>
      <c r="R22" s="1514"/>
      <c r="T22" s="1909" t="s">
        <v>83</v>
      </c>
      <c r="U22" s="50" t="s">
        <v>60</v>
      </c>
      <c r="V22" s="1920">
        <v>174160</v>
      </c>
      <c r="W22" s="1920"/>
      <c r="X22" s="1920"/>
      <c r="Y22" s="1927"/>
    </row>
    <row r="23" spans="1:25" ht="39.75" customHeight="1" x14ac:dyDescent="0.25">
      <c r="A23" s="1514"/>
      <c r="B23" s="1947"/>
      <c r="C23" s="1950"/>
      <c r="D23" s="1950"/>
      <c r="E23" s="1950"/>
      <c r="F23" s="1950"/>
      <c r="G23" s="1514"/>
      <c r="Q23" s="1514"/>
      <c r="R23" s="1514"/>
      <c r="T23" s="1910"/>
      <c r="U23" s="50" t="s">
        <v>61</v>
      </c>
      <c r="V23" s="1920">
        <v>142300</v>
      </c>
      <c r="W23" s="1920"/>
      <c r="X23" s="1920"/>
      <c r="Y23" s="1927"/>
    </row>
    <row r="24" spans="1:25" ht="48" customHeight="1" x14ac:dyDescent="0.25">
      <c r="A24" s="1514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514"/>
      <c r="Q24" s="1514"/>
      <c r="R24" s="1514"/>
      <c r="T24" s="1893" t="s">
        <v>47</v>
      </c>
      <c r="U24" s="51" t="s">
        <v>62</v>
      </c>
      <c r="V24" s="1921">
        <f>V14+V16+V17-V18-V19-V20-V22+V23-V21</f>
        <v>7592.6900000000023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65352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514"/>
      <c r="J33" s="1514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655D-A107-42D5-BEC1-2CA19540D58C}">
  <sheetPr>
    <pageSetUpPr fitToPage="1"/>
  </sheetPr>
  <dimension ref="A1:Y33"/>
  <sheetViews>
    <sheetView topLeftCell="A6" zoomScale="70" zoomScaleNormal="70" zoomScaleSheetLayoutView="100" zoomScalePageLayoutView="68" workbookViewId="0">
      <selection activeCell="K28" sqref="K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1900" t="s">
        <v>501</v>
      </c>
      <c r="U3" s="1900"/>
      <c r="V3" s="1900"/>
      <c r="W3" s="1900"/>
      <c r="X3" s="1900"/>
      <c r="Y3" s="1900"/>
    </row>
    <row r="4" spans="1:25" s="151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515" customFormat="1" ht="25.5" customHeight="1" x14ac:dyDescent="0.25">
      <c r="A5" s="1901"/>
      <c r="B5" s="1901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516" t="s">
        <v>71</v>
      </c>
      <c r="C6" s="1519">
        <v>32942</v>
      </c>
      <c r="D6" s="1520">
        <f t="shared" ref="D6:D11" si="0">0.9725*C6</f>
        <v>32036.095000000001</v>
      </c>
      <c r="E6" s="1519"/>
      <c r="F6" s="1520">
        <f>67.1*E6</f>
        <v>0</v>
      </c>
      <c r="G6" s="1519">
        <v>40</v>
      </c>
      <c r="H6" s="1519">
        <f>28.2*G6</f>
        <v>1128</v>
      </c>
      <c r="I6" s="1519">
        <v>50</v>
      </c>
      <c r="J6" s="1519">
        <f>18.5*I6</f>
        <v>925</v>
      </c>
      <c r="K6" s="1519"/>
      <c r="L6" s="1520">
        <f>28.2368*K6</f>
        <v>0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34089.095000000001</v>
      </c>
    </row>
    <row r="7" spans="1:25" ht="31.5" customHeight="1" x14ac:dyDescent="0.25">
      <c r="A7" s="12">
        <v>1984225578</v>
      </c>
      <c r="B7" s="1516" t="s">
        <v>72</v>
      </c>
      <c r="C7" s="1519">
        <v>57251</v>
      </c>
      <c r="D7" s="1520">
        <f t="shared" si="0"/>
        <v>55676.597500000003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/>
      <c r="J7" s="1519">
        <f t="shared" ref="J7:J11" si="4">18.5*I7</f>
        <v>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55676.597500000003</v>
      </c>
    </row>
    <row r="8" spans="1:25" ht="35.25" customHeight="1" x14ac:dyDescent="0.25">
      <c r="A8" s="12">
        <v>1967020280</v>
      </c>
      <c r="B8" s="1516" t="s">
        <v>427</v>
      </c>
      <c r="C8" s="1519">
        <v>40039</v>
      </c>
      <c r="D8" s="1520">
        <f t="shared" si="0"/>
        <v>38937.927499999998</v>
      </c>
      <c r="E8" s="1519"/>
      <c r="F8" s="1519">
        <f t="shared" si="2"/>
        <v>0</v>
      </c>
      <c r="G8" s="1519">
        <v>10</v>
      </c>
      <c r="H8" s="1520">
        <f t="shared" si="3"/>
        <v>282</v>
      </c>
      <c r="I8" s="1519">
        <v>310</v>
      </c>
      <c r="J8" s="1519">
        <f t="shared" si="4"/>
        <v>5735</v>
      </c>
      <c r="K8" s="1519">
        <v>30</v>
      </c>
      <c r="L8" s="1520">
        <f t="shared" si="5"/>
        <v>847.10399999999993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45802.031499999997</v>
      </c>
    </row>
    <row r="9" spans="1:25" ht="38.25" customHeight="1" x14ac:dyDescent="0.25">
      <c r="A9" s="12">
        <v>1984225580</v>
      </c>
      <c r="B9" s="1516" t="s">
        <v>75</v>
      </c>
      <c r="C9" s="1519">
        <v>55660</v>
      </c>
      <c r="D9" s="1520">
        <f t="shared" si="0"/>
        <v>54129.35</v>
      </c>
      <c r="E9" s="1519"/>
      <c r="F9" s="1519">
        <f t="shared" si="2"/>
        <v>0</v>
      </c>
      <c r="G9" s="1519"/>
      <c r="H9" s="1519">
        <f t="shared" si="3"/>
        <v>0</v>
      </c>
      <c r="I9" s="1519">
        <v>550</v>
      </c>
      <c r="J9" s="1519">
        <f t="shared" si="4"/>
        <v>10175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64304.35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185892</v>
      </c>
      <c r="D12" s="18">
        <f t="shared" si="12"/>
        <v>180779.97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910</v>
      </c>
      <c r="J12" s="18">
        <f t="shared" si="12"/>
        <v>16835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199872.07399999999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1958" t="s">
        <v>479</v>
      </c>
      <c r="R14" s="1959"/>
      <c r="S14" s="1524" t="s">
        <v>401</v>
      </c>
      <c r="T14" s="1893" t="s">
        <v>46</v>
      </c>
      <c r="U14" s="1516" t="s">
        <v>176</v>
      </c>
      <c r="V14" s="1918">
        <v>7593</v>
      </c>
      <c r="W14" s="1926"/>
      <c r="X14" s="1919"/>
    </row>
    <row r="15" spans="1:25" ht="22.5" customHeight="1" x14ac:dyDescent="0.25">
      <c r="A15" s="100" t="s">
        <v>38</v>
      </c>
      <c r="B15" s="1918">
        <v>302375</v>
      </c>
      <c r="C15" s="1919"/>
      <c r="D15" s="1521">
        <v>100</v>
      </c>
      <c r="E15" s="1521">
        <v>300</v>
      </c>
      <c r="F15" s="1521">
        <v>9020</v>
      </c>
      <c r="G15" s="1521">
        <v>580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1918">
        <v>10</v>
      </c>
      <c r="R15" s="1919"/>
      <c r="S15" s="1516">
        <v>2</v>
      </c>
      <c r="T15" s="1893"/>
      <c r="U15" s="1516" t="s">
        <v>64</v>
      </c>
      <c r="V15" s="1920">
        <v>65352</v>
      </c>
      <c r="W15" s="1920"/>
      <c r="X15" s="1920"/>
    </row>
    <row r="16" spans="1:25" ht="24.75" customHeight="1" x14ac:dyDescent="0.25">
      <c r="A16" s="100" t="s">
        <v>39</v>
      </c>
      <c r="B16" s="1918">
        <v>435739</v>
      </c>
      <c r="C16" s="1919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1920"/>
      <c r="R16" s="1920"/>
      <c r="S16" s="1521"/>
      <c r="T16" s="1912" t="s">
        <v>55</v>
      </c>
      <c r="U16" s="1912"/>
      <c r="V16" s="1925">
        <f>Y12</f>
        <v>199872.07399999999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1883"/>
      <c r="R17" s="1883"/>
      <c r="S17" s="1518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185892</v>
      </c>
      <c r="C18" s="1919"/>
      <c r="D18" s="1522">
        <f>E12</f>
        <v>0</v>
      </c>
      <c r="E18" s="1522">
        <f>G12</f>
        <v>50</v>
      </c>
      <c r="F18" s="1522">
        <f>I12</f>
        <v>910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1920"/>
      <c r="R18" s="1920"/>
      <c r="S18" s="1516"/>
      <c r="T18" s="1912" t="s">
        <v>57</v>
      </c>
      <c r="U18" s="1912"/>
      <c r="V18" s="1920">
        <v>2610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552222</v>
      </c>
      <c r="C19" s="1919"/>
      <c r="D19" s="1521">
        <f>D15+D16+D17-D18</f>
        <v>100</v>
      </c>
      <c r="E19" s="1521">
        <f t="shared" ref="E19:N19" si="13">E15+E16+E17-E18</f>
        <v>250</v>
      </c>
      <c r="F19" s="1521">
        <f t="shared" si="13"/>
        <v>8110</v>
      </c>
      <c r="G19" s="1521">
        <f t="shared" si="13"/>
        <v>550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1918">
        <f t="shared" si="14"/>
        <v>10</v>
      </c>
      <c r="R19" s="1919"/>
      <c r="S19" s="1516">
        <f>S15+S16-S17-S18</f>
        <v>2</v>
      </c>
      <c r="T19" s="1914" t="s">
        <v>48</v>
      </c>
      <c r="U19" s="49" t="s">
        <v>58</v>
      </c>
      <c r="V19" s="1920">
        <v>130000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531513.67500000005</v>
      </c>
      <c r="C20" s="1945"/>
      <c r="D20" s="290">
        <f>D19*66.41</f>
        <v>6641</v>
      </c>
      <c r="E20" s="290">
        <f>27.9368*E19</f>
        <v>6984.2000000000007</v>
      </c>
      <c r="F20" s="290">
        <f>18.31*F19</f>
        <v>148494.09999999998</v>
      </c>
      <c r="G20" s="290">
        <f>27.9368*G19</f>
        <v>15365.240000000002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>
        <v>19400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778485.21499999997</v>
      </c>
      <c r="C21" s="1951"/>
      <c r="O21" s="1525"/>
      <c r="P21" s="1525"/>
      <c r="Q21" s="1525"/>
      <c r="R21" s="1525"/>
      <c r="T21" s="1952" t="s">
        <v>487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130000</v>
      </c>
      <c r="D22" s="1949">
        <v>130000</v>
      </c>
      <c r="E22" s="1949">
        <v>400000</v>
      </c>
      <c r="F22" s="1949">
        <f>C22-D22+E22</f>
        <v>400000</v>
      </c>
      <c r="G22" s="1525"/>
      <c r="Q22" s="1525"/>
      <c r="R22" s="1525"/>
      <c r="T22" s="1909" t="s">
        <v>83</v>
      </c>
      <c r="U22" s="50" t="s">
        <v>60</v>
      </c>
      <c r="V22" s="1920">
        <v>162840</v>
      </c>
      <c r="W22" s="1920"/>
      <c r="X22" s="1920"/>
      <c r="Y22" s="1927"/>
    </row>
    <row r="23" spans="1:25" ht="39.75" customHeight="1" x14ac:dyDescent="0.25">
      <c r="A23" s="1525"/>
      <c r="B23" s="1947"/>
      <c r="C23" s="1950"/>
      <c r="D23" s="1950"/>
      <c r="E23" s="1950"/>
      <c r="F23" s="1950"/>
      <c r="G23" s="1525"/>
      <c r="Q23" s="1525"/>
      <c r="R23" s="1525"/>
      <c r="T23" s="1910"/>
      <c r="U23" s="50" t="s">
        <v>61</v>
      </c>
      <c r="V23" s="1920">
        <v>149400</v>
      </c>
      <c r="W23" s="1920"/>
      <c r="X23" s="1920"/>
      <c r="Y23" s="1927"/>
    </row>
    <row r="24" spans="1:25" ht="48" customHeight="1" x14ac:dyDescent="0.25">
      <c r="A24" s="1525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1893" t="s">
        <v>47</v>
      </c>
      <c r="U24" s="51" t="s">
        <v>62</v>
      </c>
      <c r="V24" s="1921">
        <f>V14+V16+V17-V18-V19-V20-V22+V23-V21</f>
        <v>42015.073999999993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78792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525"/>
      <c r="J33" s="1525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C639-D1CF-4DFE-ABFA-A20D132E01FC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1900" t="s">
        <v>502</v>
      </c>
      <c r="U3" s="1900"/>
      <c r="V3" s="1900"/>
      <c r="W3" s="1900"/>
      <c r="X3" s="1900"/>
      <c r="Y3" s="1900"/>
    </row>
    <row r="4" spans="1:25" s="151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515" customFormat="1" ht="25.5" customHeight="1" x14ac:dyDescent="0.25">
      <c r="A5" s="1901"/>
      <c r="B5" s="1901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516" t="s">
        <v>71</v>
      </c>
      <c r="C6" s="1519">
        <v>28987</v>
      </c>
      <c r="D6" s="1520">
        <f t="shared" ref="D6:D11" si="0">0.9725*C6</f>
        <v>28189.857500000002</v>
      </c>
      <c r="E6" s="1519">
        <v>20</v>
      </c>
      <c r="F6" s="1520">
        <f>67.1*E6</f>
        <v>1342</v>
      </c>
      <c r="G6" s="1519">
        <v>20</v>
      </c>
      <c r="H6" s="1519">
        <f>28.2*G6</f>
        <v>564</v>
      </c>
      <c r="I6" s="1519">
        <v>330</v>
      </c>
      <c r="J6" s="1519">
        <f>18.5*I6</f>
        <v>6105</v>
      </c>
      <c r="K6" s="1519">
        <v>30</v>
      </c>
      <c r="L6" s="1520">
        <f>28.2368*K6</f>
        <v>847.10399999999993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37047.961499999998</v>
      </c>
    </row>
    <row r="7" spans="1:25" ht="31.5" customHeight="1" x14ac:dyDescent="0.25">
      <c r="A7" s="12">
        <v>1984225578</v>
      </c>
      <c r="B7" s="1516" t="s">
        <v>72</v>
      </c>
      <c r="C7" s="1519">
        <v>24092</v>
      </c>
      <c r="D7" s="1520">
        <f t="shared" si="0"/>
        <v>23429.47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>
        <v>200</v>
      </c>
      <c r="J7" s="1519">
        <f t="shared" ref="J7:J11" si="4">18.5*I7</f>
        <v>3700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27129.47</v>
      </c>
    </row>
    <row r="8" spans="1:25" ht="35.25" customHeight="1" x14ac:dyDescent="0.25">
      <c r="A8" s="12">
        <v>1967020280</v>
      </c>
      <c r="B8" s="1516" t="s">
        <v>427</v>
      </c>
      <c r="C8" s="1519">
        <v>28379</v>
      </c>
      <c r="D8" s="1520">
        <f t="shared" si="0"/>
        <v>27598.577499999999</v>
      </c>
      <c r="E8" s="1519"/>
      <c r="F8" s="1519">
        <f t="shared" si="2"/>
        <v>0</v>
      </c>
      <c r="G8" s="1519">
        <v>20</v>
      </c>
      <c r="H8" s="1520">
        <f t="shared" si="3"/>
        <v>564</v>
      </c>
      <c r="I8" s="1519">
        <v>960</v>
      </c>
      <c r="J8" s="1519">
        <f t="shared" si="4"/>
        <v>17760</v>
      </c>
      <c r="K8" s="1519"/>
      <c r="L8" s="1520">
        <f t="shared" si="5"/>
        <v>0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45922.577499999999</v>
      </c>
    </row>
    <row r="9" spans="1:25" ht="38.25" customHeight="1" x14ac:dyDescent="0.25">
      <c r="A9" s="12">
        <v>1984225580</v>
      </c>
      <c r="B9" s="1516" t="s">
        <v>75</v>
      </c>
      <c r="C9" s="1519">
        <v>29800</v>
      </c>
      <c r="D9" s="1520">
        <f t="shared" si="0"/>
        <v>28980.5</v>
      </c>
      <c r="E9" s="1519"/>
      <c r="F9" s="1519">
        <f t="shared" si="2"/>
        <v>0</v>
      </c>
      <c r="G9" s="1519"/>
      <c r="H9" s="1519">
        <f t="shared" si="3"/>
        <v>0</v>
      </c>
      <c r="I9" s="1519">
        <v>850</v>
      </c>
      <c r="J9" s="1519">
        <f t="shared" si="4"/>
        <v>15725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44705.5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111258</v>
      </c>
      <c r="D12" s="18">
        <f t="shared" si="12"/>
        <v>108198.405</v>
      </c>
      <c r="E12" s="18">
        <f t="shared" si="12"/>
        <v>20</v>
      </c>
      <c r="F12" s="18">
        <f t="shared" si="12"/>
        <v>1342</v>
      </c>
      <c r="G12" s="18">
        <f t="shared" si="12"/>
        <v>40</v>
      </c>
      <c r="H12" s="18">
        <f t="shared" si="12"/>
        <v>1128</v>
      </c>
      <c r="I12" s="18">
        <f t="shared" si="12"/>
        <v>2340</v>
      </c>
      <c r="J12" s="18">
        <f t="shared" si="12"/>
        <v>43290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154805.50899999999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1958" t="s">
        <v>479</v>
      </c>
      <c r="R14" s="1959"/>
      <c r="S14" s="1524" t="s">
        <v>401</v>
      </c>
      <c r="T14" s="1893" t="s">
        <v>46</v>
      </c>
      <c r="U14" s="1516" t="s">
        <v>176</v>
      </c>
      <c r="V14" s="1918">
        <v>42015</v>
      </c>
      <c r="W14" s="1926"/>
      <c r="X14" s="1919"/>
    </row>
    <row r="15" spans="1:25" ht="22.5" customHeight="1" x14ac:dyDescent="0.25">
      <c r="A15" s="100" t="s">
        <v>38</v>
      </c>
      <c r="B15" s="1918">
        <v>552222</v>
      </c>
      <c r="C15" s="1919"/>
      <c r="D15" s="1521">
        <v>100</v>
      </c>
      <c r="E15" s="1521">
        <v>250</v>
      </c>
      <c r="F15" s="1521">
        <v>8110</v>
      </c>
      <c r="G15" s="1521">
        <v>550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1918">
        <v>10</v>
      </c>
      <c r="R15" s="1919"/>
      <c r="S15" s="1516">
        <v>2</v>
      </c>
      <c r="T15" s="1893"/>
      <c r="U15" s="1516" t="s">
        <v>64</v>
      </c>
      <c r="V15" s="1920">
        <v>78792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1920"/>
      <c r="R16" s="1920"/>
      <c r="S16" s="1521"/>
      <c r="T16" s="1912" t="s">
        <v>55</v>
      </c>
      <c r="U16" s="1912"/>
      <c r="V16" s="1925">
        <f>Y12</f>
        <v>154805.50899999999</v>
      </c>
      <c r="W16" s="1925"/>
      <c r="X16" s="1920"/>
    </row>
    <row r="17" spans="1:25" ht="28.5" customHeight="1" x14ac:dyDescent="0.25">
      <c r="A17" s="101" t="s">
        <v>44</v>
      </c>
      <c r="B17" s="1918">
        <v>19403</v>
      </c>
      <c r="C17" s="1919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1883"/>
      <c r="R17" s="1883"/>
      <c r="S17" s="1518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111258</v>
      </c>
      <c r="C18" s="1919"/>
      <c r="D18" s="1522">
        <f>E12</f>
        <v>20</v>
      </c>
      <c r="E18" s="1522">
        <f>G12</f>
        <v>40</v>
      </c>
      <c r="F18" s="1522">
        <f>I12</f>
        <v>2340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1920"/>
      <c r="R18" s="1920"/>
      <c r="S18" s="1516"/>
      <c r="T18" s="1912" t="s">
        <v>57</v>
      </c>
      <c r="U18" s="1912"/>
      <c r="V18" s="1920">
        <v>920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460367</v>
      </c>
      <c r="C19" s="1919"/>
      <c r="D19" s="1521">
        <f>D15+D16+D17-D18</f>
        <v>80</v>
      </c>
      <c r="E19" s="1521">
        <f t="shared" ref="E19:N19" si="13">E15+E16+E17-E18</f>
        <v>210</v>
      </c>
      <c r="F19" s="1521">
        <f t="shared" si="13"/>
        <v>5770</v>
      </c>
      <c r="G19" s="1521">
        <f t="shared" si="13"/>
        <v>520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1918">
        <f t="shared" si="14"/>
        <v>10</v>
      </c>
      <c r="R19" s="1919"/>
      <c r="S19" s="1516">
        <f>S15+S16-S17-S18</f>
        <v>2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443103.23749999999</v>
      </c>
      <c r="C20" s="1945"/>
      <c r="D20" s="290">
        <f>D19*66.41</f>
        <v>5312.7999999999993</v>
      </c>
      <c r="E20" s="290">
        <f>27.9368*E19</f>
        <v>5866.7280000000001</v>
      </c>
      <c r="F20" s="290">
        <f>18.31*F19</f>
        <v>105648.7</v>
      </c>
      <c r="G20" s="290">
        <f>27.9368*G19</f>
        <v>14527.136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643945.60149999999</v>
      </c>
      <c r="C21" s="1951"/>
      <c r="O21" s="1525"/>
      <c r="P21" s="1525"/>
      <c r="Q21" s="1525"/>
      <c r="R21" s="1525"/>
      <c r="T21" s="1952" t="s">
        <v>487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/>
      <c r="E22" s="1949"/>
      <c r="F22" s="1949">
        <f>C22-D22+E22</f>
        <v>400000</v>
      </c>
      <c r="G22" s="1525"/>
      <c r="Q22" s="1525"/>
      <c r="R22" s="1525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1525"/>
      <c r="B23" s="1947"/>
      <c r="C23" s="1950"/>
      <c r="D23" s="1950"/>
      <c r="E23" s="1950"/>
      <c r="F23" s="1950"/>
      <c r="G23" s="1525"/>
      <c r="Q23" s="1525"/>
      <c r="R23" s="1525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1525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1893" t="s">
        <v>47</v>
      </c>
      <c r="U24" s="51" t="s">
        <v>62</v>
      </c>
      <c r="V24" s="1921">
        <f>V14+V16+V17-V18-V19-V20-V22+V23-V21</f>
        <v>195900.50899999999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78792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525"/>
      <c r="J33" s="1525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38851-9C0E-476A-B0CE-6A1E536B65A9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M32" sqref="M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526"/>
      <c r="B3" s="1526"/>
      <c r="C3" s="1526"/>
      <c r="D3" s="1526"/>
      <c r="E3" s="1526"/>
      <c r="F3" s="1526"/>
      <c r="G3" s="1526"/>
      <c r="H3" s="1526"/>
      <c r="I3" s="1526"/>
      <c r="J3" s="1526"/>
      <c r="K3" s="1526"/>
      <c r="L3" s="1526"/>
      <c r="M3" s="1526"/>
      <c r="N3" s="1526"/>
      <c r="O3" s="1526"/>
      <c r="P3" s="1526"/>
      <c r="Q3" s="1526"/>
      <c r="R3" s="1526"/>
      <c r="S3" s="1526"/>
      <c r="T3" s="1900" t="s">
        <v>503</v>
      </c>
      <c r="U3" s="1900"/>
      <c r="V3" s="1900"/>
      <c r="W3" s="1900"/>
      <c r="X3" s="1900"/>
      <c r="Y3" s="1900"/>
    </row>
    <row r="4" spans="1:25" s="1526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526" customFormat="1" ht="25.5" customHeight="1" x14ac:dyDescent="0.25">
      <c r="A5" s="1901"/>
      <c r="B5" s="1901"/>
      <c r="C5" s="1528" t="s">
        <v>42</v>
      </c>
      <c r="D5" s="1528" t="s">
        <v>43</v>
      </c>
      <c r="E5" s="1528" t="s">
        <v>42</v>
      </c>
      <c r="F5" s="1528" t="s">
        <v>43</v>
      </c>
      <c r="G5" s="1528" t="s">
        <v>42</v>
      </c>
      <c r="H5" s="1528" t="s">
        <v>43</v>
      </c>
      <c r="I5" s="1528" t="s">
        <v>42</v>
      </c>
      <c r="J5" s="1528" t="s">
        <v>43</v>
      </c>
      <c r="K5" s="1528" t="s">
        <v>42</v>
      </c>
      <c r="L5" s="1528" t="s">
        <v>43</v>
      </c>
      <c r="M5" s="1528" t="s">
        <v>42</v>
      </c>
      <c r="N5" s="1528" t="s">
        <v>43</v>
      </c>
      <c r="O5" s="1528" t="s">
        <v>42</v>
      </c>
      <c r="P5" s="1528" t="s">
        <v>43</v>
      </c>
      <c r="Q5" s="1528" t="s">
        <v>42</v>
      </c>
      <c r="R5" s="15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527" t="s">
        <v>71</v>
      </c>
      <c r="C6" s="1530">
        <v>45907</v>
      </c>
      <c r="D6" s="1531">
        <f t="shared" ref="D6:D11" si="0">0.9725*C6</f>
        <v>44644.557500000003</v>
      </c>
      <c r="E6" s="1530"/>
      <c r="F6" s="1531">
        <f>67.1*E6</f>
        <v>0</v>
      </c>
      <c r="G6" s="1530"/>
      <c r="H6" s="1530">
        <f>28.2*G6</f>
        <v>0</v>
      </c>
      <c r="I6" s="1530">
        <v>110</v>
      </c>
      <c r="J6" s="1530">
        <f>18.5*I6</f>
        <v>2035</v>
      </c>
      <c r="K6" s="1530"/>
      <c r="L6" s="1531">
        <f>28.2368*K6</f>
        <v>0</v>
      </c>
      <c r="M6" s="1530"/>
      <c r="N6" s="1531">
        <f>M6*47.6525</f>
        <v>0</v>
      </c>
      <c r="O6" s="1530"/>
      <c r="P6" s="1531">
        <f>O6*8.9</f>
        <v>0</v>
      </c>
      <c r="Q6" s="1531"/>
      <c r="R6" s="1531">
        <f>241*Q6</f>
        <v>0</v>
      </c>
      <c r="S6" s="1530"/>
      <c r="T6" s="1530">
        <f>241*S6</f>
        <v>0</v>
      </c>
      <c r="U6" s="1530"/>
      <c r="V6" s="1530">
        <f>332*U6</f>
        <v>0</v>
      </c>
      <c r="W6" s="1530"/>
      <c r="X6" s="19">
        <f>W6*100</f>
        <v>0</v>
      </c>
      <c r="Y6" s="20">
        <f t="shared" ref="Y6:Y12" si="1">D6+F6+H6+J6+L6+N6+P6+R6+T6+V6+X6</f>
        <v>46679.557500000003</v>
      </c>
    </row>
    <row r="7" spans="1:25" ht="31.5" customHeight="1" x14ac:dyDescent="0.25">
      <c r="A7" s="12">
        <v>1984225578</v>
      </c>
      <c r="B7" s="1527" t="s">
        <v>72</v>
      </c>
      <c r="C7" s="1530">
        <v>26901</v>
      </c>
      <c r="D7" s="1531">
        <f t="shared" si="0"/>
        <v>26161.2225</v>
      </c>
      <c r="E7" s="1530"/>
      <c r="F7" s="1530">
        <f t="shared" ref="F7:F11" si="2">67.1*E7</f>
        <v>0</v>
      </c>
      <c r="G7" s="1530"/>
      <c r="H7" s="1530">
        <f t="shared" ref="H7:H11" si="3">28.2*G7</f>
        <v>0</v>
      </c>
      <c r="I7" s="1530">
        <v>150</v>
      </c>
      <c r="J7" s="1530">
        <f t="shared" ref="J7:J11" si="4">18.5*I7</f>
        <v>2775</v>
      </c>
      <c r="K7" s="1530"/>
      <c r="L7" s="1531">
        <f t="shared" ref="L7:L11" si="5">28.2368*K7</f>
        <v>0</v>
      </c>
      <c r="M7" s="1530"/>
      <c r="N7" s="1531">
        <f t="shared" ref="N7:N11" si="6">M7*47.6525</f>
        <v>0</v>
      </c>
      <c r="O7" s="1530"/>
      <c r="P7" s="1531">
        <f t="shared" ref="P7:P11" si="7">O7*8.9</f>
        <v>0</v>
      </c>
      <c r="Q7" s="1531"/>
      <c r="R7" s="1531">
        <f t="shared" ref="R7:R11" si="8">241*Q7</f>
        <v>0</v>
      </c>
      <c r="S7" s="1530"/>
      <c r="T7" s="1530">
        <f t="shared" ref="T7:T10" si="9">241*S7</f>
        <v>0</v>
      </c>
      <c r="U7" s="1530">
        <v>50</v>
      </c>
      <c r="V7" s="1530">
        <f t="shared" ref="V7:V11" si="10">332*U7</f>
        <v>16600</v>
      </c>
      <c r="W7" s="1530"/>
      <c r="X7" s="19">
        <f t="shared" ref="X7:X11" si="11">W7*100</f>
        <v>0</v>
      </c>
      <c r="Y7" s="20">
        <f t="shared" si="1"/>
        <v>45536.222500000003</v>
      </c>
    </row>
    <row r="8" spans="1:25" ht="35.25" customHeight="1" x14ac:dyDescent="0.25">
      <c r="A8" s="12">
        <v>1967020280</v>
      </c>
      <c r="B8" s="1527" t="s">
        <v>427</v>
      </c>
      <c r="C8" s="1530">
        <v>56827</v>
      </c>
      <c r="D8" s="1531">
        <f t="shared" si="0"/>
        <v>55264.2575</v>
      </c>
      <c r="E8" s="1530"/>
      <c r="F8" s="1530">
        <f t="shared" si="2"/>
        <v>0</v>
      </c>
      <c r="G8" s="1530"/>
      <c r="H8" s="1531">
        <f t="shared" si="3"/>
        <v>0</v>
      </c>
      <c r="I8" s="1530">
        <v>330</v>
      </c>
      <c r="J8" s="1530">
        <f t="shared" si="4"/>
        <v>6105</v>
      </c>
      <c r="K8" s="1530">
        <v>40</v>
      </c>
      <c r="L8" s="1531">
        <f t="shared" si="5"/>
        <v>1129.472</v>
      </c>
      <c r="M8" s="1530"/>
      <c r="N8" s="1531">
        <f t="shared" si="6"/>
        <v>0</v>
      </c>
      <c r="O8" s="1530"/>
      <c r="P8" s="1531">
        <f t="shared" si="7"/>
        <v>0</v>
      </c>
      <c r="Q8" s="1531"/>
      <c r="R8" s="1531">
        <f t="shared" si="8"/>
        <v>0</v>
      </c>
      <c r="S8" s="1530"/>
      <c r="T8" s="1530">
        <f t="shared" si="9"/>
        <v>0</v>
      </c>
      <c r="U8" s="1530">
        <v>1</v>
      </c>
      <c r="V8" s="1530">
        <f t="shared" si="10"/>
        <v>332</v>
      </c>
      <c r="W8" s="1530">
        <v>1</v>
      </c>
      <c r="X8" s="19">
        <f t="shared" si="11"/>
        <v>100</v>
      </c>
      <c r="Y8" s="20">
        <f t="shared" si="1"/>
        <v>62930.729500000001</v>
      </c>
    </row>
    <row r="9" spans="1:25" ht="38.25" customHeight="1" x14ac:dyDescent="0.25">
      <c r="A9" s="12">
        <v>1984225580</v>
      </c>
      <c r="B9" s="1527" t="s">
        <v>75</v>
      </c>
      <c r="C9" s="1530">
        <v>33372</v>
      </c>
      <c r="D9" s="1531">
        <f t="shared" si="0"/>
        <v>32454.27</v>
      </c>
      <c r="E9" s="1530"/>
      <c r="F9" s="1530">
        <f t="shared" si="2"/>
        <v>0</v>
      </c>
      <c r="G9" s="1530"/>
      <c r="H9" s="1530">
        <f t="shared" si="3"/>
        <v>0</v>
      </c>
      <c r="I9" s="1530">
        <v>650</v>
      </c>
      <c r="J9" s="1530">
        <f t="shared" si="4"/>
        <v>12025</v>
      </c>
      <c r="K9" s="1530">
        <v>250</v>
      </c>
      <c r="L9" s="1531">
        <f t="shared" si="5"/>
        <v>7059.2</v>
      </c>
      <c r="M9" s="1530"/>
      <c r="N9" s="1531">
        <f t="shared" si="6"/>
        <v>0</v>
      </c>
      <c r="O9" s="1530"/>
      <c r="P9" s="1531">
        <f t="shared" si="7"/>
        <v>0</v>
      </c>
      <c r="Q9" s="1531"/>
      <c r="R9" s="1531">
        <f t="shared" si="8"/>
        <v>0</v>
      </c>
      <c r="S9" s="1530"/>
      <c r="T9" s="1530">
        <f t="shared" si="9"/>
        <v>0</v>
      </c>
      <c r="U9" s="1530">
        <v>25</v>
      </c>
      <c r="V9" s="1530">
        <f t="shared" si="10"/>
        <v>8300</v>
      </c>
      <c r="W9" s="1530"/>
      <c r="X9" s="19">
        <f t="shared" si="11"/>
        <v>0</v>
      </c>
      <c r="Y9" s="20">
        <f t="shared" si="1"/>
        <v>59838.47</v>
      </c>
    </row>
    <row r="10" spans="1:25" ht="35.25" customHeight="1" x14ac:dyDescent="0.25">
      <c r="A10" s="12">
        <v>1409935199</v>
      </c>
      <c r="C10" s="1530">
        <v>2312</v>
      </c>
      <c r="D10" s="1531">
        <f t="shared" si="0"/>
        <v>2248.42</v>
      </c>
      <c r="E10" s="1530"/>
      <c r="F10" s="1530">
        <f t="shared" si="2"/>
        <v>0</v>
      </c>
      <c r="G10" s="1530"/>
      <c r="H10" s="1530">
        <f t="shared" si="3"/>
        <v>0</v>
      </c>
      <c r="I10" s="1530">
        <v>2000</v>
      </c>
      <c r="J10" s="1530">
        <f t="shared" si="4"/>
        <v>37000</v>
      </c>
      <c r="K10" s="1530"/>
      <c r="L10" s="1531">
        <f t="shared" si="5"/>
        <v>0</v>
      </c>
      <c r="M10" s="1530"/>
      <c r="N10" s="1531">
        <f t="shared" si="6"/>
        <v>0</v>
      </c>
      <c r="O10" s="1530"/>
      <c r="P10" s="1531">
        <f t="shared" si="7"/>
        <v>0</v>
      </c>
      <c r="Q10" s="1531"/>
      <c r="R10" s="1531">
        <f t="shared" si="8"/>
        <v>0</v>
      </c>
      <c r="S10" s="1530"/>
      <c r="T10" s="1530">
        <f t="shared" si="9"/>
        <v>0</v>
      </c>
      <c r="U10" s="1530"/>
      <c r="V10" s="1530">
        <f t="shared" si="10"/>
        <v>0</v>
      </c>
      <c r="W10" s="1530"/>
      <c r="X10" s="19">
        <f t="shared" si="11"/>
        <v>0</v>
      </c>
      <c r="Y10" s="20">
        <f t="shared" si="1"/>
        <v>39248.42</v>
      </c>
    </row>
    <row r="11" spans="1:25" ht="37.5" customHeight="1" x14ac:dyDescent="0.25">
      <c r="A11" s="12"/>
      <c r="B11" s="1529"/>
      <c r="C11" s="1530"/>
      <c r="D11" s="1531">
        <f t="shared" si="0"/>
        <v>0</v>
      </c>
      <c r="E11" s="1530"/>
      <c r="F11" s="1530">
        <f t="shared" si="2"/>
        <v>0</v>
      </c>
      <c r="G11" s="1530"/>
      <c r="H11" s="1530">
        <f t="shared" si="3"/>
        <v>0</v>
      </c>
      <c r="I11" s="1530"/>
      <c r="J11" s="1530">
        <f t="shared" si="4"/>
        <v>0</v>
      </c>
      <c r="K11" s="1530"/>
      <c r="L11" s="1531">
        <f t="shared" si="5"/>
        <v>0</v>
      </c>
      <c r="M11" s="1530"/>
      <c r="N11" s="1531">
        <f t="shared" si="6"/>
        <v>0</v>
      </c>
      <c r="O11" s="1530"/>
      <c r="P11" s="1531">
        <f t="shared" si="7"/>
        <v>0</v>
      </c>
      <c r="Q11" s="1531"/>
      <c r="R11" s="1531">
        <f t="shared" si="8"/>
        <v>0</v>
      </c>
      <c r="S11" s="1530"/>
      <c r="T11" s="1530">
        <f>341*S11</f>
        <v>0</v>
      </c>
      <c r="U11" s="1530"/>
      <c r="V11" s="1530">
        <f t="shared" si="10"/>
        <v>0</v>
      </c>
      <c r="W11" s="1530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165319</v>
      </c>
      <c r="D12" s="18">
        <f t="shared" si="12"/>
        <v>160772.72750000001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3240</v>
      </c>
      <c r="J12" s="18">
        <f t="shared" si="12"/>
        <v>59940</v>
      </c>
      <c r="K12" s="18">
        <f t="shared" si="12"/>
        <v>290</v>
      </c>
      <c r="L12" s="18">
        <f t="shared" si="12"/>
        <v>8188.6719999999996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76</v>
      </c>
      <c r="V12" s="18">
        <f t="shared" si="12"/>
        <v>25232</v>
      </c>
      <c r="W12" s="18">
        <f t="shared" si="12"/>
        <v>1</v>
      </c>
      <c r="X12" s="18">
        <f t="shared" si="12"/>
        <v>100</v>
      </c>
      <c r="Y12" s="20">
        <f t="shared" si="1"/>
        <v>254233.3995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35" t="s">
        <v>174</v>
      </c>
      <c r="K14" s="30" t="s">
        <v>36</v>
      </c>
      <c r="L14" s="1535" t="s">
        <v>403</v>
      </c>
      <c r="M14" s="30" t="s">
        <v>429</v>
      </c>
      <c r="N14" s="30" t="s">
        <v>442</v>
      </c>
      <c r="O14" s="1535" t="s">
        <v>114</v>
      </c>
      <c r="P14" s="30" t="s">
        <v>70</v>
      </c>
      <c r="Q14" s="1958" t="s">
        <v>479</v>
      </c>
      <c r="R14" s="1959"/>
      <c r="S14" s="1535" t="s">
        <v>401</v>
      </c>
      <c r="T14" s="1893" t="s">
        <v>46</v>
      </c>
      <c r="U14" s="1527" t="s">
        <v>176</v>
      </c>
      <c r="V14" s="1918">
        <v>195901</v>
      </c>
      <c r="W14" s="1926"/>
      <c r="X14" s="1919"/>
    </row>
    <row r="15" spans="1:25" ht="22.5" customHeight="1" x14ac:dyDescent="0.25">
      <c r="A15" s="100" t="s">
        <v>38</v>
      </c>
      <c r="B15" s="1918">
        <v>460367</v>
      </c>
      <c r="C15" s="1919"/>
      <c r="D15" s="1532">
        <v>80</v>
      </c>
      <c r="E15" s="1532">
        <v>210</v>
      </c>
      <c r="F15" s="1532">
        <v>5770</v>
      </c>
      <c r="G15" s="1532">
        <v>520</v>
      </c>
      <c r="H15" s="1532">
        <v>72</v>
      </c>
      <c r="I15" s="1532">
        <v>103</v>
      </c>
      <c r="J15" s="1532">
        <v>4</v>
      </c>
      <c r="K15" s="1532">
        <v>77</v>
      </c>
      <c r="L15" s="1532">
        <v>0</v>
      </c>
      <c r="M15" s="1532">
        <v>0</v>
      </c>
      <c r="N15" s="1532">
        <v>0</v>
      </c>
      <c r="O15" s="1532">
        <v>0</v>
      </c>
      <c r="P15" s="1532">
        <v>100</v>
      </c>
      <c r="Q15" s="1918">
        <v>10</v>
      </c>
      <c r="R15" s="1919"/>
      <c r="S15" s="1527">
        <v>2</v>
      </c>
      <c r="T15" s="1893"/>
      <c r="U15" s="1527" t="s">
        <v>64</v>
      </c>
      <c r="V15" s="1920">
        <v>78792</v>
      </c>
      <c r="W15" s="1920"/>
      <c r="X15" s="1920"/>
    </row>
    <row r="16" spans="1:25" ht="24.75" customHeight="1" x14ac:dyDescent="0.25">
      <c r="A16" s="100" t="s">
        <v>39</v>
      </c>
      <c r="B16" s="1918">
        <v>27012</v>
      </c>
      <c r="C16" s="1919"/>
      <c r="D16" s="1532"/>
      <c r="E16" s="1532"/>
      <c r="F16" s="1532">
        <v>5000</v>
      </c>
      <c r="G16" s="1532"/>
      <c r="H16" s="1532"/>
      <c r="I16" s="1532"/>
      <c r="J16" s="1532"/>
      <c r="K16" s="1532"/>
      <c r="L16" s="1532"/>
      <c r="M16" s="1532"/>
      <c r="N16" s="1532"/>
      <c r="O16" s="1532"/>
      <c r="P16" s="1532"/>
      <c r="Q16" s="1920"/>
      <c r="R16" s="1920"/>
      <c r="S16" s="1532"/>
      <c r="T16" s="1912" t="s">
        <v>55</v>
      </c>
      <c r="U16" s="1912"/>
      <c r="V16" s="1925">
        <f>Y12</f>
        <v>254233.3995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532"/>
      <c r="E17" s="1532"/>
      <c r="F17" s="1532"/>
      <c r="G17" s="1532"/>
      <c r="H17" s="1532"/>
      <c r="I17" s="1532"/>
      <c r="J17" s="1532"/>
      <c r="K17" s="1532"/>
      <c r="L17" s="1532"/>
      <c r="M17" s="1532"/>
      <c r="N17" s="1532"/>
      <c r="O17" s="1532"/>
      <c r="P17" s="1532"/>
      <c r="Q17" s="1883"/>
      <c r="R17" s="1883"/>
      <c r="S17" s="1529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165319</v>
      </c>
      <c r="C18" s="1919"/>
      <c r="D18" s="1533">
        <f>E12</f>
        <v>0</v>
      </c>
      <c r="E18" s="1533">
        <f>G12</f>
        <v>0</v>
      </c>
      <c r="F18" s="1533">
        <f>I12</f>
        <v>3240</v>
      </c>
      <c r="G18" s="1533">
        <f>K12</f>
        <v>290</v>
      </c>
      <c r="H18" s="1532"/>
      <c r="I18" s="1533">
        <f>U12</f>
        <v>76</v>
      </c>
      <c r="J18" s="1532"/>
      <c r="K18" s="1533">
        <f>W12</f>
        <v>1</v>
      </c>
      <c r="L18" s="1532"/>
      <c r="M18" s="1533">
        <f>M12</f>
        <v>0</v>
      </c>
      <c r="N18" s="1533">
        <f>O12</f>
        <v>0</v>
      </c>
      <c r="O18" s="1534">
        <f>Q12</f>
        <v>0</v>
      </c>
      <c r="P18" s="1533"/>
      <c r="Q18" s="1920"/>
      <c r="R18" s="1920"/>
      <c r="S18" s="1527"/>
      <c r="T18" s="1912" t="s">
        <v>57</v>
      </c>
      <c r="U18" s="1912"/>
      <c r="V18" s="1920">
        <v>620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322060</v>
      </c>
      <c r="C19" s="1919"/>
      <c r="D19" s="1532">
        <f>D15+D16+D17-D18</f>
        <v>80</v>
      </c>
      <c r="E19" s="1532">
        <f t="shared" ref="E19:N19" si="13">E15+E16+E17-E18</f>
        <v>210</v>
      </c>
      <c r="F19" s="1532">
        <f t="shared" si="13"/>
        <v>7530</v>
      </c>
      <c r="G19" s="1532">
        <f t="shared" si="13"/>
        <v>230</v>
      </c>
      <c r="H19" s="1532">
        <f t="shared" si="13"/>
        <v>72</v>
      </c>
      <c r="I19" s="1532">
        <f t="shared" si="13"/>
        <v>27</v>
      </c>
      <c r="J19" s="1532">
        <f t="shared" si="13"/>
        <v>4</v>
      </c>
      <c r="K19" s="1532">
        <f t="shared" si="13"/>
        <v>76</v>
      </c>
      <c r="L19" s="1532">
        <f t="shared" si="13"/>
        <v>0</v>
      </c>
      <c r="M19" s="1532">
        <f t="shared" si="13"/>
        <v>0</v>
      </c>
      <c r="N19" s="1532">
        <f t="shared" si="13"/>
        <v>0</v>
      </c>
      <c r="O19" s="1532">
        <f>O15+O16+O17-O18</f>
        <v>0</v>
      </c>
      <c r="P19" s="1532">
        <f t="shared" ref="P19:Q19" si="14">P15+P16+P17-P18</f>
        <v>100</v>
      </c>
      <c r="Q19" s="1918">
        <f t="shared" si="14"/>
        <v>10</v>
      </c>
      <c r="R19" s="1919"/>
      <c r="S19" s="1527">
        <f>S15+S16-S17-S18</f>
        <v>2</v>
      </c>
      <c r="T19" s="1914" t="s">
        <v>48</v>
      </c>
      <c r="U19" s="49" t="s">
        <v>58</v>
      </c>
      <c r="V19" s="1920">
        <v>400000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309982.75</v>
      </c>
      <c r="C20" s="1945"/>
      <c r="D20" s="290">
        <f>D19*66.41</f>
        <v>5312.7999999999993</v>
      </c>
      <c r="E20" s="290">
        <f>27.9368*E19</f>
        <v>5866.7280000000001</v>
      </c>
      <c r="F20" s="290">
        <f>18.31*F19</f>
        <v>137874.29999999999</v>
      </c>
      <c r="G20" s="290">
        <f>27.9368*G19</f>
        <v>6425.4639999999999</v>
      </c>
      <c r="H20" s="290">
        <f>241*H19</f>
        <v>17352</v>
      </c>
      <c r="I20" s="290">
        <f>323*I19</f>
        <v>8721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510301.04199999996</v>
      </c>
      <c r="C21" s="1951"/>
      <c r="O21" s="1536"/>
      <c r="P21" s="1536"/>
      <c r="Q21" s="1536"/>
      <c r="R21" s="1536"/>
      <c r="T21" s="1952" t="s">
        <v>487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>
        <v>400000</v>
      </c>
      <c r="E22" s="1949">
        <v>117550</v>
      </c>
      <c r="F22" s="1949">
        <f>C22-D22+E22</f>
        <v>117550</v>
      </c>
      <c r="G22" s="1536"/>
      <c r="Q22" s="1536"/>
      <c r="R22" s="1536"/>
      <c r="T22" s="1909" t="s">
        <v>83</v>
      </c>
      <c r="U22" s="50" t="s">
        <v>60</v>
      </c>
      <c r="V22" s="1920">
        <v>405120</v>
      </c>
      <c r="W22" s="1920"/>
      <c r="X22" s="1920"/>
      <c r="Y22" s="1927"/>
    </row>
    <row r="23" spans="1:25" ht="39.75" customHeight="1" x14ac:dyDescent="0.25">
      <c r="A23" s="1536"/>
      <c r="B23" s="1947"/>
      <c r="C23" s="1950"/>
      <c r="D23" s="1950"/>
      <c r="E23" s="1950"/>
      <c r="F23" s="1950"/>
      <c r="G23" s="1536"/>
      <c r="Q23" s="1536"/>
      <c r="R23" s="1536"/>
      <c r="T23" s="1910"/>
      <c r="U23" s="50" t="s">
        <v>61</v>
      </c>
      <c r="V23" s="1920">
        <v>400000</v>
      </c>
      <c r="W23" s="1920"/>
      <c r="X23" s="1920"/>
      <c r="Y23" s="1927"/>
    </row>
    <row r="24" spans="1:25" ht="48" customHeight="1" x14ac:dyDescent="0.25">
      <c r="A24" s="1536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536"/>
      <c r="Q24" s="1536"/>
      <c r="R24" s="1536"/>
      <c r="T24" s="1893" t="s">
        <v>47</v>
      </c>
      <c r="U24" s="51" t="s">
        <v>62</v>
      </c>
      <c r="V24" s="1921">
        <f>V14+V16+V17-V18-V19-V20-V22+V23-V21</f>
        <v>44394.3995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83912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536"/>
      <c r="J33" s="1536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2B60B-3C1F-42C4-B581-26D7CD5B03B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I23" sqref="I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542"/>
      <c r="B3" s="1542"/>
      <c r="C3" s="1542"/>
      <c r="D3" s="1542"/>
      <c r="E3" s="1542"/>
      <c r="F3" s="1542"/>
      <c r="G3" s="1542"/>
      <c r="H3" s="1542"/>
      <c r="I3" s="1542"/>
      <c r="J3" s="1542"/>
      <c r="K3" s="1542"/>
      <c r="L3" s="1542"/>
      <c r="M3" s="1542"/>
      <c r="N3" s="1542"/>
      <c r="O3" s="1542"/>
      <c r="P3" s="1542"/>
      <c r="Q3" s="1542"/>
      <c r="R3" s="1542"/>
      <c r="S3" s="1542"/>
      <c r="T3" s="1900" t="s">
        <v>504</v>
      </c>
      <c r="U3" s="1900"/>
      <c r="V3" s="1900"/>
      <c r="W3" s="1900"/>
      <c r="X3" s="1900"/>
      <c r="Y3" s="1900"/>
    </row>
    <row r="4" spans="1:25" s="154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542" customFormat="1" ht="25.5" customHeight="1" x14ac:dyDescent="0.25">
      <c r="A5" s="1901"/>
      <c r="B5" s="1901"/>
      <c r="C5" s="1541" t="s">
        <v>42</v>
      </c>
      <c r="D5" s="1541" t="s">
        <v>43</v>
      </c>
      <c r="E5" s="1541" t="s">
        <v>42</v>
      </c>
      <c r="F5" s="1541" t="s">
        <v>43</v>
      </c>
      <c r="G5" s="1541" t="s">
        <v>42</v>
      </c>
      <c r="H5" s="1541" t="s">
        <v>43</v>
      </c>
      <c r="I5" s="1541" t="s">
        <v>42</v>
      </c>
      <c r="J5" s="1541" t="s">
        <v>43</v>
      </c>
      <c r="K5" s="1541" t="s">
        <v>42</v>
      </c>
      <c r="L5" s="1541" t="s">
        <v>43</v>
      </c>
      <c r="M5" s="1541" t="s">
        <v>42</v>
      </c>
      <c r="N5" s="1541" t="s">
        <v>43</v>
      </c>
      <c r="O5" s="1541" t="s">
        <v>42</v>
      </c>
      <c r="P5" s="1541" t="s">
        <v>43</v>
      </c>
      <c r="Q5" s="1541" t="s">
        <v>42</v>
      </c>
      <c r="R5" s="154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540" t="s">
        <v>71</v>
      </c>
      <c r="C6" s="1538">
        <v>35687</v>
      </c>
      <c r="D6" s="1537">
        <f t="shared" ref="D6:D11" si="0">0.9725*C6</f>
        <v>34705.607499999998</v>
      </c>
      <c r="E6" s="1538"/>
      <c r="F6" s="1537">
        <f>67.1*E6</f>
        <v>0</v>
      </c>
      <c r="G6" s="1538">
        <v>20</v>
      </c>
      <c r="H6" s="1538">
        <f>28.2*G6</f>
        <v>564</v>
      </c>
      <c r="I6" s="1538">
        <v>200</v>
      </c>
      <c r="J6" s="1538">
        <f>18.5*I6</f>
        <v>3700</v>
      </c>
      <c r="K6" s="1538">
        <v>20</v>
      </c>
      <c r="L6" s="1537">
        <f>28.2368*K6</f>
        <v>564.73599999999999</v>
      </c>
      <c r="M6" s="1538"/>
      <c r="N6" s="1537">
        <f>M6*47.6525</f>
        <v>0</v>
      </c>
      <c r="O6" s="1538"/>
      <c r="P6" s="1537">
        <f>O6*8.9</f>
        <v>0</v>
      </c>
      <c r="Q6" s="1537"/>
      <c r="R6" s="1537">
        <f>241*Q6</f>
        <v>0</v>
      </c>
      <c r="S6" s="1538"/>
      <c r="T6" s="1538">
        <f>241*S6</f>
        <v>0</v>
      </c>
      <c r="U6" s="1538">
        <v>10</v>
      </c>
      <c r="V6" s="1538">
        <f>332*U6</f>
        <v>3320</v>
      </c>
      <c r="W6" s="1538"/>
      <c r="X6" s="19">
        <f>W6*100</f>
        <v>0</v>
      </c>
      <c r="Y6" s="20">
        <f t="shared" ref="Y6:Y12" si="1">D6+F6+H6+J6+L6+N6+P6+R6+T6+V6+X6</f>
        <v>42854.343499999995</v>
      </c>
    </row>
    <row r="7" spans="1:25" ht="31.5" customHeight="1" x14ac:dyDescent="0.25">
      <c r="A7" s="12">
        <v>1984225578</v>
      </c>
      <c r="B7" s="1540" t="s">
        <v>72</v>
      </c>
      <c r="C7" s="1538">
        <v>22035</v>
      </c>
      <c r="D7" s="1537">
        <f t="shared" si="0"/>
        <v>21429.037500000002</v>
      </c>
      <c r="E7" s="1538"/>
      <c r="F7" s="1538">
        <f t="shared" ref="F7:F11" si="2">67.1*E7</f>
        <v>0</v>
      </c>
      <c r="G7" s="1538">
        <v>30</v>
      </c>
      <c r="H7" s="1538">
        <f t="shared" ref="H7:H11" si="3">28.2*G7</f>
        <v>846</v>
      </c>
      <c r="I7" s="1538">
        <v>170</v>
      </c>
      <c r="J7" s="1538">
        <f t="shared" ref="J7:J11" si="4">18.5*I7</f>
        <v>3145</v>
      </c>
      <c r="K7" s="1538"/>
      <c r="L7" s="1537">
        <f t="shared" ref="L7:L11" si="5">28.2368*K7</f>
        <v>0</v>
      </c>
      <c r="M7" s="1538"/>
      <c r="N7" s="1537">
        <f t="shared" ref="N7:N11" si="6">M7*47.6525</f>
        <v>0</v>
      </c>
      <c r="O7" s="1538"/>
      <c r="P7" s="1537">
        <f t="shared" ref="P7:P11" si="7">O7*8.9</f>
        <v>0</v>
      </c>
      <c r="Q7" s="1537"/>
      <c r="R7" s="1537">
        <f t="shared" ref="R7:R11" si="8">241*Q7</f>
        <v>0</v>
      </c>
      <c r="S7" s="1538"/>
      <c r="T7" s="1538">
        <f t="shared" ref="T7:T10" si="9">241*S7</f>
        <v>0</v>
      </c>
      <c r="U7" s="1538"/>
      <c r="V7" s="1538">
        <f t="shared" ref="V7:V11" si="10">332*U7</f>
        <v>0</v>
      </c>
      <c r="W7" s="1538"/>
      <c r="X7" s="19">
        <f t="shared" ref="X7:X11" si="11">W7*100</f>
        <v>0</v>
      </c>
      <c r="Y7" s="20">
        <f t="shared" si="1"/>
        <v>25420.037500000002</v>
      </c>
    </row>
    <row r="8" spans="1:25" ht="35.25" customHeight="1" x14ac:dyDescent="0.25">
      <c r="A8" s="12">
        <v>1967020280</v>
      </c>
      <c r="B8" s="1540" t="s">
        <v>427</v>
      </c>
      <c r="C8" s="1538">
        <v>24146</v>
      </c>
      <c r="D8" s="1537">
        <f t="shared" si="0"/>
        <v>23481.985000000001</v>
      </c>
      <c r="E8" s="1538"/>
      <c r="F8" s="1538">
        <f t="shared" si="2"/>
        <v>0</v>
      </c>
      <c r="G8" s="1538">
        <v>100</v>
      </c>
      <c r="H8" s="1537">
        <f t="shared" si="3"/>
        <v>2820</v>
      </c>
      <c r="I8" s="1538">
        <v>40</v>
      </c>
      <c r="J8" s="1538">
        <f t="shared" si="4"/>
        <v>740</v>
      </c>
      <c r="K8" s="1538">
        <v>60</v>
      </c>
      <c r="L8" s="1537">
        <f t="shared" si="5"/>
        <v>1694.2079999999999</v>
      </c>
      <c r="M8" s="1538"/>
      <c r="N8" s="1537">
        <f t="shared" si="6"/>
        <v>0</v>
      </c>
      <c r="O8" s="1538"/>
      <c r="P8" s="1537">
        <f t="shared" si="7"/>
        <v>0</v>
      </c>
      <c r="Q8" s="1537"/>
      <c r="R8" s="1537">
        <f t="shared" si="8"/>
        <v>0</v>
      </c>
      <c r="S8" s="1538"/>
      <c r="T8" s="1538">
        <f t="shared" si="9"/>
        <v>0</v>
      </c>
      <c r="U8" s="1538"/>
      <c r="V8" s="1538">
        <f t="shared" si="10"/>
        <v>0</v>
      </c>
      <c r="W8" s="1538"/>
      <c r="X8" s="19">
        <f t="shared" si="11"/>
        <v>0</v>
      </c>
      <c r="Y8" s="20">
        <f t="shared" si="1"/>
        <v>28736.192999999999</v>
      </c>
    </row>
    <row r="9" spans="1:25" ht="38.25" customHeight="1" x14ac:dyDescent="0.25">
      <c r="A9" s="12">
        <v>1984225580</v>
      </c>
      <c r="B9" s="1540" t="s">
        <v>75</v>
      </c>
      <c r="C9" s="1538">
        <v>21891</v>
      </c>
      <c r="D9" s="1537">
        <f t="shared" si="0"/>
        <v>21288.997500000001</v>
      </c>
      <c r="E9" s="1538"/>
      <c r="F9" s="1538">
        <f t="shared" si="2"/>
        <v>0</v>
      </c>
      <c r="G9" s="1538"/>
      <c r="H9" s="1538">
        <f t="shared" si="3"/>
        <v>0</v>
      </c>
      <c r="I9" s="1538"/>
      <c r="J9" s="1538">
        <f t="shared" si="4"/>
        <v>0</v>
      </c>
      <c r="K9" s="1538"/>
      <c r="L9" s="1537">
        <f t="shared" si="5"/>
        <v>0</v>
      </c>
      <c r="M9" s="1538"/>
      <c r="N9" s="1537">
        <f t="shared" si="6"/>
        <v>0</v>
      </c>
      <c r="O9" s="1538"/>
      <c r="P9" s="1537">
        <f t="shared" si="7"/>
        <v>0</v>
      </c>
      <c r="Q9" s="1537"/>
      <c r="R9" s="1537">
        <f t="shared" si="8"/>
        <v>0</v>
      </c>
      <c r="S9" s="1538"/>
      <c r="T9" s="1538">
        <f t="shared" si="9"/>
        <v>0</v>
      </c>
      <c r="U9" s="1538"/>
      <c r="V9" s="1538">
        <f t="shared" si="10"/>
        <v>0</v>
      </c>
      <c r="W9" s="1538"/>
      <c r="X9" s="19">
        <f t="shared" si="11"/>
        <v>0</v>
      </c>
      <c r="Y9" s="20">
        <f t="shared" si="1"/>
        <v>21288.997500000001</v>
      </c>
    </row>
    <row r="10" spans="1:25" ht="35.25" customHeight="1" x14ac:dyDescent="0.25">
      <c r="A10" s="12">
        <v>1409935199</v>
      </c>
      <c r="C10" s="1538">
        <v>1890</v>
      </c>
      <c r="D10" s="1537">
        <f t="shared" si="0"/>
        <v>1838.0250000000001</v>
      </c>
      <c r="E10" s="1538"/>
      <c r="F10" s="1538">
        <f t="shared" si="2"/>
        <v>0</v>
      </c>
      <c r="G10" s="1538"/>
      <c r="H10" s="1538">
        <f t="shared" si="3"/>
        <v>0</v>
      </c>
      <c r="I10" s="1538"/>
      <c r="J10" s="1538">
        <f t="shared" si="4"/>
        <v>0</v>
      </c>
      <c r="K10" s="1538"/>
      <c r="L10" s="1537">
        <f t="shared" si="5"/>
        <v>0</v>
      </c>
      <c r="M10" s="1538"/>
      <c r="N10" s="1537">
        <f t="shared" si="6"/>
        <v>0</v>
      </c>
      <c r="O10" s="1538"/>
      <c r="P10" s="1537">
        <f t="shared" si="7"/>
        <v>0</v>
      </c>
      <c r="Q10" s="1537"/>
      <c r="R10" s="1537">
        <f t="shared" si="8"/>
        <v>0</v>
      </c>
      <c r="S10" s="1538"/>
      <c r="T10" s="1538">
        <f t="shared" si="9"/>
        <v>0</v>
      </c>
      <c r="U10" s="1538"/>
      <c r="V10" s="1538">
        <f t="shared" si="10"/>
        <v>0</v>
      </c>
      <c r="W10" s="1538"/>
      <c r="X10" s="19">
        <f t="shared" si="11"/>
        <v>0</v>
      </c>
      <c r="Y10" s="20">
        <f t="shared" si="1"/>
        <v>1838.0250000000001</v>
      </c>
    </row>
    <row r="11" spans="1:25" ht="37.5" customHeight="1" x14ac:dyDescent="0.25">
      <c r="A11" s="12"/>
      <c r="B11" s="1539"/>
      <c r="C11" s="1538"/>
      <c r="D11" s="1537">
        <f t="shared" si="0"/>
        <v>0</v>
      </c>
      <c r="E11" s="1538"/>
      <c r="F11" s="1538">
        <f t="shared" si="2"/>
        <v>0</v>
      </c>
      <c r="G11" s="1538"/>
      <c r="H11" s="1538">
        <f t="shared" si="3"/>
        <v>0</v>
      </c>
      <c r="I11" s="1538"/>
      <c r="J11" s="1538">
        <f t="shared" si="4"/>
        <v>0</v>
      </c>
      <c r="K11" s="1538"/>
      <c r="L11" s="1537">
        <f t="shared" si="5"/>
        <v>0</v>
      </c>
      <c r="M11" s="1538"/>
      <c r="N11" s="1537">
        <f t="shared" si="6"/>
        <v>0</v>
      </c>
      <c r="O11" s="1538"/>
      <c r="P11" s="1537">
        <f t="shared" si="7"/>
        <v>0</v>
      </c>
      <c r="Q11" s="1537"/>
      <c r="R11" s="1537">
        <f t="shared" si="8"/>
        <v>0</v>
      </c>
      <c r="S11" s="1538"/>
      <c r="T11" s="1538">
        <f>341*S11</f>
        <v>0</v>
      </c>
      <c r="U11" s="1538"/>
      <c r="V11" s="1538">
        <f t="shared" si="10"/>
        <v>0</v>
      </c>
      <c r="W11" s="15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105649</v>
      </c>
      <c r="D12" s="18">
        <f t="shared" si="12"/>
        <v>102743.6525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410</v>
      </c>
      <c r="J12" s="18">
        <f t="shared" si="12"/>
        <v>7585</v>
      </c>
      <c r="K12" s="18">
        <f t="shared" si="12"/>
        <v>80</v>
      </c>
      <c r="L12" s="18">
        <f t="shared" si="12"/>
        <v>2258.944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120137.5965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46" t="s">
        <v>174</v>
      </c>
      <c r="K14" s="30" t="s">
        <v>36</v>
      </c>
      <c r="L14" s="1546" t="s">
        <v>403</v>
      </c>
      <c r="M14" s="30" t="s">
        <v>429</v>
      </c>
      <c r="N14" s="30" t="s">
        <v>442</v>
      </c>
      <c r="O14" s="1546" t="s">
        <v>114</v>
      </c>
      <c r="P14" s="30" t="s">
        <v>70</v>
      </c>
      <c r="Q14" s="1958" t="s">
        <v>479</v>
      </c>
      <c r="R14" s="1959"/>
      <c r="S14" s="1546" t="s">
        <v>401</v>
      </c>
      <c r="T14" s="1893" t="s">
        <v>46</v>
      </c>
      <c r="U14" s="1540" t="s">
        <v>176</v>
      </c>
      <c r="V14" s="1918">
        <v>44394</v>
      </c>
      <c r="W14" s="1926"/>
      <c r="X14" s="1919"/>
    </row>
    <row r="15" spans="1:25" ht="22.5" customHeight="1" x14ac:dyDescent="0.25">
      <c r="A15" s="100" t="s">
        <v>38</v>
      </c>
      <c r="B15" s="1918">
        <v>322060</v>
      </c>
      <c r="C15" s="1919"/>
      <c r="D15" s="1543">
        <v>80</v>
      </c>
      <c r="E15" s="1543">
        <v>210</v>
      </c>
      <c r="F15" s="1543">
        <v>7530</v>
      </c>
      <c r="G15" s="1543">
        <v>230</v>
      </c>
      <c r="H15" s="1543">
        <v>72</v>
      </c>
      <c r="I15" s="1543">
        <v>27</v>
      </c>
      <c r="J15" s="1543">
        <v>4</v>
      </c>
      <c r="K15" s="1543">
        <v>76</v>
      </c>
      <c r="L15" s="1543">
        <v>0</v>
      </c>
      <c r="M15" s="1543">
        <v>0</v>
      </c>
      <c r="N15" s="1543">
        <v>0</v>
      </c>
      <c r="O15" s="1543">
        <v>0</v>
      </c>
      <c r="P15" s="1543">
        <v>100</v>
      </c>
      <c r="Q15" s="1918">
        <v>10</v>
      </c>
      <c r="R15" s="1919"/>
      <c r="S15" s="1540">
        <v>2</v>
      </c>
      <c r="T15" s="1893"/>
      <c r="U15" s="1540" t="s">
        <v>64</v>
      </c>
      <c r="V15" s="1920">
        <v>83912</v>
      </c>
      <c r="W15" s="1920"/>
      <c r="X15" s="1920"/>
    </row>
    <row r="16" spans="1:25" ht="24.75" customHeight="1" x14ac:dyDescent="0.25">
      <c r="A16" s="100" t="s">
        <v>39</v>
      </c>
      <c r="B16" s="1918">
        <v>103896</v>
      </c>
      <c r="C16" s="1919"/>
      <c r="D16" s="1543"/>
      <c r="E16" s="1543"/>
      <c r="F16" s="1543"/>
      <c r="G16" s="1543"/>
      <c r="H16" s="1543"/>
      <c r="I16" s="1543"/>
      <c r="J16" s="1543"/>
      <c r="K16" s="1543"/>
      <c r="L16" s="1543"/>
      <c r="M16" s="1543"/>
      <c r="N16" s="1543"/>
      <c r="O16" s="1543"/>
      <c r="P16" s="1543"/>
      <c r="Q16" s="1920"/>
      <c r="R16" s="1920"/>
      <c r="S16" s="1543"/>
      <c r="T16" s="1912" t="s">
        <v>55</v>
      </c>
      <c r="U16" s="1912"/>
      <c r="V16" s="1925">
        <f>Y12</f>
        <v>120137.5965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543"/>
      <c r="E17" s="1543"/>
      <c r="F17" s="1543"/>
      <c r="G17" s="1543"/>
      <c r="H17" s="1543"/>
      <c r="I17" s="1543"/>
      <c r="J17" s="1543"/>
      <c r="K17" s="1543"/>
      <c r="L17" s="1543"/>
      <c r="M17" s="1543"/>
      <c r="N17" s="1543"/>
      <c r="O17" s="1543"/>
      <c r="P17" s="1543"/>
      <c r="Q17" s="1883"/>
      <c r="R17" s="1883"/>
      <c r="S17" s="1539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105649</v>
      </c>
      <c r="C18" s="1919"/>
      <c r="D18" s="1545">
        <f>E12</f>
        <v>0</v>
      </c>
      <c r="E18" s="1545">
        <f>G12</f>
        <v>150</v>
      </c>
      <c r="F18" s="1545">
        <f>I12</f>
        <v>410</v>
      </c>
      <c r="G18" s="1545">
        <f>K12</f>
        <v>80</v>
      </c>
      <c r="H18" s="1543"/>
      <c r="I18" s="1545">
        <f>U12</f>
        <v>10</v>
      </c>
      <c r="J18" s="1543"/>
      <c r="K18" s="1545">
        <f>W12</f>
        <v>0</v>
      </c>
      <c r="L18" s="1543"/>
      <c r="M18" s="1545">
        <f>M12</f>
        <v>0</v>
      </c>
      <c r="N18" s="1545">
        <f>O12</f>
        <v>0</v>
      </c>
      <c r="O18" s="1544">
        <f>Q12</f>
        <v>0</v>
      </c>
      <c r="P18" s="1545"/>
      <c r="Q18" s="1920"/>
      <c r="R18" s="1920"/>
      <c r="S18" s="1540"/>
      <c r="T18" s="1912" t="s">
        <v>57</v>
      </c>
      <c r="U18" s="1912"/>
      <c r="V18" s="1920">
        <v>2900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320307</v>
      </c>
      <c r="C19" s="1919"/>
      <c r="D19" s="1543">
        <f>D15+D16+D17-D18</f>
        <v>80</v>
      </c>
      <c r="E19" s="1543">
        <f t="shared" ref="E19:N19" si="13">E15+E16+E17-E18</f>
        <v>60</v>
      </c>
      <c r="F19" s="1543">
        <f t="shared" si="13"/>
        <v>7120</v>
      </c>
      <c r="G19" s="1543">
        <f t="shared" si="13"/>
        <v>150</v>
      </c>
      <c r="H19" s="1543">
        <f t="shared" si="13"/>
        <v>72</v>
      </c>
      <c r="I19" s="1543">
        <f t="shared" si="13"/>
        <v>17</v>
      </c>
      <c r="J19" s="1543">
        <f t="shared" si="13"/>
        <v>4</v>
      </c>
      <c r="K19" s="1543">
        <f t="shared" si="13"/>
        <v>76</v>
      </c>
      <c r="L19" s="1543">
        <f t="shared" si="13"/>
        <v>0</v>
      </c>
      <c r="M19" s="1543">
        <f t="shared" si="13"/>
        <v>0</v>
      </c>
      <c r="N19" s="1543">
        <f t="shared" si="13"/>
        <v>0</v>
      </c>
      <c r="O19" s="1543">
        <f>O15+O16+O17-O18</f>
        <v>0</v>
      </c>
      <c r="P19" s="1543">
        <f t="shared" ref="P19:Q19" si="14">P15+P16+P17-P18</f>
        <v>100</v>
      </c>
      <c r="Q19" s="1918">
        <f t="shared" si="14"/>
        <v>10</v>
      </c>
      <c r="R19" s="1919"/>
      <c r="S19" s="1540">
        <f>S15+S16-S17-S18</f>
        <v>2</v>
      </c>
      <c r="T19" s="1914" t="s">
        <v>48</v>
      </c>
      <c r="U19" s="49" t="s">
        <v>58</v>
      </c>
      <c r="V19" s="1920">
        <v>117550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308295.48749999999</v>
      </c>
      <c r="C20" s="1945"/>
      <c r="D20" s="290">
        <f>D19*66.41</f>
        <v>5312.7999999999993</v>
      </c>
      <c r="E20" s="290">
        <f>27.9368*E19</f>
        <v>1676.2080000000001</v>
      </c>
      <c r="F20" s="290">
        <f>18.31*F19</f>
        <v>130367.2</v>
      </c>
      <c r="G20" s="290">
        <f>27.9368*G19</f>
        <v>4190.5200000000004</v>
      </c>
      <c r="H20" s="290">
        <f>241*H19</f>
        <v>17352</v>
      </c>
      <c r="I20" s="290">
        <f>323*I19</f>
        <v>5491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491451.21549999999</v>
      </c>
      <c r="C21" s="1951"/>
      <c r="O21" s="1547"/>
      <c r="P21" s="1547"/>
      <c r="Q21" s="1547"/>
      <c r="R21" s="1547"/>
      <c r="T21" s="1952" t="s">
        <v>487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117550</v>
      </c>
      <c r="D22" s="1949">
        <v>117550</v>
      </c>
      <c r="E22" s="1949">
        <v>100000</v>
      </c>
      <c r="F22" s="1949">
        <f>C22-D22+E22</f>
        <v>100000</v>
      </c>
      <c r="G22" s="1547"/>
      <c r="Q22" s="1547"/>
      <c r="R22" s="1547"/>
      <c r="T22" s="1909" t="s">
        <v>83</v>
      </c>
      <c r="U22" s="50" t="s">
        <v>60</v>
      </c>
      <c r="V22" s="1920">
        <v>117340</v>
      </c>
      <c r="W22" s="1920"/>
      <c r="X22" s="1920"/>
      <c r="Y22" s="1927"/>
    </row>
    <row r="23" spans="1:25" ht="39.75" customHeight="1" x14ac:dyDescent="0.25">
      <c r="A23" s="1547"/>
      <c r="B23" s="1947"/>
      <c r="C23" s="1950"/>
      <c r="D23" s="1950"/>
      <c r="E23" s="1950"/>
      <c r="F23" s="1950"/>
      <c r="G23" s="1547"/>
      <c r="Q23" s="1547"/>
      <c r="R23" s="1547"/>
      <c r="T23" s="1910"/>
      <c r="U23" s="50" t="s">
        <v>61</v>
      </c>
      <c r="V23" s="1920">
        <v>117550</v>
      </c>
      <c r="W23" s="1920"/>
      <c r="X23" s="1920"/>
      <c r="Y23" s="1927"/>
    </row>
    <row r="24" spans="1:25" ht="48" customHeight="1" x14ac:dyDescent="0.25">
      <c r="A24" s="1547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547"/>
      <c r="Q24" s="1547"/>
      <c r="R24" s="1547"/>
      <c r="T24" s="1893" t="s">
        <v>47</v>
      </c>
      <c r="U24" s="51" t="s">
        <v>62</v>
      </c>
      <c r="V24" s="1921">
        <f>V14+V16+V17-V18-V19-V20-V22+V23-V21</f>
        <v>44291.596499999985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83702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547"/>
      <c r="J33" s="1547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0D6C5-7751-4E51-BB23-F0F649D30E1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553"/>
      <c r="B3" s="1553"/>
      <c r="C3" s="1553"/>
      <c r="D3" s="1553"/>
      <c r="E3" s="1553"/>
      <c r="F3" s="1553"/>
      <c r="G3" s="1553"/>
      <c r="H3" s="1553"/>
      <c r="I3" s="1553"/>
      <c r="J3" s="1553"/>
      <c r="K3" s="1553"/>
      <c r="L3" s="1553"/>
      <c r="M3" s="1553"/>
      <c r="N3" s="1553"/>
      <c r="O3" s="1553"/>
      <c r="P3" s="1553"/>
      <c r="Q3" s="1553"/>
      <c r="R3" s="1553"/>
      <c r="S3" s="1553"/>
      <c r="T3" s="1900" t="s">
        <v>505</v>
      </c>
      <c r="U3" s="1900"/>
      <c r="V3" s="1900"/>
      <c r="W3" s="1900"/>
      <c r="X3" s="1900"/>
      <c r="Y3" s="1900"/>
    </row>
    <row r="4" spans="1:25" s="155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553" customFormat="1" ht="25.5" customHeight="1" x14ac:dyDescent="0.25">
      <c r="A5" s="1901"/>
      <c r="B5" s="1901"/>
      <c r="C5" s="1552" t="s">
        <v>42</v>
      </c>
      <c r="D5" s="1552" t="s">
        <v>43</v>
      </c>
      <c r="E5" s="1552" t="s">
        <v>42</v>
      </c>
      <c r="F5" s="1552" t="s">
        <v>43</v>
      </c>
      <c r="G5" s="1552" t="s">
        <v>42</v>
      </c>
      <c r="H5" s="1552" t="s">
        <v>43</v>
      </c>
      <c r="I5" s="1552" t="s">
        <v>42</v>
      </c>
      <c r="J5" s="1552" t="s">
        <v>43</v>
      </c>
      <c r="K5" s="1552" t="s">
        <v>42</v>
      </c>
      <c r="L5" s="1552" t="s">
        <v>43</v>
      </c>
      <c r="M5" s="1552" t="s">
        <v>42</v>
      </c>
      <c r="N5" s="1552" t="s">
        <v>43</v>
      </c>
      <c r="O5" s="1552" t="s">
        <v>42</v>
      </c>
      <c r="P5" s="1552" t="s">
        <v>43</v>
      </c>
      <c r="Q5" s="1552" t="s">
        <v>42</v>
      </c>
      <c r="R5" s="15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551" t="s">
        <v>71</v>
      </c>
      <c r="C6" s="1549">
        <v>12694</v>
      </c>
      <c r="D6" s="1548">
        <f t="shared" ref="D6:D11" si="0">0.9725*C6</f>
        <v>12344.915000000001</v>
      </c>
      <c r="E6" s="1549"/>
      <c r="F6" s="1548">
        <f>67.1*E6</f>
        <v>0</v>
      </c>
      <c r="G6" s="1549"/>
      <c r="H6" s="1549">
        <f>28.2*G6</f>
        <v>0</v>
      </c>
      <c r="I6" s="1549">
        <v>20</v>
      </c>
      <c r="J6" s="1549">
        <f>18.5*I6</f>
        <v>370</v>
      </c>
      <c r="K6" s="1549"/>
      <c r="L6" s="1548">
        <f>28.2368*K6</f>
        <v>0</v>
      </c>
      <c r="M6" s="1549"/>
      <c r="N6" s="1548">
        <f>M6*47.6525</f>
        <v>0</v>
      </c>
      <c r="O6" s="1549"/>
      <c r="P6" s="1548">
        <f>O6*8.9</f>
        <v>0</v>
      </c>
      <c r="Q6" s="1548"/>
      <c r="R6" s="1548">
        <f>241*Q6</f>
        <v>0</v>
      </c>
      <c r="S6" s="1549"/>
      <c r="T6" s="1549">
        <f>241*S6</f>
        <v>0</v>
      </c>
      <c r="U6" s="1549"/>
      <c r="V6" s="1549">
        <f>332*U6</f>
        <v>0</v>
      </c>
      <c r="W6" s="1549"/>
      <c r="X6" s="19">
        <f>W6*100</f>
        <v>0</v>
      </c>
      <c r="Y6" s="20">
        <f t="shared" ref="Y6:Y12" si="1">D6+F6+H6+J6+L6+N6+P6+R6+T6+V6+X6</f>
        <v>12714.915000000001</v>
      </c>
    </row>
    <row r="7" spans="1:25" ht="31.5" customHeight="1" x14ac:dyDescent="0.25">
      <c r="A7" s="12">
        <v>1984225578</v>
      </c>
      <c r="B7" s="1551" t="s">
        <v>72</v>
      </c>
      <c r="C7" s="1549">
        <v>29189</v>
      </c>
      <c r="D7" s="1548">
        <f t="shared" si="0"/>
        <v>28386.302500000002</v>
      </c>
      <c r="E7" s="1549"/>
      <c r="F7" s="1549">
        <f t="shared" ref="F7:F11" si="2">67.1*E7</f>
        <v>0</v>
      </c>
      <c r="G7" s="1549"/>
      <c r="H7" s="1549">
        <f t="shared" ref="H7:H11" si="3">28.2*G7</f>
        <v>0</v>
      </c>
      <c r="I7" s="1549"/>
      <c r="J7" s="1549">
        <f t="shared" ref="J7:J11" si="4">18.5*I7</f>
        <v>0</v>
      </c>
      <c r="K7" s="1549"/>
      <c r="L7" s="1548">
        <f t="shared" ref="L7:L11" si="5">28.2368*K7</f>
        <v>0</v>
      </c>
      <c r="M7" s="1549"/>
      <c r="N7" s="1548">
        <f t="shared" ref="N7:N11" si="6">M7*47.6525</f>
        <v>0</v>
      </c>
      <c r="O7" s="1549"/>
      <c r="P7" s="1548">
        <f t="shared" ref="P7:P11" si="7">O7*8.9</f>
        <v>0</v>
      </c>
      <c r="Q7" s="1548"/>
      <c r="R7" s="1548">
        <f t="shared" ref="R7:R11" si="8">241*Q7</f>
        <v>0</v>
      </c>
      <c r="S7" s="1549"/>
      <c r="T7" s="1549">
        <f t="shared" ref="T7:T10" si="9">241*S7</f>
        <v>0</v>
      </c>
      <c r="U7" s="1549">
        <v>8</v>
      </c>
      <c r="V7" s="1549">
        <f t="shared" ref="V7:V11" si="10">332*U7</f>
        <v>2656</v>
      </c>
      <c r="W7" s="1549"/>
      <c r="X7" s="19">
        <f t="shared" ref="X7:X11" si="11">W7*100</f>
        <v>0</v>
      </c>
      <c r="Y7" s="20">
        <f t="shared" si="1"/>
        <v>31042.302500000002</v>
      </c>
    </row>
    <row r="8" spans="1:25" ht="35.25" customHeight="1" x14ac:dyDescent="0.25">
      <c r="A8" s="12">
        <v>1967020280</v>
      </c>
      <c r="B8" s="1551" t="s">
        <v>427</v>
      </c>
      <c r="C8" s="1549">
        <v>23399</v>
      </c>
      <c r="D8" s="1548">
        <f t="shared" si="0"/>
        <v>22755.5275</v>
      </c>
      <c r="E8" s="1549"/>
      <c r="F8" s="1549">
        <f t="shared" si="2"/>
        <v>0</v>
      </c>
      <c r="G8" s="1549"/>
      <c r="H8" s="1548">
        <f t="shared" si="3"/>
        <v>0</v>
      </c>
      <c r="I8" s="1549"/>
      <c r="J8" s="1549">
        <f t="shared" si="4"/>
        <v>0</v>
      </c>
      <c r="K8" s="1549">
        <v>70</v>
      </c>
      <c r="L8" s="1548">
        <f t="shared" si="5"/>
        <v>1976.576</v>
      </c>
      <c r="M8" s="1549"/>
      <c r="N8" s="1548">
        <f t="shared" si="6"/>
        <v>0</v>
      </c>
      <c r="O8" s="1549"/>
      <c r="P8" s="1548">
        <f t="shared" si="7"/>
        <v>0</v>
      </c>
      <c r="Q8" s="1548"/>
      <c r="R8" s="1548">
        <f t="shared" si="8"/>
        <v>0</v>
      </c>
      <c r="S8" s="1549"/>
      <c r="T8" s="1549">
        <f t="shared" si="9"/>
        <v>0</v>
      </c>
      <c r="U8" s="1549">
        <v>2</v>
      </c>
      <c r="V8" s="1549">
        <f t="shared" si="10"/>
        <v>664</v>
      </c>
      <c r="W8" s="1549"/>
      <c r="X8" s="19">
        <f t="shared" si="11"/>
        <v>0</v>
      </c>
      <c r="Y8" s="20">
        <f t="shared" si="1"/>
        <v>25396.103500000001</v>
      </c>
    </row>
    <row r="9" spans="1:25" ht="38.25" customHeight="1" x14ac:dyDescent="0.25">
      <c r="A9" s="12">
        <v>1984225580</v>
      </c>
      <c r="B9" s="1551" t="s">
        <v>75</v>
      </c>
      <c r="C9" s="1549">
        <v>32785</v>
      </c>
      <c r="D9" s="1548">
        <f t="shared" si="0"/>
        <v>31883.412500000002</v>
      </c>
      <c r="E9" s="1549"/>
      <c r="F9" s="1549">
        <f t="shared" si="2"/>
        <v>0</v>
      </c>
      <c r="G9" s="1549"/>
      <c r="H9" s="1549">
        <f t="shared" si="3"/>
        <v>0</v>
      </c>
      <c r="I9" s="1549"/>
      <c r="J9" s="1549">
        <f t="shared" si="4"/>
        <v>0</v>
      </c>
      <c r="K9" s="1549"/>
      <c r="L9" s="1548">
        <f t="shared" si="5"/>
        <v>0</v>
      </c>
      <c r="M9" s="1549"/>
      <c r="N9" s="1548">
        <f t="shared" si="6"/>
        <v>0</v>
      </c>
      <c r="O9" s="1549"/>
      <c r="P9" s="1548">
        <f t="shared" si="7"/>
        <v>0</v>
      </c>
      <c r="Q9" s="1548"/>
      <c r="R9" s="1548">
        <f t="shared" si="8"/>
        <v>0</v>
      </c>
      <c r="S9" s="1549"/>
      <c r="T9" s="1549">
        <f t="shared" si="9"/>
        <v>0</v>
      </c>
      <c r="U9" s="1549"/>
      <c r="V9" s="1549">
        <f t="shared" si="10"/>
        <v>0</v>
      </c>
      <c r="W9" s="1549"/>
      <c r="X9" s="19">
        <f t="shared" si="11"/>
        <v>0</v>
      </c>
      <c r="Y9" s="20">
        <f t="shared" si="1"/>
        <v>31883.412500000002</v>
      </c>
    </row>
    <row r="10" spans="1:25" ht="35.25" customHeight="1" x14ac:dyDescent="0.25">
      <c r="A10" s="12">
        <v>1409935199</v>
      </c>
      <c r="C10" s="1549"/>
      <c r="D10" s="1548">
        <f t="shared" si="0"/>
        <v>0</v>
      </c>
      <c r="E10" s="1549"/>
      <c r="F10" s="1549">
        <f t="shared" si="2"/>
        <v>0</v>
      </c>
      <c r="G10" s="1549"/>
      <c r="H10" s="1549">
        <f t="shared" si="3"/>
        <v>0</v>
      </c>
      <c r="I10" s="1549"/>
      <c r="J10" s="1549">
        <f t="shared" si="4"/>
        <v>0</v>
      </c>
      <c r="K10" s="1549"/>
      <c r="L10" s="1548">
        <f t="shared" si="5"/>
        <v>0</v>
      </c>
      <c r="M10" s="1549"/>
      <c r="N10" s="1548">
        <f t="shared" si="6"/>
        <v>0</v>
      </c>
      <c r="O10" s="1549"/>
      <c r="P10" s="1548">
        <f t="shared" si="7"/>
        <v>0</v>
      </c>
      <c r="Q10" s="1548"/>
      <c r="R10" s="1548">
        <f t="shared" si="8"/>
        <v>0</v>
      </c>
      <c r="S10" s="1549"/>
      <c r="T10" s="1549">
        <f t="shared" si="9"/>
        <v>0</v>
      </c>
      <c r="U10" s="1549"/>
      <c r="V10" s="1549">
        <f t="shared" si="10"/>
        <v>0</v>
      </c>
      <c r="W10" s="15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50"/>
      <c r="C11" s="1549"/>
      <c r="D11" s="1548">
        <f t="shared" si="0"/>
        <v>0</v>
      </c>
      <c r="E11" s="1549"/>
      <c r="F11" s="1549">
        <f t="shared" si="2"/>
        <v>0</v>
      </c>
      <c r="G11" s="1549"/>
      <c r="H11" s="1549">
        <f t="shared" si="3"/>
        <v>0</v>
      </c>
      <c r="I11" s="1549"/>
      <c r="J11" s="1549">
        <f t="shared" si="4"/>
        <v>0</v>
      </c>
      <c r="K11" s="1549"/>
      <c r="L11" s="1548">
        <f t="shared" si="5"/>
        <v>0</v>
      </c>
      <c r="M11" s="1549"/>
      <c r="N11" s="1548">
        <f t="shared" si="6"/>
        <v>0</v>
      </c>
      <c r="O11" s="1549"/>
      <c r="P11" s="1548">
        <f t="shared" si="7"/>
        <v>0</v>
      </c>
      <c r="Q11" s="1548"/>
      <c r="R11" s="1548">
        <f t="shared" si="8"/>
        <v>0</v>
      </c>
      <c r="S11" s="1549"/>
      <c r="T11" s="1549">
        <f>341*S11</f>
        <v>0</v>
      </c>
      <c r="U11" s="1549"/>
      <c r="V11" s="1549">
        <f t="shared" si="10"/>
        <v>0</v>
      </c>
      <c r="W11" s="15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98067</v>
      </c>
      <c r="D12" s="18">
        <f t="shared" si="12"/>
        <v>95370.157500000001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101036.7335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57" t="s">
        <v>174</v>
      </c>
      <c r="K14" s="30" t="s">
        <v>36</v>
      </c>
      <c r="L14" s="1557" t="s">
        <v>403</v>
      </c>
      <c r="M14" s="30" t="s">
        <v>429</v>
      </c>
      <c r="N14" s="30" t="s">
        <v>442</v>
      </c>
      <c r="O14" s="1557" t="s">
        <v>114</v>
      </c>
      <c r="P14" s="30" t="s">
        <v>70</v>
      </c>
      <c r="Q14" s="1958" t="s">
        <v>479</v>
      </c>
      <c r="R14" s="1959"/>
      <c r="S14" s="1557" t="s">
        <v>401</v>
      </c>
      <c r="T14" s="1893" t="s">
        <v>46</v>
      </c>
      <c r="U14" s="1551" t="s">
        <v>176</v>
      </c>
      <c r="V14" s="1918">
        <v>44292</v>
      </c>
      <c r="W14" s="1926"/>
      <c r="X14" s="1919"/>
    </row>
    <row r="15" spans="1:25" ht="22.5" customHeight="1" x14ac:dyDescent="0.25">
      <c r="A15" s="100" t="s">
        <v>38</v>
      </c>
      <c r="B15" s="1918">
        <v>320307</v>
      </c>
      <c r="C15" s="1919"/>
      <c r="D15" s="1554">
        <v>80</v>
      </c>
      <c r="E15" s="1554">
        <v>60</v>
      </c>
      <c r="F15" s="1554">
        <v>7120</v>
      </c>
      <c r="G15" s="1554">
        <v>150</v>
      </c>
      <c r="H15" s="1554">
        <v>72</v>
      </c>
      <c r="I15" s="1554">
        <v>17</v>
      </c>
      <c r="J15" s="1554">
        <v>4</v>
      </c>
      <c r="K15" s="1554">
        <v>76</v>
      </c>
      <c r="L15" s="1554">
        <v>0</v>
      </c>
      <c r="M15" s="1554">
        <v>0</v>
      </c>
      <c r="N15" s="1554">
        <v>0</v>
      </c>
      <c r="O15" s="1554">
        <v>0</v>
      </c>
      <c r="P15" s="1554">
        <v>100</v>
      </c>
      <c r="Q15" s="1918">
        <v>10</v>
      </c>
      <c r="R15" s="1919"/>
      <c r="S15" s="1551">
        <v>2</v>
      </c>
      <c r="T15" s="1893"/>
      <c r="U15" s="1551" t="s">
        <v>64</v>
      </c>
      <c r="V15" s="1920">
        <v>83702</v>
      </c>
      <c r="W15" s="1920"/>
      <c r="X15" s="1920"/>
    </row>
    <row r="16" spans="1:25" ht="24.75" customHeight="1" x14ac:dyDescent="0.25">
      <c r="A16" s="100" t="s">
        <v>39</v>
      </c>
      <c r="B16" s="1918">
        <v>52727</v>
      </c>
      <c r="C16" s="1919"/>
      <c r="D16" s="1554"/>
      <c r="E16" s="1554"/>
      <c r="F16" s="1554">
        <v>10000</v>
      </c>
      <c r="G16" s="1554"/>
      <c r="H16" s="1554"/>
      <c r="I16" s="1554">
        <v>50</v>
      </c>
      <c r="J16" s="1554"/>
      <c r="K16" s="1554"/>
      <c r="L16" s="1554"/>
      <c r="M16" s="1554"/>
      <c r="N16" s="1554"/>
      <c r="O16" s="1554"/>
      <c r="P16" s="1554"/>
      <c r="Q16" s="1920"/>
      <c r="R16" s="1920"/>
      <c r="S16" s="1554"/>
      <c r="T16" s="1912" t="s">
        <v>55</v>
      </c>
      <c r="U16" s="1912"/>
      <c r="V16" s="1925">
        <f>Y12</f>
        <v>101036.7335</v>
      </c>
      <c r="W16" s="1925"/>
      <c r="X16" s="1920"/>
    </row>
    <row r="17" spans="1:25" ht="28.5" customHeight="1" x14ac:dyDescent="0.25">
      <c r="A17" s="101" t="s">
        <v>44</v>
      </c>
      <c r="B17" s="1918">
        <v>43979</v>
      </c>
      <c r="C17" s="1919"/>
      <c r="D17" s="1554"/>
      <c r="E17" s="1554"/>
      <c r="F17" s="1554"/>
      <c r="G17" s="1554"/>
      <c r="H17" s="1554"/>
      <c r="I17" s="1554"/>
      <c r="J17" s="1554"/>
      <c r="K17" s="1554"/>
      <c r="L17" s="1554"/>
      <c r="M17" s="1554"/>
      <c r="N17" s="1554"/>
      <c r="O17" s="1554"/>
      <c r="P17" s="1554"/>
      <c r="Q17" s="1883"/>
      <c r="R17" s="1883"/>
      <c r="S17" s="1550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98067</v>
      </c>
      <c r="C18" s="1919"/>
      <c r="D18" s="1556">
        <f>E12</f>
        <v>0</v>
      </c>
      <c r="E18" s="1556">
        <f>G12</f>
        <v>0</v>
      </c>
      <c r="F18" s="1556">
        <f>I12</f>
        <v>20</v>
      </c>
      <c r="G18" s="1556">
        <f>K12</f>
        <v>70</v>
      </c>
      <c r="H18" s="1554"/>
      <c r="I18" s="1556">
        <f>U12</f>
        <v>10</v>
      </c>
      <c r="J18" s="1554"/>
      <c r="K18" s="1556">
        <f>W12</f>
        <v>0</v>
      </c>
      <c r="L18" s="1554"/>
      <c r="M18" s="1556">
        <f>M12</f>
        <v>0</v>
      </c>
      <c r="N18" s="1556">
        <f>O12</f>
        <v>0</v>
      </c>
      <c r="O18" s="1555">
        <f>Q12</f>
        <v>0</v>
      </c>
      <c r="P18" s="1556"/>
      <c r="Q18" s="1920"/>
      <c r="R18" s="1920"/>
      <c r="S18" s="1551"/>
      <c r="T18" s="1912" t="s">
        <v>57</v>
      </c>
      <c r="U18" s="1912"/>
      <c r="V18" s="1920">
        <v>10470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318946</v>
      </c>
      <c r="C19" s="1919"/>
      <c r="D19" s="1554">
        <f>D15+D16+D17-D18</f>
        <v>80</v>
      </c>
      <c r="E19" s="1554">
        <f t="shared" ref="E19:N19" si="13">E15+E16+E17-E18</f>
        <v>60</v>
      </c>
      <c r="F19" s="1554">
        <f t="shared" si="13"/>
        <v>17100</v>
      </c>
      <c r="G19" s="1554">
        <f t="shared" si="13"/>
        <v>80</v>
      </c>
      <c r="H19" s="1554">
        <f t="shared" si="13"/>
        <v>72</v>
      </c>
      <c r="I19" s="1554">
        <f t="shared" si="13"/>
        <v>57</v>
      </c>
      <c r="J19" s="1554">
        <f t="shared" si="13"/>
        <v>4</v>
      </c>
      <c r="K19" s="1554">
        <f t="shared" si="13"/>
        <v>76</v>
      </c>
      <c r="L19" s="1554">
        <f t="shared" si="13"/>
        <v>0</v>
      </c>
      <c r="M19" s="1554">
        <f t="shared" si="13"/>
        <v>0</v>
      </c>
      <c r="N19" s="1554">
        <f t="shared" si="13"/>
        <v>0</v>
      </c>
      <c r="O19" s="1554">
        <f>O15+O16+O17-O18</f>
        <v>0</v>
      </c>
      <c r="P19" s="1554">
        <f t="shared" ref="P19:Q19" si="14">P15+P16+P17-P18</f>
        <v>100</v>
      </c>
      <c r="Q19" s="1918">
        <f t="shared" si="14"/>
        <v>10</v>
      </c>
      <c r="R19" s="1919"/>
      <c r="S19" s="1551">
        <f>S15+S16-S17-S18</f>
        <v>2</v>
      </c>
      <c r="T19" s="1914" t="s">
        <v>48</v>
      </c>
      <c r="U19" s="49" t="s">
        <v>58</v>
      </c>
      <c r="V19" s="1920">
        <v>100000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306985.52500000002</v>
      </c>
      <c r="C20" s="1945"/>
      <c r="D20" s="290">
        <f>D19*66.41</f>
        <v>5312.7999999999993</v>
      </c>
      <c r="E20" s="290">
        <f>27.9368*E19</f>
        <v>1676.2080000000001</v>
      </c>
      <c r="F20" s="290">
        <f>18.31*F19</f>
        <v>313101</v>
      </c>
      <c r="G20" s="290">
        <f>27.9368*G19</f>
        <v>2234.944</v>
      </c>
      <c r="H20" s="290">
        <f>241*H19</f>
        <v>17352</v>
      </c>
      <c r="I20" s="290">
        <f>323*I19</f>
        <v>18411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683839.47700000007</v>
      </c>
      <c r="C21" s="1951"/>
      <c r="O21" s="1558"/>
      <c r="P21" s="1558"/>
      <c r="Q21" s="1558"/>
      <c r="R21" s="1558"/>
      <c r="T21" s="1952" t="s">
        <v>487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100000</v>
      </c>
      <c r="D22" s="1949">
        <v>100000</v>
      </c>
      <c r="E22" s="1949">
        <v>250000</v>
      </c>
      <c r="F22" s="1949">
        <f>C22-D22+E22</f>
        <v>250000</v>
      </c>
      <c r="G22" s="1558"/>
      <c r="Q22" s="1558"/>
      <c r="R22" s="1558"/>
      <c r="T22" s="1909" t="s">
        <v>83</v>
      </c>
      <c r="U22" s="50" t="s">
        <v>60</v>
      </c>
      <c r="V22" s="1920">
        <v>99670</v>
      </c>
      <c r="W22" s="1920"/>
      <c r="X22" s="1920"/>
      <c r="Y22" s="1927"/>
    </row>
    <row r="23" spans="1:25" ht="39.75" customHeight="1" x14ac:dyDescent="0.25">
      <c r="A23" s="1558"/>
      <c r="B23" s="1947"/>
      <c r="C23" s="1950"/>
      <c r="D23" s="1950"/>
      <c r="E23" s="1950"/>
      <c r="F23" s="1950"/>
      <c r="G23" s="1558"/>
      <c r="Q23" s="1558"/>
      <c r="R23" s="1558"/>
      <c r="T23" s="1910"/>
      <c r="U23" s="50" t="s">
        <v>61</v>
      </c>
      <c r="V23" s="1920">
        <v>100000</v>
      </c>
      <c r="W23" s="1920"/>
      <c r="X23" s="1920"/>
      <c r="Y23" s="1927"/>
    </row>
    <row r="24" spans="1:25" ht="48" customHeight="1" x14ac:dyDescent="0.25">
      <c r="A24" s="1558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558"/>
      <c r="Q24" s="1558"/>
      <c r="R24" s="1558"/>
      <c r="T24" s="1893" t="s">
        <v>47</v>
      </c>
      <c r="U24" s="51" t="s">
        <v>62</v>
      </c>
      <c r="V24" s="1921">
        <f>V14+V16+V17-V18-V19-V20-V22+V23-V21</f>
        <v>35188.733500000002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83372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558"/>
      <c r="J33" s="1558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0337E-37A8-422E-81B3-547C70BD54A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559"/>
      <c r="B3" s="1559"/>
      <c r="C3" s="1559"/>
      <c r="D3" s="1559"/>
      <c r="E3" s="1559"/>
      <c r="F3" s="1559"/>
      <c r="G3" s="1559"/>
      <c r="H3" s="1559"/>
      <c r="I3" s="1559"/>
      <c r="J3" s="1559"/>
      <c r="K3" s="1559"/>
      <c r="L3" s="1559"/>
      <c r="M3" s="1559"/>
      <c r="N3" s="1559"/>
      <c r="O3" s="1559"/>
      <c r="P3" s="1559"/>
      <c r="Q3" s="1559"/>
      <c r="R3" s="1559"/>
      <c r="S3" s="1559"/>
      <c r="T3" s="1900" t="s">
        <v>506</v>
      </c>
      <c r="U3" s="1900"/>
      <c r="V3" s="1900"/>
      <c r="W3" s="1900"/>
      <c r="X3" s="1900"/>
      <c r="Y3" s="1900"/>
    </row>
    <row r="4" spans="1:25" s="155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559" customFormat="1" ht="25.5" customHeight="1" x14ac:dyDescent="0.25">
      <c r="A5" s="1901"/>
      <c r="B5" s="1901"/>
      <c r="C5" s="1561" t="s">
        <v>42</v>
      </c>
      <c r="D5" s="1561" t="s">
        <v>43</v>
      </c>
      <c r="E5" s="1561" t="s">
        <v>42</v>
      </c>
      <c r="F5" s="1561" t="s">
        <v>43</v>
      </c>
      <c r="G5" s="1561" t="s">
        <v>42</v>
      </c>
      <c r="H5" s="1561" t="s">
        <v>43</v>
      </c>
      <c r="I5" s="1561" t="s">
        <v>42</v>
      </c>
      <c r="J5" s="1561" t="s">
        <v>43</v>
      </c>
      <c r="K5" s="1561" t="s">
        <v>42</v>
      </c>
      <c r="L5" s="1561" t="s">
        <v>43</v>
      </c>
      <c r="M5" s="1561" t="s">
        <v>42</v>
      </c>
      <c r="N5" s="1561" t="s">
        <v>43</v>
      </c>
      <c r="O5" s="1561" t="s">
        <v>42</v>
      </c>
      <c r="P5" s="1561" t="s">
        <v>43</v>
      </c>
      <c r="Q5" s="1561" t="s">
        <v>42</v>
      </c>
      <c r="R5" s="15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560" t="s">
        <v>71</v>
      </c>
      <c r="C6" s="1563">
        <v>46258</v>
      </c>
      <c r="D6" s="1564">
        <f t="shared" ref="D6:D11" si="0">0.9725*C6</f>
        <v>44985.904999999999</v>
      </c>
      <c r="E6" s="1563">
        <v>20</v>
      </c>
      <c r="F6" s="1564">
        <f>67.1*E6</f>
        <v>1342</v>
      </c>
      <c r="G6" s="1563">
        <v>60</v>
      </c>
      <c r="H6" s="1563">
        <f>28.2*G6</f>
        <v>1692</v>
      </c>
      <c r="I6" s="1563">
        <v>660</v>
      </c>
      <c r="J6" s="1563">
        <f>18.5*I6</f>
        <v>12210</v>
      </c>
      <c r="K6" s="1563"/>
      <c r="L6" s="1564">
        <f>28.2368*K6</f>
        <v>0</v>
      </c>
      <c r="M6" s="1563"/>
      <c r="N6" s="1564">
        <f>M6*47.6525</f>
        <v>0</v>
      </c>
      <c r="O6" s="1563"/>
      <c r="P6" s="1564">
        <f>O6*8.9</f>
        <v>0</v>
      </c>
      <c r="Q6" s="1564"/>
      <c r="R6" s="1564">
        <f>241*Q6</f>
        <v>0</v>
      </c>
      <c r="S6" s="1563"/>
      <c r="T6" s="1563">
        <f>241*S6</f>
        <v>0</v>
      </c>
      <c r="U6" s="1563">
        <v>3</v>
      </c>
      <c r="V6" s="1563">
        <f>332*U6</f>
        <v>996</v>
      </c>
      <c r="W6" s="1563"/>
      <c r="X6" s="19">
        <f>W6*100</f>
        <v>0</v>
      </c>
      <c r="Y6" s="20">
        <f t="shared" ref="Y6:Y12" si="1">D6+F6+H6+J6+L6+N6+P6+R6+T6+V6+X6</f>
        <v>61225.904999999999</v>
      </c>
    </row>
    <row r="7" spans="1:25" ht="31.5" customHeight="1" x14ac:dyDescent="0.25">
      <c r="A7" s="12">
        <v>1984225578</v>
      </c>
      <c r="B7" s="1560" t="s">
        <v>72</v>
      </c>
      <c r="C7" s="1563">
        <v>26161</v>
      </c>
      <c r="D7" s="1564">
        <f t="shared" si="0"/>
        <v>25441.572500000002</v>
      </c>
      <c r="E7" s="1563">
        <v>10</v>
      </c>
      <c r="F7" s="1563">
        <f t="shared" ref="F7:F11" si="2">67.1*E7</f>
        <v>671</v>
      </c>
      <c r="G7" s="1563"/>
      <c r="H7" s="1563">
        <f t="shared" ref="H7:H11" si="3">28.2*G7</f>
        <v>0</v>
      </c>
      <c r="I7" s="1563">
        <v>1000</v>
      </c>
      <c r="J7" s="1563">
        <f t="shared" ref="J7:J11" si="4">18.5*I7</f>
        <v>18500</v>
      </c>
      <c r="K7" s="1563"/>
      <c r="L7" s="1564">
        <f t="shared" ref="L7:L11" si="5">28.2368*K7</f>
        <v>0</v>
      </c>
      <c r="M7" s="1563"/>
      <c r="N7" s="1564">
        <f t="shared" ref="N7:N11" si="6">M7*47.6525</f>
        <v>0</v>
      </c>
      <c r="O7" s="1563"/>
      <c r="P7" s="1564">
        <f t="shared" ref="P7:P11" si="7">O7*8.9</f>
        <v>0</v>
      </c>
      <c r="Q7" s="1564"/>
      <c r="R7" s="1564">
        <f t="shared" ref="R7:R11" si="8">241*Q7</f>
        <v>0</v>
      </c>
      <c r="S7" s="1563"/>
      <c r="T7" s="1563">
        <f t="shared" ref="T7:T10" si="9">241*S7</f>
        <v>0</v>
      </c>
      <c r="U7" s="1563"/>
      <c r="V7" s="1563">
        <f t="shared" ref="V7:V11" si="10">332*U7</f>
        <v>0</v>
      </c>
      <c r="W7" s="1563"/>
      <c r="X7" s="19">
        <f t="shared" ref="X7:X11" si="11">W7*100</f>
        <v>0</v>
      </c>
      <c r="Y7" s="20">
        <f t="shared" si="1"/>
        <v>44612.572500000002</v>
      </c>
    </row>
    <row r="8" spans="1:25" ht="35.25" customHeight="1" x14ac:dyDescent="0.25">
      <c r="A8" s="12">
        <v>1967020280</v>
      </c>
      <c r="B8" s="1560" t="s">
        <v>427</v>
      </c>
      <c r="C8" s="1563">
        <v>28536</v>
      </c>
      <c r="D8" s="1564">
        <f t="shared" si="0"/>
        <v>27751.260000000002</v>
      </c>
      <c r="E8" s="1563"/>
      <c r="F8" s="1563">
        <f t="shared" si="2"/>
        <v>0</v>
      </c>
      <c r="G8" s="1563"/>
      <c r="H8" s="1564">
        <f t="shared" si="3"/>
        <v>0</v>
      </c>
      <c r="I8" s="1563">
        <v>500</v>
      </c>
      <c r="J8" s="1563">
        <f t="shared" si="4"/>
        <v>9250</v>
      </c>
      <c r="K8" s="1563"/>
      <c r="L8" s="1564">
        <f t="shared" si="5"/>
        <v>0</v>
      </c>
      <c r="M8" s="1563"/>
      <c r="N8" s="1564">
        <f t="shared" si="6"/>
        <v>0</v>
      </c>
      <c r="O8" s="1563"/>
      <c r="P8" s="1564">
        <f t="shared" si="7"/>
        <v>0</v>
      </c>
      <c r="Q8" s="1564"/>
      <c r="R8" s="1564">
        <f t="shared" si="8"/>
        <v>0</v>
      </c>
      <c r="S8" s="1563"/>
      <c r="T8" s="1563">
        <f t="shared" si="9"/>
        <v>0</v>
      </c>
      <c r="U8" s="1563">
        <v>1</v>
      </c>
      <c r="V8" s="1563">
        <f t="shared" si="10"/>
        <v>332</v>
      </c>
      <c r="W8" s="1563"/>
      <c r="X8" s="19">
        <f t="shared" si="11"/>
        <v>0</v>
      </c>
      <c r="Y8" s="20">
        <f t="shared" si="1"/>
        <v>37333.26</v>
      </c>
    </row>
    <row r="9" spans="1:25" ht="38.25" customHeight="1" x14ac:dyDescent="0.25">
      <c r="A9" s="12">
        <v>1984225580</v>
      </c>
      <c r="B9" s="1560" t="s">
        <v>75</v>
      </c>
      <c r="C9" s="1563">
        <v>28778</v>
      </c>
      <c r="D9" s="1564">
        <f t="shared" si="0"/>
        <v>27986.605</v>
      </c>
      <c r="E9" s="1563"/>
      <c r="F9" s="1563">
        <f t="shared" si="2"/>
        <v>0</v>
      </c>
      <c r="G9" s="1563"/>
      <c r="H9" s="1563">
        <f t="shared" si="3"/>
        <v>0</v>
      </c>
      <c r="I9" s="1563">
        <v>2350</v>
      </c>
      <c r="J9" s="1563">
        <f t="shared" si="4"/>
        <v>43475</v>
      </c>
      <c r="K9" s="1563"/>
      <c r="L9" s="1564">
        <f t="shared" si="5"/>
        <v>0</v>
      </c>
      <c r="M9" s="1563"/>
      <c r="N9" s="1564">
        <f t="shared" si="6"/>
        <v>0</v>
      </c>
      <c r="O9" s="1563"/>
      <c r="P9" s="1564">
        <f t="shared" si="7"/>
        <v>0</v>
      </c>
      <c r="Q9" s="1564"/>
      <c r="R9" s="1564">
        <f t="shared" si="8"/>
        <v>0</v>
      </c>
      <c r="S9" s="1563"/>
      <c r="T9" s="1563">
        <f t="shared" si="9"/>
        <v>0</v>
      </c>
      <c r="U9" s="1563">
        <v>2</v>
      </c>
      <c r="V9" s="1563">
        <f t="shared" si="10"/>
        <v>664</v>
      </c>
      <c r="W9" s="1563">
        <v>6</v>
      </c>
      <c r="X9" s="19">
        <f t="shared" si="11"/>
        <v>600</v>
      </c>
      <c r="Y9" s="20">
        <f t="shared" si="1"/>
        <v>72725.604999999996</v>
      </c>
    </row>
    <row r="10" spans="1:25" ht="35.25" customHeight="1" x14ac:dyDescent="0.25">
      <c r="A10" s="12">
        <v>1409935199</v>
      </c>
      <c r="C10" s="1563"/>
      <c r="D10" s="1564">
        <f t="shared" si="0"/>
        <v>0</v>
      </c>
      <c r="E10" s="1563"/>
      <c r="F10" s="1563">
        <f t="shared" si="2"/>
        <v>0</v>
      </c>
      <c r="G10" s="1563"/>
      <c r="H10" s="1563">
        <f t="shared" si="3"/>
        <v>0</v>
      </c>
      <c r="I10" s="1563">
        <v>1000</v>
      </c>
      <c r="J10" s="1563">
        <f t="shared" si="4"/>
        <v>18500</v>
      </c>
      <c r="K10" s="1563"/>
      <c r="L10" s="1564">
        <f t="shared" si="5"/>
        <v>0</v>
      </c>
      <c r="M10" s="1563"/>
      <c r="N10" s="1564">
        <f t="shared" si="6"/>
        <v>0</v>
      </c>
      <c r="O10" s="1563"/>
      <c r="P10" s="1564">
        <f t="shared" si="7"/>
        <v>0</v>
      </c>
      <c r="Q10" s="1564"/>
      <c r="R10" s="1564">
        <f t="shared" si="8"/>
        <v>0</v>
      </c>
      <c r="S10" s="1563"/>
      <c r="T10" s="1563">
        <f t="shared" si="9"/>
        <v>0</v>
      </c>
      <c r="U10" s="1563"/>
      <c r="V10" s="1563">
        <f t="shared" si="10"/>
        <v>0</v>
      </c>
      <c r="W10" s="1563"/>
      <c r="X10" s="19">
        <f t="shared" si="11"/>
        <v>0</v>
      </c>
      <c r="Y10" s="20">
        <f t="shared" si="1"/>
        <v>18500</v>
      </c>
    </row>
    <row r="11" spans="1:25" ht="37.5" customHeight="1" x14ac:dyDescent="0.25">
      <c r="A11" s="12"/>
      <c r="B11" s="1562"/>
      <c r="C11" s="1563"/>
      <c r="D11" s="1564">
        <f t="shared" si="0"/>
        <v>0</v>
      </c>
      <c r="E11" s="1563"/>
      <c r="F11" s="1563">
        <f t="shared" si="2"/>
        <v>0</v>
      </c>
      <c r="G11" s="1563"/>
      <c r="H11" s="1563">
        <f t="shared" si="3"/>
        <v>0</v>
      </c>
      <c r="I11" s="1563"/>
      <c r="J11" s="1563">
        <f t="shared" si="4"/>
        <v>0</v>
      </c>
      <c r="K11" s="1563"/>
      <c r="L11" s="1564">
        <f t="shared" si="5"/>
        <v>0</v>
      </c>
      <c r="M11" s="1563"/>
      <c r="N11" s="1564">
        <f t="shared" si="6"/>
        <v>0</v>
      </c>
      <c r="O11" s="1563"/>
      <c r="P11" s="1564">
        <f t="shared" si="7"/>
        <v>0</v>
      </c>
      <c r="Q11" s="1564"/>
      <c r="R11" s="1564">
        <f t="shared" si="8"/>
        <v>0</v>
      </c>
      <c r="S11" s="1563"/>
      <c r="T11" s="1563">
        <f>341*S11</f>
        <v>0</v>
      </c>
      <c r="U11" s="1563"/>
      <c r="V11" s="1563">
        <f t="shared" si="10"/>
        <v>0</v>
      </c>
      <c r="W11" s="15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129733</v>
      </c>
      <c r="D12" s="18">
        <f t="shared" si="12"/>
        <v>126165.34250000001</v>
      </c>
      <c r="E12" s="18">
        <f t="shared" si="12"/>
        <v>30</v>
      </c>
      <c r="F12" s="18">
        <f t="shared" si="12"/>
        <v>2013</v>
      </c>
      <c r="G12" s="18">
        <f t="shared" si="12"/>
        <v>60</v>
      </c>
      <c r="H12" s="18">
        <f t="shared" si="12"/>
        <v>1692</v>
      </c>
      <c r="I12" s="18">
        <f t="shared" si="12"/>
        <v>5510</v>
      </c>
      <c r="J12" s="18">
        <f t="shared" si="12"/>
        <v>101935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6</v>
      </c>
      <c r="X12" s="18">
        <f t="shared" si="12"/>
        <v>600</v>
      </c>
      <c r="Y12" s="20">
        <f t="shared" si="1"/>
        <v>234397.34250000003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68" t="s">
        <v>174</v>
      </c>
      <c r="K14" s="30" t="s">
        <v>36</v>
      </c>
      <c r="L14" s="1568" t="s">
        <v>403</v>
      </c>
      <c r="M14" s="30" t="s">
        <v>429</v>
      </c>
      <c r="N14" s="30" t="s">
        <v>442</v>
      </c>
      <c r="O14" s="1568" t="s">
        <v>114</v>
      </c>
      <c r="P14" s="30" t="s">
        <v>70</v>
      </c>
      <c r="Q14" s="1958" t="s">
        <v>479</v>
      </c>
      <c r="R14" s="1959"/>
      <c r="S14" s="1568" t="s">
        <v>401</v>
      </c>
      <c r="T14" s="1893" t="s">
        <v>46</v>
      </c>
      <c r="U14" s="1560" t="s">
        <v>176</v>
      </c>
      <c r="V14" s="1918">
        <v>35189</v>
      </c>
      <c r="W14" s="1926"/>
      <c r="X14" s="1919"/>
    </row>
    <row r="15" spans="1:25" ht="22.5" customHeight="1" x14ac:dyDescent="0.25">
      <c r="A15" s="100" t="s">
        <v>38</v>
      </c>
      <c r="B15" s="1918">
        <v>318946</v>
      </c>
      <c r="C15" s="1919"/>
      <c r="D15" s="1565">
        <v>80</v>
      </c>
      <c r="E15" s="1565">
        <v>60</v>
      </c>
      <c r="F15" s="1565">
        <v>17100</v>
      </c>
      <c r="G15" s="1565">
        <v>80</v>
      </c>
      <c r="H15" s="1565">
        <v>72</v>
      </c>
      <c r="I15" s="1565">
        <v>57</v>
      </c>
      <c r="J15" s="1565">
        <v>4</v>
      </c>
      <c r="K15" s="1565">
        <v>76</v>
      </c>
      <c r="L15" s="1565">
        <v>0</v>
      </c>
      <c r="M15" s="1565">
        <v>0</v>
      </c>
      <c r="N15" s="1565">
        <v>0</v>
      </c>
      <c r="O15" s="1565">
        <v>0</v>
      </c>
      <c r="P15" s="1565">
        <v>100</v>
      </c>
      <c r="Q15" s="1918">
        <v>10</v>
      </c>
      <c r="R15" s="1919"/>
      <c r="S15" s="1560">
        <v>2</v>
      </c>
      <c r="T15" s="1893"/>
      <c r="U15" s="1560" t="s">
        <v>64</v>
      </c>
      <c r="V15" s="1920">
        <v>83372</v>
      </c>
      <c r="W15" s="1920"/>
      <c r="X15" s="1920"/>
    </row>
    <row r="16" spans="1:25" ht="24.75" customHeight="1" x14ac:dyDescent="0.25">
      <c r="A16" s="100" t="s">
        <v>39</v>
      </c>
      <c r="B16" s="1918">
        <v>127792</v>
      </c>
      <c r="C16" s="1919"/>
      <c r="D16" s="1565"/>
      <c r="E16" s="1565"/>
      <c r="F16" s="1565"/>
      <c r="G16" s="1565"/>
      <c r="H16" s="1565"/>
      <c r="I16" s="1565"/>
      <c r="J16" s="1565"/>
      <c r="K16" s="1565"/>
      <c r="L16" s="1565"/>
      <c r="M16" s="1565"/>
      <c r="N16" s="1565"/>
      <c r="O16" s="1565"/>
      <c r="P16" s="1565"/>
      <c r="Q16" s="1920"/>
      <c r="R16" s="1920"/>
      <c r="S16" s="1565"/>
      <c r="T16" s="1912" t="s">
        <v>55</v>
      </c>
      <c r="U16" s="1912"/>
      <c r="V16" s="1925">
        <f>Y12</f>
        <v>234397.34250000003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565"/>
      <c r="E17" s="1565"/>
      <c r="F17" s="1565"/>
      <c r="G17" s="1565"/>
      <c r="H17" s="1565"/>
      <c r="I17" s="1565"/>
      <c r="J17" s="1565"/>
      <c r="K17" s="1565"/>
      <c r="L17" s="1565"/>
      <c r="M17" s="1565"/>
      <c r="N17" s="1565"/>
      <c r="O17" s="1565"/>
      <c r="P17" s="1565"/>
      <c r="Q17" s="1883"/>
      <c r="R17" s="1883"/>
      <c r="S17" s="1562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129733</v>
      </c>
      <c r="C18" s="1919"/>
      <c r="D18" s="1566">
        <f>E12</f>
        <v>30</v>
      </c>
      <c r="E18" s="1566">
        <f>G12</f>
        <v>60</v>
      </c>
      <c r="F18" s="1566">
        <f>I12</f>
        <v>5510</v>
      </c>
      <c r="G18" s="1566">
        <f>K12</f>
        <v>0</v>
      </c>
      <c r="H18" s="1565"/>
      <c r="I18" s="1566">
        <f>U12</f>
        <v>6</v>
      </c>
      <c r="J18" s="1565"/>
      <c r="K18" s="1566">
        <f>W12</f>
        <v>6</v>
      </c>
      <c r="L18" s="1565"/>
      <c r="M18" s="1566">
        <f>M12</f>
        <v>0</v>
      </c>
      <c r="N18" s="1566">
        <f>O12</f>
        <v>0</v>
      </c>
      <c r="O18" s="1567">
        <f>Q12</f>
        <v>0</v>
      </c>
      <c r="P18" s="1566"/>
      <c r="Q18" s="1920"/>
      <c r="R18" s="1920"/>
      <c r="S18" s="1560"/>
      <c r="T18" s="1912" t="s">
        <v>57</v>
      </c>
      <c r="U18" s="1912"/>
      <c r="V18" s="1920">
        <v>53826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317005</v>
      </c>
      <c r="C19" s="1919"/>
      <c r="D19" s="1565">
        <f>D15+D16+D17-D18</f>
        <v>50</v>
      </c>
      <c r="E19" s="1565">
        <f t="shared" ref="E19:N19" si="13">E15+E16+E17-E18</f>
        <v>0</v>
      </c>
      <c r="F19" s="1565">
        <f t="shared" si="13"/>
        <v>11590</v>
      </c>
      <c r="G19" s="1565">
        <f t="shared" si="13"/>
        <v>80</v>
      </c>
      <c r="H19" s="1565">
        <f t="shared" si="13"/>
        <v>72</v>
      </c>
      <c r="I19" s="1565">
        <f t="shared" si="13"/>
        <v>51</v>
      </c>
      <c r="J19" s="1565">
        <f t="shared" si="13"/>
        <v>4</v>
      </c>
      <c r="K19" s="1565">
        <f t="shared" si="13"/>
        <v>70</v>
      </c>
      <c r="L19" s="1565">
        <f t="shared" si="13"/>
        <v>0</v>
      </c>
      <c r="M19" s="1565">
        <f t="shared" si="13"/>
        <v>0</v>
      </c>
      <c r="N19" s="1565">
        <f t="shared" si="13"/>
        <v>0</v>
      </c>
      <c r="O19" s="1565">
        <f>O15+O16+O17-O18</f>
        <v>0</v>
      </c>
      <c r="P19" s="1565">
        <f t="shared" ref="P19:Q19" si="14">P15+P16+P17-P18</f>
        <v>100</v>
      </c>
      <c r="Q19" s="1918">
        <f t="shared" si="14"/>
        <v>10</v>
      </c>
      <c r="R19" s="1919"/>
      <c r="S19" s="1560">
        <f>S15+S16-S17-S18</f>
        <v>2</v>
      </c>
      <c r="T19" s="1914" t="s">
        <v>48</v>
      </c>
      <c r="U19" s="49" t="s">
        <v>58</v>
      </c>
      <c r="V19" s="1920">
        <v>250000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305117.3125</v>
      </c>
      <c r="C20" s="1945"/>
      <c r="D20" s="290">
        <f>D19*66.41</f>
        <v>3320.5</v>
      </c>
      <c r="E20" s="290">
        <f>27.9368*E19</f>
        <v>0</v>
      </c>
      <c r="F20" s="290">
        <f>18.31*F19</f>
        <v>212212.9</v>
      </c>
      <c r="G20" s="290">
        <f>27.9368*G19</f>
        <v>2234.944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574876.65650000004</v>
      </c>
      <c r="C21" s="1951"/>
      <c r="O21" s="1569"/>
      <c r="P21" s="1569"/>
      <c r="Q21" s="1569"/>
      <c r="R21" s="1569"/>
      <c r="T21" s="1952" t="s">
        <v>487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250000</v>
      </c>
      <c r="D22" s="1949">
        <v>250000</v>
      </c>
      <c r="E22" s="1949">
        <v>123000</v>
      </c>
      <c r="F22" s="1949">
        <f>C22-D22+E22</f>
        <v>123000</v>
      </c>
      <c r="G22" s="1569"/>
      <c r="Q22" s="1569"/>
      <c r="R22" s="1569"/>
      <c r="T22" s="1909" t="s">
        <v>83</v>
      </c>
      <c r="U22" s="50" t="s">
        <v>60</v>
      </c>
      <c r="V22" s="1920">
        <v>198800</v>
      </c>
      <c r="W22" s="1920"/>
      <c r="X22" s="1920"/>
      <c r="Y22" s="1927"/>
    </row>
    <row r="23" spans="1:25" ht="39.75" customHeight="1" x14ac:dyDescent="0.25">
      <c r="A23" s="1569"/>
      <c r="B23" s="1947"/>
      <c r="C23" s="1950"/>
      <c r="D23" s="1950"/>
      <c r="E23" s="1950"/>
      <c r="F23" s="1950"/>
      <c r="G23" s="1569"/>
      <c r="Q23" s="1569"/>
      <c r="R23" s="1569"/>
      <c r="T23" s="1910"/>
      <c r="U23" s="50" t="s">
        <v>61</v>
      </c>
      <c r="V23" s="1920">
        <v>250000</v>
      </c>
      <c r="W23" s="1920"/>
      <c r="X23" s="1920"/>
      <c r="Y23" s="1927"/>
    </row>
    <row r="24" spans="1:25" ht="48" customHeight="1" x14ac:dyDescent="0.25">
      <c r="A24" s="1569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569"/>
      <c r="Q24" s="1569"/>
      <c r="R24" s="1569"/>
      <c r="T24" s="1893" t="s">
        <v>47</v>
      </c>
      <c r="U24" s="51" t="s">
        <v>62</v>
      </c>
      <c r="V24" s="1921">
        <f>V14+V16+V17-V18-V19-V20-V22+V23-V21</f>
        <v>16960.342500000028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32172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569"/>
      <c r="J33" s="1569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0B81-568C-4BE6-A2F7-D1F592A64C0B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575"/>
      <c r="B3" s="1575"/>
      <c r="C3" s="1575"/>
      <c r="D3" s="1575"/>
      <c r="E3" s="1575"/>
      <c r="F3" s="1575"/>
      <c r="G3" s="1575"/>
      <c r="H3" s="1575"/>
      <c r="I3" s="1575"/>
      <c r="J3" s="1575"/>
      <c r="K3" s="1575"/>
      <c r="L3" s="1575"/>
      <c r="M3" s="1575"/>
      <c r="N3" s="1575"/>
      <c r="O3" s="1575"/>
      <c r="P3" s="1575"/>
      <c r="Q3" s="1575"/>
      <c r="R3" s="1575"/>
      <c r="S3" s="1575"/>
      <c r="T3" s="1900" t="s">
        <v>507</v>
      </c>
      <c r="U3" s="1900"/>
      <c r="V3" s="1900"/>
      <c r="W3" s="1900"/>
      <c r="X3" s="1900"/>
      <c r="Y3" s="1900"/>
    </row>
    <row r="4" spans="1:25" s="157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575" customFormat="1" ht="25.5" customHeight="1" x14ac:dyDescent="0.25">
      <c r="A5" s="1901"/>
      <c r="B5" s="1901"/>
      <c r="C5" s="1574" t="s">
        <v>42</v>
      </c>
      <c r="D5" s="1574" t="s">
        <v>43</v>
      </c>
      <c r="E5" s="1574" t="s">
        <v>42</v>
      </c>
      <c r="F5" s="1574" t="s">
        <v>43</v>
      </c>
      <c r="G5" s="1574" t="s">
        <v>42</v>
      </c>
      <c r="H5" s="1574" t="s">
        <v>43</v>
      </c>
      <c r="I5" s="1574" t="s">
        <v>42</v>
      </c>
      <c r="J5" s="1574" t="s">
        <v>43</v>
      </c>
      <c r="K5" s="1574" t="s">
        <v>42</v>
      </c>
      <c r="L5" s="1574" t="s">
        <v>43</v>
      </c>
      <c r="M5" s="1574" t="s">
        <v>42</v>
      </c>
      <c r="N5" s="1574" t="s">
        <v>43</v>
      </c>
      <c r="O5" s="1574" t="s">
        <v>42</v>
      </c>
      <c r="P5" s="1574" t="s">
        <v>43</v>
      </c>
      <c r="Q5" s="1574" t="s">
        <v>42</v>
      </c>
      <c r="R5" s="15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573" t="s">
        <v>71</v>
      </c>
      <c r="C6" s="1571">
        <v>22387</v>
      </c>
      <c r="D6" s="1570">
        <f t="shared" ref="D6:D11" si="0">0.9725*C6</f>
        <v>21771.357500000002</v>
      </c>
      <c r="E6" s="1571"/>
      <c r="F6" s="1570">
        <f>67.1*E6</f>
        <v>0</v>
      </c>
      <c r="G6" s="1571"/>
      <c r="H6" s="1571">
        <f>28.2*G6</f>
        <v>0</v>
      </c>
      <c r="I6" s="1571">
        <v>240</v>
      </c>
      <c r="J6" s="1571">
        <f>18.5*I6</f>
        <v>4440</v>
      </c>
      <c r="K6" s="1571"/>
      <c r="L6" s="1570">
        <f>28.2368*K6</f>
        <v>0</v>
      </c>
      <c r="M6" s="1571"/>
      <c r="N6" s="1570">
        <f>M6*47.6525</f>
        <v>0</v>
      </c>
      <c r="O6" s="1571"/>
      <c r="P6" s="1570">
        <f>O6*8.9</f>
        <v>0</v>
      </c>
      <c r="Q6" s="1570"/>
      <c r="R6" s="1570">
        <f>241*Q6</f>
        <v>0</v>
      </c>
      <c r="S6" s="1571"/>
      <c r="T6" s="1571">
        <f>241*S6</f>
        <v>0</v>
      </c>
      <c r="U6" s="1571"/>
      <c r="V6" s="1571">
        <f>332*U6</f>
        <v>0</v>
      </c>
      <c r="W6" s="1571"/>
      <c r="X6" s="19">
        <f>W6*100</f>
        <v>0</v>
      </c>
      <c r="Y6" s="20">
        <f t="shared" ref="Y6:Y12" si="1">D6+F6+H6+J6+L6+N6+P6+R6+T6+V6+X6</f>
        <v>26211.357500000002</v>
      </c>
    </row>
    <row r="7" spans="1:25" ht="31.5" customHeight="1" x14ac:dyDescent="0.25">
      <c r="A7" s="12">
        <v>1984225578</v>
      </c>
      <c r="B7" s="1573" t="s">
        <v>72</v>
      </c>
      <c r="C7" s="1571">
        <v>46349</v>
      </c>
      <c r="D7" s="1570">
        <f t="shared" si="0"/>
        <v>45074.402500000004</v>
      </c>
      <c r="E7" s="1571"/>
      <c r="F7" s="1571">
        <f t="shared" ref="F7:F11" si="2">67.1*E7</f>
        <v>0</v>
      </c>
      <c r="G7" s="1571"/>
      <c r="H7" s="1571">
        <f t="shared" ref="H7:H11" si="3">28.2*G7</f>
        <v>0</v>
      </c>
      <c r="I7" s="1571">
        <v>1800</v>
      </c>
      <c r="J7" s="1571">
        <f t="shared" ref="J7:J11" si="4">18.5*I7</f>
        <v>33300</v>
      </c>
      <c r="K7" s="1571"/>
      <c r="L7" s="1570">
        <f t="shared" ref="L7:L11" si="5">28.2368*K7</f>
        <v>0</v>
      </c>
      <c r="M7" s="1571"/>
      <c r="N7" s="1570">
        <f t="shared" ref="N7:N11" si="6">M7*47.6525</f>
        <v>0</v>
      </c>
      <c r="O7" s="1571"/>
      <c r="P7" s="1570">
        <f t="shared" ref="P7:P11" si="7">O7*8.9</f>
        <v>0</v>
      </c>
      <c r="Q7" s="1570"/>
      <c r="R7" s="1570">
        <f t="shared" ref="R7:R11" si="8">241*Q7</f>
        <v>0</v>
      </c>
      <c r="S7" s="1571"/>
      <c r="T7" s="1571">
        <f t="shared" ref="T7:T10" si="9">241*S7</f>
        <v>0</v>
      </c>
      <c r="U7" s="1571"/>
      <c r="V7" s="1571">
        <f t="shared" ref="V7:V11" si="10">332*U7</f>
        <v>0</v>
      </c>
      <c r="W7" s="1571"/>
      <c r="X7" s="19">
        <f t="shared" ref="X7:X11" si="11">W7*100</f>
        <v>0</v>
      </c>
      <c r="Y7" s="20">
        <f t="shared" si="1"/>
        <v>78374.402499999997</v>
      </c>
    </row>
    <row r="8" spans="1:25" ht="35.25" customHeight="1" x14ac:dyDescent="0.25">
      <c r="A8" s="12">
        <v>1967020280</v>
      </c>
      <c r="B8" s="1573" t="s">
        <v>427</v>
      </c>
      <c r="C8" s="1571">
        <v>34510</v>
      </c>
      <c r="D8" s="1570">
        <f t="shared" si="0"/>
        <v>33560.974999999999</v>
      </c>
      <c r="E8" s="1571"/>
      <c r="F8" s="1571">
        <f t="shared" si="2"/>
        <v>0</v>
      </c>
      <c r="G8" s="1571"/>
      <c r="H8" s="1570">
        <f t="shared" si="3"/>
        <v>0</v>
      </c>
      <c r="I8" s="1571">
        <v>50</v>
      </c>
      <c r="J8" s="1571">
        <f t="shared" si="4"/>
        <v>925</v>
      </c>
      <c r="K8" s="1571">
        <v>50</v>
      </c>
      <c r="L8" s="1570">
        <f t="shared" si="5"/>
        <v>1411.84</v>
      </c>
      <c r="M8" s="1571"/>
      <c r="N8" s="1570">
        <f t="shared" si="6"/>
        <v>0</v>
      </c>
      <c r="O8" s="1571"/>
      <c r="P8" s="1570">
        <f t="shared" si="7"/>
        <v>0</v>
      </c>
      <c r="Q8" s="1570"/>
      <c r="R8" s="1570">
        <f t="shared" si="8"/>
        <v>0</v>
      </c>
      <c r="S8" s="1571"/>
      <c r="T8" s="1571">
        <f t="shared" si="9"/>
        <v>0</v>
      </c>
      <c r="U8" s="1571"/>
      <c r="V8" s="1571">
        <f t="shared" si="10"/>
        <v>0</v>
      </c>
      <c r="W8" s="1571"/>
      <c r="X8" s="19">
        <f t="shared" si="11"/>
        <v>0</v>
      </c>
      <c r="Y8" s="20">
        <f t="shared" si="1"/>
        <v>35897.814999999995</v>
      </c>
    </row>
    <row r="9" spans="1:25" ht="38.25" customHeight="1" x14ac:dyDescent="0.25">
      <c r="A9" s="12">
        <v>1984225580</v>
      </c>
      <c r="B9" s="1573" t="s">
        <v>75</v>
      </c>
      <c r="C9" s="1571">
        <v>58904</v>
      </c>
      <c r="D9" s="1570">
        <f t="shared" si="0"/>
        <v>57284.14</v>
      </c>
      <c r="E9" s="1571">
        <v>20</v>
      </c>
      <c r="F9" s="1571">
        <f t="shared" si="2"/>
        <v>1342</v>
      </c>
      <c r="G9" s="1571"/>
      <c r="H9" s="1571">
        <f t="shared" si="3"/>
        <v>0</v>
      </c>
      <c r="I9" s="1571">
        <v>150</v>
      </c>
      <c r="J9" s="1571">
        <f t="shared" si="4"/>
        <v>2775</v>
      </c>
      <c r="K9" s="1571"/>
      <c r="L9" s="1570">
        <f t="shared" si="5"/>
        <v>0</v>
      </c>
      <c r="M9" s="1571"/>
      <c r="N9" s="1570">
        <f t="shared" si="6"/>
        <v>0</v>
      </c>
      <c r="O9" s="1571"/>
      <c r="P9" s="1570">
        <f t="shared" si="7"/>
        <v>0</v>
      </c>
      <c r="Q9" s="1570"/>
      <c r="R9" s="1570">
        <f t="shared" si="8"/>
        <v>0</v>
      </c>
      <c r="S9" s="1571"/>
      <c r="T9" s="1571">
        <f t="shared" si="9"/>
        <v>0</v>
      </c>
      <c r="U9" s="1571"/>
      <c r="V9" s="1571">
        <f t="shared" si="10"/>
        <v>0</v>
      </c>
      <c r="W9" s="1571"/>
      <c r="X9" s="19">
        <f t="shared" si="11"/>
        <v>0</v>
      </c>
      <c r="Y9" s="20">
        <f t="shared" si="1"/>
        <v>61401.14</v>
      </c>
    </row>
    <row r="10" spans="1:25" ht="35.25" customHeight="1" x14ac:dyDescent="0.25">
      <c r="A10" s="12">
        <v>1409935199</v>
      </c>
      <c r="C10" s="1571">
        <v>6650</v>
      </c>
      <c r="D10" s="1570">
        <f t="shared" si="0"/>
        <v>6467.125</v>
      </c>
      <c r="E10" s="1571"/>
      <c r="F10" s="1571">
        <f t="shared" si="2"/>
        <v>0</v>
      </c>
      <c r="G10" s="1571"/>
      <c r="H10" s="1571">
        <f t="shared" si="3"/>
        <v>0</v>
      </c>
      <c r="I10" s="1571"/>
      <c r="J10" s="1571">
        <f t="shared" si="4"/>
        <v>0</v>
      </c>
      <c r="K10" s="1571"/>
      <c r="L10" s="1570">
        <f t="shared" si="5"/>
        <v>0</v>
      </c>
      <c r="M10" s="1571"/>
      <c r="N10" s="1570">
        <f t="shared" si="6"/>
        <v>0</v>
      </c>
      <c r="O10" s="1571"/>
      <c r="P10" s="1570">
        <f t="shared" si="7"/>
        <v>0</v>
      </c>
      <c r="Q10" s="1570"/>
      <c r="R10" s="1570">
        <f t="shared" si="8"/>
        <v>0</v>
      </c>
      <c r="S10" s="1571"/>
      <c r="T10" s="1571">
        <f t="shared" si="9"/>
        <v>0</v>
      </c>
      <c r="U10" s="1571"/>
      <c r="V10" s="1571">
        <f t="shared" si="10"/>
        <v>0</v>
      </c>
      <c r="W10" s="1571"/>
      <c r="X10" s="19">
        <f t="shared" si="11"/>
        <v>0</v>
      </c>
      <c r="Y10" s="20">
        <f t="shared" si="1"/>
        <v>6467.125</v>
      </c>
    </row>
    <row r="11" spans="1:25" ht="37.5" customHeight="1" x14ac:dyDescent="0.25">
      <c r="A11" s="12"/>
      <c r="B11" s="1572"/>
      <c r="C11" s="1571"/>
      <c r="D11" s="1570">
        <f t="shared" si="0"/>
        <v>0</v>
      </c>
      <c r="E11" s="1571"/>
      <c r="F11" s="1571">
        <f t="shared" si="2"/>
        <v>0</v>
      </c>
      <c r="G11" s="1571"/>
      <c r="H11" s="1571">
        <f t="shared" si="3"/>
        <v>0</v>
      </c>
      <c r="I11" s="1571"/>
      <c r="J11" s="1571">
        <f t="shared" si="4"/>
        <v>0</v>
      </c>
      <c r="K11" s="1571"/>
      <c r="L11" s="1570">
        <f t="shared" si="5"/>
        <v>0</v>
      </c>
      <c r="M11" s="1571"/>
      <c r="N11" s="1570">
        <f t="shared" si="6"/>
        <v>0</v>
      </c>
      <c r="O11" s="1571"/>
      <c r="P11" s="1570">
        <f t="shared" si="7"/>
        <v>0</v>
      </c>
      <c r="Q11" s="1570"/>
      <c r="R11" s="1570">
        <f t="shared" si="8"/>
        <v>0</v>
      </c>
      <c r="S11" s="1571"/>
      <c r="T11" s="1571">
        <f>341*S11</f>
        <v>0</v>
      </c>
      <c r="U11" s="1571"/>
      <c r="V11" s="1571">
        <f t="shared" si="10"/>
        <v>0</v>
      </c>
      <c r="W11" s="15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168800</v>
      </c>
      <c r="D12" s="18">
        <f t="shared" si="12"/>
        <v>164158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2240</v>
      </c>
      <c r="J12" s="18">
        <f t="shared" si="12"/>
        <v>41440</v>
      </c>
      <c r="K12" s="18">
        <f t="shared" si="12"/>
        <v>50</v>
      </c>
      <c r="L12" s="18">
        <f t="shared" si="12"/>
        <v>1411.84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208351.84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79" t="s">
        <v>174</v>
      </c>
      <c r="K14" s="30" t="s">
        <v>36</v>
      </c>
      <c r="L14" s="1579" t="s">
        <v>403</v>
      </c>
      <c r="M14" s="30" t="s">
        <v>429</v>
      </c>
      <c r="N14" s="30" t="s">
        <v>442</v>
      </c>
      <c r="O14" s="1579" t="s">
        <v>114</v>
      </c>
      <c r="P14" s="30" t="s">
        <v>70</v>
      </c>
      <c r="Q14" s="1958" t="s">
        <v>479</v>
      </c>
      <c r="R14" s="1959"/>
      <c r="S14" s="1579" t="s">
        <v>401</v>
      </c>
      <c r="T14" s="1893" t="s">
        <v>46</v>
      </c>
      <c r="U14" s="1573" t="s">
        <v>176</v>
      </c>
      <c r="V14" s="1918">
        <v>16960</v>
      </c>
      <c r="W14" s="1926"/>
      <c r="X14" s="1919"/>
    </row>
    <row r="15" spans="1:25" ht="22.5" customHeight="1" x14ac:dyDescent="0.25">
      <c r="A15" s="100" t="s">
        <v>38</v>
      </c>
      <c r="B15" s="1918">
        <v>317005</v>
      </c>
      <c r="C15" s="1919"/>
      <c r="D15" s="1576">
        <v>50</v>
      </c>
      <c r="E15" s="1576">
        <v>0</v>
      </c>
      <c r="F15" s="1576">
        <v>11590</v>
      </c>
      <c r="G15" s="1576">
        <v>80</v>
      </c>
      <c r="H15" s="1576">
        <v>72</v>
      </c>
      <c r="I15" s="1576">
        <v>51</v>
      </c>
      <c r="J15" s="1576">
        <v>4</v>
      </c>
      <c r="K15" s="1576">
        <v>70</v>
      </c>
      <c r="L15" s="1576">
        <v>0</v>
      </c>
      <c r="M15" s="1576">
        <v>0</v>
      </c>
      <c r="N15" s="1576">
        <v>0</v>
      </c>
      <c r="O15" s="1576">
        <v>0</v>
      </c>
      <c r="P15" s="1576">
        <v>100</v>
      </c>
      <c r="Q15" s="1918">
        <v>10</v>
      </c>
      <c r="R15" s="1919"/>
      <c r="S15" s="1573">
        <v>2</v>
      </c>
      <c r="T15" s="1893"/>
      <c r="U15" s="1573" t="s">
        <v>64</v>
      </c>
      <c r="V15" s="1920">
        <v>32172</v>
      </c>
      <c r="W15" s="1920"/>
      <c r="X15" s="1920"/>
    </row>
    <row r="16" spans="1:25" ht="24.75" customHeight="1" x14ac:dyDescent="0.25">
      <c r="A16" s="100" t="s">
        <v>39</v>
      </c>
      <c r="B16" s="1918">
        <v>262504</v>
      </c>
      <c r="C16" s="1919"/>
      <c r="D16" s="1576"/>
      <c r="E16" s="1576"/>
      <c r="F16" s="1576">
        <v>14000</v>
      </c>
      <c r="G16" s="1576"/>
      <c r="H16" s="1576"/>
      <c r="I16" s="1576"/>
      <c r="J16" s="1576"/>
      <c r="K16" s="1576"/>
      <c r="L16" s="1576"/>
      <c r="M16" s="1576"/>
      <c r="N16" s="1576"/>
      <c r="O16" s="1576"/>
      <c r="P16" s="1576"/>
      <c r="Q16" s="1920"/>
      <c r="R16" s="1920"/>
      <c r="S16" s="1576"/>
      <c r="T16" s="1912" t="s">
        <v>55</v>
      </c>
      <c r="U16" s="1912"/>
      <c r="V16" s="1925">
        <f>Y12</f>
        <v>208351.84</v>
      </c>
      <c r="W16" s="1925"/>
      <c r="X16" s="1920"/>
    </row>
    <row r="17" spans="1:25" ht="28.5" customHeight="1" x14ac:dyDescent="0.25">
      <c r="A17" s="101" t="s">
        <v>44</v>
      </c>
      <c r="B17" s="1918">
        <v>11688</v>
      </c>
      <c r="C17" s="1919"/>
      <c r="D17" s="1576"/>
      <c r="E17" s="1576"/>
      <c r="F17" s="1576"/>
      <c r="G17" s="1576"/>
      <c r="H17" s="1576"/>
      <c r="I17" s="1576"/>
      <c r="J17" s="1576"/>
      <c r="K17" s="1576"/>
      <c r="L17" s="1576"/>
      <c r="M17" s="1576"/>
      <c r="N17" s="1576"/>
      <c r="O17" s="1576"/>
      <c r="P17" s="1576"/>
      <c r="Q17" s="1883"/>
      <c r="R17" s="1883"/>
      <c r="S17" s="1572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168800</v>
      </c>
      <c r="C18" s="1919"/>
      <c r="D18" s="1578">
        <f>E12</f>
        <v>20</v>
      </c>
      <c r="E18" s="1578">
        <f>G12</f>
        <v>0</v>
      </c>
      <c r="F18" s="1578">
        <f>I12</f>
        <v>2240</v>
      </c>
      <c r="G18" s="1578">
        <f>K12</f>
        <v>50</v>
      </c>
      <c r="H18" s="1576"/>
      <c r="I18" s="1578">
        <f>U12</f>
        <v>0</v>
      </c>
      <c r="J18" s="1576"/>
      <c r="K18" s="1578">
        <f>W12</f>
        <v>0</v>
      </c>
      <c r="L18" s="1576"/>
      <c r="M18" s="1578">
        <f>M12</f>
        <v>0</v>
      </c>
      <c r="N18" s="1578">
        <f>O12</f>
        <v>0</v>
      </c>
      <c r="O18" s="1577">
        <f>Q12</f>
        <v>0</v>
      </c>
      <c r="P18" s="1578"/>
      <c r="Q18" s="1920"/>
      <c r="R18" s="1920"/>
      <c r="S18" s="1573"/>
      <c r="T18" s="1912" t="s">
        <v>57</v>
      </c>
      <c r="U18" s="1912"/>
      <c r="V18" s="1920">
        <v>640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422397</v>
      </c>
      <c r="C19" s="1919"/>
      <c r="D19" s="1576">
        <f>D15+D16+D17-D18</f>
        <v>30</v>
      </c>
      <c r="E19" s="1576">
        <f t="shared" ref="E19:N19" si="13">E15+E16+E17-E18</f>
        <v>0</v>
      </c>
      <c r="F19" s="1576">
        <f t="shared" si="13"/>
        <v>23350</v>
      </c>
      <c r="G19" s="1576">
        <f t="shared" si="13"/>
        <v>30</v>
      </c>
      <c r="H19" s="1576">
        <f t="shared" si="13"/>
        <v>72</v>
      </c>
      <c r="I19" s="1576">
        <f t="shared" si="13"/>
        <v>51</v>
      </c>
      <c r="J19" s="1576">
        <f t="shared" si="13"/>
        <v>4</v>
      </c>
      <c r="K19" s="1576">
        <f t="shared" si="13"/>
        <v>70</v>
      </c>
      <c r="L19" s="1576">
        <f t="shared" si="13"/>
        <v>0</v>
      </c>
      <c r="M19" s="1576">
        <f t="shared" si="13"/>
        <v>0</v>
      </c>
      <c r="N19" s="1576">
        <f t="shared" si="13"/>
        <v>0</v>
      </c>
      <c r="O19" s="1576">
        <f>O15+O16+O17-O18</f>
        <v>0</v>
      </c>
      <c r="P19" s="1576">
        <f t="shared" ref="P19:Q19" si="14">P15+P16+P17-P18</f>
        <v>100</v>
      </c>
      <c r="Q19" s="1918">
        <f t="shared" si="14"/>
        <v>10</v>
      </c>
      <c r="R19" s="1919"/>
      <c r="S19" s="1573">
        <f>S15+S16-S17-S18</f>
        <v>2</v>
      </c>
      <c r="T19" s="1914" t="s">
        <v>48</v>
      </c>
      <c r="U19" s="49" t="s">
        <v>58</v>
      </c>
      <c r="V19" s="1920">
        <v>123000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406557.11249999999</v>
      </c>
      <c r="C20" s="1945"/>
      <c r="D20" s="290">
        <f>D19*66.41</f>
        <v>1992.3</v>
      </c>
      <c r="E20" s="290">
        <f>27.9368*E19</f>
        <v>0</v>
      </c>
      <c r="F20" s="290">
        <f>18.31*F19</f>
        <v>427538.49999999994</v>
      </c>
      <c r="G20" s="290">
        <f>27.9368*G19</f>
        <v>838.10400000000004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>
        <v>109000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888917.01649999991</v>
      </c>
      <c r="C21" s="1951"/>
      <c r="O21" s="1580"/>
      <c r="P21" s="1580"/>
      <c r="Q21" s="1580"/>
      <c r="R21" s="1580"/>
      <c r="T21" s="1952" t="s">
        <v>487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123000</v>
      </c>
      <c r="D22" s="1949">
        <v>123000</v>
      </c>
      <c r="E22" s="1949">
        <v>400000</v>
      </c>
      <c r="F22" s="1949">
        <f>C22-D22+E22</f>
        <v>400000</v>
      </c>
      <c r="G22" s="1580"/>
      <c r="Q22" s="1580"/>
      <c r="R22" s="1580"/>
      <c r="T22" s="1909" t="s">
        <v>83</v>
      </c>
      <c r="U22" s="50" t="s">
        <v>60</v>
      </c>
      <c r="V22" s="1920">
        <v>209100</v>
      </c>
      <c r="W22" s="1920"/>
      <c r="X22" s="1920"/>
      <c r="Y22" s="1927"/>
    </row>
    <row r="23" spans="1:25" ht="39.75" customHeight="1" x14ac:dyDescent="0.25">
      <c r="A23" s="1580"/>
      <c r="B23" s="1947"/>
      <c r="C23" s="1950"/>
      <c r="D23" s="1950"/>
      <c r="E23" s="1950"/>
      <c r="F23" s="1950"/>
      <c r="G23" s="1580"/>
      <c r="Q23" s="1580"/>
      <c r="R23" s="1580"/>
      <c r="T23" s="1910"/>
      <c r="U23" s="50" t="s">
        <v>61</v>
      </c>
      <c r="V23" s="1920">
        <v>232000</v>
      </c>
      <c r="W23" s="1920"/>
      <c r="X23" s="1920"/>
      <c r="Y23" s="1927"/>
    </row>
    <row r="24" spans="1:25" ht="48" customHeight="1" x14ac:dyDescent="0.25">
      <c r="A24" s="1580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580"/>
      <c r="Q24" s="1580"/>
      <c r="R24" s="1580"/>
      <c r="T24" s="1893" t="s">
        <v>47</v>
      </c>
      <c r="U24" s="51" t="s">
        <v>62</v>
      </c>
      <c r="V24" s="1921">
        <f>V14+V16+V17-V18-V19-V20-V22+V23-V21</f>
        <v>15571.839999999997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9272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580"/>
      <c r="J33" s="1580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CF4FE-E1E5-4CB6-B844-E6906036A389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581"/>
      <c r="B3" s="1581"/>
      <c r="C3" s="1581"/>
      <c r="D3" s="1581"/>
      <c r="E3" s="1581"/>
      <c r="F3" s="1581"/>
      <c r="G3" s="1581"/>
      <c r="H3" s="1581"/>
      <c r="I3" s="1581"/>
      <c r="J3" s="1581"/>
      <c r="K3" s="1581"/>
      <c r="L3" s="1581"/>
      <c r="M3" s="1581"/>
      <c r="N3" s="1581"/>
      <c r="O3" s="1581"/>
      <c r="P3" s="1581"/>
      <c r="Q3" s="1581"/>
      <c r="R3" s="1581"/>
      <c r="S3" s="1581"/>
      <c r="T3" s="1900" t="s">
        <v>508</v>
      </c>
      <c r="U3" s="1900"/>
      <c r="V3" s="1900"/>
      <c r="W3" s="1900"/>
      <c r="X3" s="1900"/>
      <c r="Y3" s="1900"/>
    </row>
    <row r="4" spans="1:25" s="1581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581" customFormat="1" ht="25.5" customHeight="1" x14ac:dyDescent="0.25">
      <c r="A5" s="1901"/>
      <c r="B5" s="1901"/>
      <c r="C5" s="1583" t="s">
        <v>42</v>
      </c>
      <c r="D5" s="1583" t="s">
        <v>43</v>
      </c>
      <c r="E5" s="1583" t="s">
        <v>42</v>
      </c>
      <c r="F5" s="1583" t="s">
        <v>43</v>
      </c>
      <c r="G5" s="1583" t="s">
        <v>42</v>
      </c>
      <c r="H5" s="1583" t="s">
        <v>43</v>
      </c>
      <c r="I5" s="1583" t="s">
        <v>42</v>
      </c>
      <c r="J5" s="1583" t="s">
        <v>43</v>
      </c>
      <c r="K5" s="1583" t="s">
        <v>42</v>
      </c>
      <c r="L5" s="1583" t="s">
        <v>43</v>
      </c>
      <c r="M5" s="1583" t="s">
        <v>42</v>
      </c>
      <c r="N5" s="1583" t="s">
        <v>43</v>
      </c>
      <c r="O5" s="1583" t="s">
        <v>42</v>
      </c>
      <c r="P5" s="1583" t="s">
        <v>43</v>
      </c>
      <c r="Q5" s="1583" t="s">
        <v>42</v>
      </c>
      <c r="R5" s="15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582" t="s">
        <v>71</v>
      </c>
      <c r="C6" s="1585">
        <v>31849</v>
      </c>
      <c r="D6" s="1586">
        <f t="shared" ref="D6:D11" si="0">0.9725*C6</f>
        <v>30973.1525</v>
      </c>
      <c r="E6" s="1585">
        <v>10</v>
      </c>
      <c r="F6" s="1586">
        <f>67.1*E6</f>
        <v>671</v>
      </c>
      <c r="G6" s="1585"/>
      <c r="H6" s="1585">
        <f>28.2*G6</f>
        <v>0</v>
      </c>
      <c r="I6" s="1585">
        <v>1360</v>
      </c>
      <c r="J6" s="1585">
        <f>18.5*I6</f>
        <v>25160</v>
      </c>
      <c r="K6" s="1585"/>
      <c r="L6" s="1586">
        <f>28.2368*K6</f>
        <v>0</v>
      </c>
      <c r="M6" s="1585"/>
      <c r="N6" s="1586">
        <f>M6*47.6525</f>
        <v>0</v>
      </c>
      <c r="O6" s="1585"/>
      <c r="P6" s="1586">
        <f>O6*8.9</f>
        <v>0</v>
      </c>
      <c r="Q6" s="1586"/>
      <c r="R6" s="1586">
        <f>241*Q6</f>
        <v>0</v>
      </c>
      <c r="S6" s="1585"/>
      <c r="T6" s="1585">
        <f>241*S6</f>
        <v>0</v>
      </c>
      <c r="U6" s="1585"/>
      <c r="V6" s="1585">
        <f>332*U6</f>
        <v>0</v>
      </c>
      <c r="W6" s="1585"/>
      <c r="X6" s="19">
        <f>W6*100</f>
        <v>0</v>
      </c>
      <c r="Y6" s="20">
        <f t="shared" ref="Y6:Y12" si="1">D6+F6+H6+J6+L6+N6+P6+R6+T6+V6+X6</f>
        <v>56804.152499999997</v>
      </c>
    </row>
    <row r="7" spans="1:25" ht="31.5" customHeight="1" x14ac:dyDescent="0.25">
      <c r="A7" s="12">
        <v>1984225578</v>
      </c>
      <c r="B7" s="1582" t="s">
        <v>509</v>
      </c>
      <c r="C7" s="1585">
        <v>21374</v>
      </c>
      <c r="D7" s="1586">
        <f t="shared" si="0"/>
        <v>20786.215</v>
      </c>
      <c r="E7" s="1585">
        <v>10</v>
      </c>
      <c r="F7" s="1585">
        <f t="shared" ref="F7:F11" si="2">67.1*E7</f>
        <v>671</v>
      </c>
      <c r="G7" s="1585"/>
      <c r="H7" s="1585">
        <f t="shared" ref="H7:H11" si="3">28.2*G7</f>
        <v>0</v>
      </c>
      <c r="I7" s="1585">
        <v>1460</v>
      </c>
      <c r="J7" s="1585">
        <f t="shared" ref="J7:J11" si="4">18.5*I7</f>
        <v>27010</v>
      </c>
      <c r="K7" s="1585"/>
      <c r="L7" s="1586">
        <f t="shared" ref="L7:L11" si="5">28.2368*K7</f>
        <v>0</v>
      </c>
      <c r="M7" s="1585"/>
      <c r="N7" s="1586">
        <f t="shared" ref="N7:N11" si="6">M7*47.6525</f>
        <v>0</v>
      </c>
      <c r="O7" s="1585"/>
      <c r="P7" s="1586">
        <f t="shared" ref="P7:P11" si="7">O7*8.9</f>
        <v>0</v>
      </c>
      <c r="Q7" s="1586"/>
      <c r="R7" s="1586">
        <f t="shared" ref="R7:R11" si="8">241*Q7</f>
        <v>0</v>
      </c>
      <c r="S7" s="1585"/>
      <c r="T7" s="1585">
        <f t="shared" ref="T7:T10" si="9">241*S7</f>
        <v>0</v>
      </c>
      <c r="U7" s="1585"/>
      <c r="V7" s="1585">
        <f t="shared" ref="V7:V11" si="10">332*U7</f>
        <v>0</v>
      </c>
      <c r="W7" s="1585"/>
      <c r="X7" s="19">
        <f t="shared" ref="X7:X11" si="11">W7*100</f>
        <v>0</v>
      </c>
      <c r="Y7" s="20">
        <f t="shared" si="1"/>
        <v>48467.214999999997</v>
      </c>
    </row>
    <row r="8" spans="1:25" ht="35.25" customHeight="1" x14ac:dyDescent="0.25">
      <c r="A8" s="12">
        <v>1967020280</v>
      </c>
      <c r="B8" s="1582" t="s">
        <v>427</v>
      </c>
      <c r="C8" s="1585">
        <v>17404</v>
      </c>
      <c r="D8" s="1586">
        <f t="shared" si="0"/>
        <v>16925.39</v>
      </c>
      <c r="E8" s="1585">
        <v>1</v>
      </c>
      <c r="F8" s="1585">
        <f t="shared" si="2"/>
        <v>67.099999999999994</v>
      </c>
      <c r="G8" s="1585"/>
      <c r="H8" s="1586">
        <f t="shared" si="3"/>
        <v>0</v>
      </c>
      <c r="I8" s="1585">
        <v>1570</v>
      </c>
      <c r="J8" s="1585">
        <f t="shared" si="4"/>
        <v>29045</v>
      </c>
      <c r="K8" s="1585">
        <v>30</v>
      </c>
      <c r="L8" s="1586">
        <f t="shared" si="5"/>
        <v>847.10399999999993</v>
      </c>
      <c r="M8" s="1585"/>
      <c r="N8" s="1586">
        <f t="shared" si="6"/>
        <v>0</v>
      </c>
      <c r="O8" s="1585"/>
      <c r="P8" s="1586">
        <f t="shared" si="7"/>
        <v>0</v>
      </c>
      <c r="Q8" s="1586"/>
      <c r="R8" s="1586">
        <f t="shared" si="8"/>
        <v>0</v>
      </c>
      <c r="S8" s="1585"/>
      <c r="T8" s="1585">
        <f t="shared" si="9"/>
        <v>0</v>
      </c>
      <c r="U8" s="1585"/>
      <c r="V8" s="1585">
        <f t="shared" si="10"/>
        <v>0</v>
      </c>
      <c r="W8" s="1585"/>
      <c r="X8" s="19">
        <f t="shared" si="11"/>
        <v>0</v>
      </c>
      <c r="Y8" s="20">
        <f t="shared" si="1"/>
        <v>46884.593999999997</v>
      </c>
    </row>
    <row r="9" spans="1:25" ht="38.25" customHeight="1" x14ac:dyDescent="0.25">
      <c r="A9" s="12">
        <v>1984225580</v>
      </c>
      <c r="B9" s="1582" t="s">
        <v>75</v>
      </c>
      <c r="C9" s="1585">
        <v>22712</v>
      </c>
      <c r="D9" s="1586">
        <f t="shared" si="0"/>
        <v>22087.420000000002</v>
      </c>
      <c r="E9" s="1585"/>
      <c r="F9" s="1585">
        <f t="shared" si="2"/>
        <v>0</v>
      </c>
      <c r="G9" s="1585"/>
      <c r="H9" s="1585">
        <f t="shared" si="3"/>
        <v>0</v>
      </c>
      <c r="I9" s="1585">
        <v>1450</v>
      </c>
      <c r="J9" s="1585">
        <f t="shared" si="4"/>
        <v>26825</v>
      </c>
      <c r="K9" s="1585"/>
      <c r="L9" s="1586">
        <f t="shared" si="5"/>
        <v>0</v>
      </c>
      <c r="M9" s="1585"/>
      <c r="N9" s="1586">
        <f t="shared" si="6"/>
        <v>0</v>
      </c>
      <c r="O9" s="1585"/>
      <c r="P9" s="1586">
        <f t="shared" si="7"/>
        <v>0</v>
      </c>
      <c r="Q9" s="1586"/>
      <c r="R9" s="1586">
        <f t="shared" si="8"/>
        <v>0</v>
      </c>
      <c r="S9" s="1585"/>
      <c r="T9" s="1585">
        <f t="shared" si="9"/>
        <v>0</v>
      </c>
      <c r="U9" s="1585"/>
      <c r="V9" s="1585">
        <f t="shared" si="10"/>
        <v>0</v>
      </c>
      <c r="W9" s="1585"/>
      <c r="X9" s="19">
        <f t="shared" si="11"/>
        <v>0</v>
      </c>
      <c r="Y9" s="20">
        <f t="shared" si="1"/>
        <v>48912.42</v>
      </c>
    </row>
    <row r="10" spans="1:25" ht="35.25" customHeight="1" x14ac:dyDescent="0.25">
      <c r="A10" s="12">
        <v>1409935199</v>
      </c>
      <c r="C10" s="1585"/>
      <c r="D10" s="1586">
        <f t="shared" si="0"/>
        <v>0</v>
      </c>
      <c r="E10" s="1585"/>
      <c r="F10" s="1585">
        <f t="shared" si="2"/>
        <v>0</v>
      </c>
      <c r="G10" s="1585"/>
      <c r="H10" s="1585">
        <f t="shared" si="3"/>
        <v>0</v>
      </c>
      <c r="I10" s="1585"/>
      <c r="J10" s="1585">
        <f t="shared" si="4"/>
        <v>0</v>
      </c>
      <c r="K10" s="1585"/>
      <c r="L10" s="1586">
        <f t="shared" si="5"/>
        <v>0</v>
      </c>
      <c r="M10" s="1585"/>
      <c r="N10" s="1586">
        <f t="shared" si="6"/>
        <v>0</v>
      </c>
      <c r="O10" s="1585"/>
      <c r="P10" s="1586">
        <f t="shared" si="7"/>
        <v>0</v>
      </c>
      <c r="Q10" s="1586"/>
      <c r="R10" s="1586">
        <f t="shared" si="8"/>
        <v>0</v>
      </c>
      <c r="S10" s="1585"/>
      <c r="T10" s="1585">
        <f t="shared" si="9"/>
        <v>0</v>
      </c>
      <c r="U10" s="1585"/>
      <c r="V10" s="1585">
        <f t="shared" si="10"/>
        <v>0</v>
      </c>
      <c r="W10" s="158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84"/>
      <c r="C11" s="1585"/>
      <c r="D11" s="1586">
        <f t="shared" si="0"/>
        <v>0</v>
      </c>
      <c r="E11" s="1585"/>
      <c r="F11" s="1585">
        <f t="shared" si="2"/>
        <v>0</v>
      </c>
      <c r="G11" s="1585"/>
      <c r="H11" s="1585">
        <f t="shared" si="3"/>
        <v>0</v>
      </c>
      <c r="I11" s="1585"/>
      <c r="J11" s="1585">
        <f t="shared" si="4"/>
        <v>0</v>
      </c>
      <c r="K11" s="1585"/>
      <c r="L11" s="1586">
        <f t="shared" si="5"/>
        <v>0</v>
      </c>
      <c r="M11" s="1585"/>
      <c r="N11" s="1586">
        <f t="shared" si="6"/>
        <v>0</v>
      </c>
      <c r="O11" s="1585"/>
      <c r="P11" s="1586">
        <f t="shared" si="7"/>
        <v>0</v>
      </c>
      <c r="Q11" s="1586"/>
      <c r="R11" s="1586">
        <f t="shared" si="8"/>
        <v>0</v>
      </c>
      <c r="S11" s="1585"/>
      <c r="T11" s="1585">
        <f>341*S11</f>
        <v>0</v>
      </c>
      <c r="U11" s="1585"/>
      <c r="V11" s="1585">
        <f t="shared" si="10"/>
        <v>0</v>
      </c>
      <c r="W11" s="15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93339</v>
      </c>
      <c r="D12" s="18">
        <f t="shared" si="12"/>
        <v>90772.177500000005</v>
      </c>
      <c r="E12" s="18">
        <f t="shared" si="12"/>
        <v>21</v>
      </c>
      <c r="F12" s="18">
        <f t="shared" si="12"/>
        <v>1409.1</v>
      </c>
      <c r="G12" s="18">
        <f t="shared" si="12"/>
        <v>0</v>
      </c>
      <c r="H12" s="18">
        <f t="shared" si="12"/>
        <v>0</v>
      </c>
      <c r="I12" s="18">
        <f t="shared" si="12"/>
        <v>5840</v>
      </c>
      <c r="J12" s="18">
        <f t="shared" si="12"/>
        <v>108040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201068.38150000002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90" t="s">
        <v>174</v>
      </c>
      <c r="K14" s="30" t="s">
        <v>36</v>
      </c>
      <c r="L14" s="1590" t="s">
        <v>403</v>
      </c>
      <c r="M14" s="30" t="s">
        <v>429</v>
      </c>
      <c r="N14" s="30" t="s">
        <v>442</v>
      </c>
      <c r="O14" s="1590" t="s">
        <v>114</v>
      </c>
      <c r="P14" s="30" t="s">
        <v>70</v>
      </c>
      <c r="Q14" s="1958" t="s">
        <v>479</v>
      </c>
      <c r="R14" s="1959"/>
      <c r="S14" s="1590" t="s">
        <v>401</v>
      </c>
      <c r="T14" s="1893" t="s">
        <v>46</v>
      </c>
      <c r="U14" s="1582" t="s">
        <v>176</v>
      </c>
      <c r="V14" s="1918">
        <v>15572</v>
      </c>
      <c r="W14" s="1926"/>
      <c r="X14" s="1919"/>
    </row>
    <row r="15" spans="1:25" ht="22.5" customHeight="1" x14ac:dyDescent="0.25">
      <c r="A15" s="100" t="s">
        <v>38</v>
      </c>
      <c r="B15" s="1918">
        <v>422397</v>
      </c>
      <c r="C15" s="1919"/>
      <c r="D15" s="1587">
        <v>30</v>
      </c>
      <c r="E15" s="1587">
        <v>0</v>
      </c>
      <c r="F15" s="1587">
        <v>23350</v>
      </c>
      <c r="G15" s="1587">
        <v>30</v>
      </c>
      <c r="H15" s="1587">
        <v>72</v>
      </c>
      <c r="I15" s="1587">
        <v>51</v>
      </c>
      <c r="J15" s="1587">
        <v>4</v>
      </c>
      <c r="K15" s="1587">
        <v>70</v>
      </c>
      <c r="L15" s="1587">
        <v>0</v>
      </c>
      <c r="M15" s="1587">
        <v>0</v>
      </c>
      <c r="N15" s="1587">
        <v>0</v>
      </c>
      <c r="O15" s="1587">
        <v>0</v>
      </c>
      <c r="P15" s="1587">
        <v>100</v>
      </c>
      <c r="Q15" s="1918">
        <v>10</v>
      </c>
      <c r="R15" s="1919"/>
      <c r="S15" s="1582">
        <v>2</v>
      </c>
      <c r="T15" s="1893"/>
      <c r="U15" s="1582" t="s">
        <v>64</v>
      </c>
      <c r="V15" s="1920">
        <v>9272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587"/>
      <c r="E16" s="1587"/>
      <c r="F16" s="1587"/>
      <c r="G16" s="1587"/>
      <c r="H16" s="1587"/>
      <c r="I16" s="1587"/>
      <c r="J16" s="1587"/>
      <c r="K16" s="1587"/>
      <c r="L16" s="1587"/>
      <c r="M16" s="1587"/>
      <c r="N16" s="1587"/>
      <c r="O16" s="1587"/>
      <c r="P16" s="1587"/>
      <c r="Q16" s="1920"/>
      <c r="R16" s="1920"/>
      <c r="S16" s="1587"/>
      <c r="T16" s="1912" t="s">
        <v>55</v>
      </c>
      <c r="U16" s="1912"/>
      <c r="V16" s="1925">
        <f>Y12</f>
        <v>201068.38150000002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587"/>
      <c r="E17" s="1587"/>
      <c r="F17" s="1587"/>
      <c r="G17" s="1587"/>
      <c r="H17" s="1587"/>
      <c r="I17" s="1587"/>
      <c r="J17" s="1587"/>
      <c r="K17" s="1587"/>
      <c r="L17" s="1587"/>
      <c r="M17" s="1587"/>
      <c r="N17" s="1587"/>
      <c r="O17" s="1587"/>
      <c r="P17" s="1587"/>
      <c r="Q17" s="1883"/>
      <c r="R17" s="1883"/>
      <c r="S17" s="1584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93339</v>
      </c>
      <c r="C18" s="1919"/>
      <c r="D18" s="1588">
        <f>E12</f>
        <v>21</v>
      </c>
      <c r="E18" s="1588">
        <f>G12</f>
        <v>0</v>
      </c>
      <c r="F18" s="1588">
        <f>I12</f>
        <v>5840</v>
      </c>
      <c r="G18" s="1588">
        <f>K12</f>
        <v>30</v>
      </c>
      <c r="H18" s="1587"/>
      <c r="I18" s="1588">
        <f>U12</f>
        <v>0</v>
      </c>
      <c r="J18" s="1587"/>
      <c r="K18" s="1588">
        <f>W12</f>
        <v>0</v>
      </c>
      <c r="L18" s="1587"/>
      <c r="M18" s="1588">
        <f>M12</f>
        <v>0</v>
      </c>
      <c r="N18" s="1588">
        <f>O12</f>
        <v>0</v>
      </c>
      <c r="O18" s="1589">
        <f>Q12</f>
        <v>0</v>
      </c>
      <c r="P18" s="1588"/>
      <c r="Q18" s="1920"/>
      <c r="R18" s="1920"/>
      <c r="S18" s="1582"/>
      <c r="T18" s="1912" t="s">
        <v>57</v>
      </c>
      <c r="U18" s="1912"/>
      <c r="V18" s="1920">
        <v>1320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329058</v>
      </c>
      <c r="C19" s="1919"/>
      <c r="D19" s="1587">
        <f>D15+D16+D17-D18</f>
        <v>9</v>
      </c>
      <c r="E19" s="1587">
        <f t="shared" ref="E19:N19" si="13">E15+E16+E17-E18</f>
        <v>0</v>
      </c>
      <c r="F19" s="1587">
        <f t="shared" si="13"/>
        <v>17510</v>
      </c>
      <c r="G19" s="1587">
        <f t="shared" si="13"/>
        <v>0</v>
      </c>
      <c r="H19" s="1587">
        <f t="shared" si="13"/>
        <v>72</v>
      </c>
      <c r="I19" s="1587">
        <f t="shared" si="13"/>
        <v>51</v>
      </c>
      <c r="J19" s="1587">
        <f t="shared" si="13"/>
        <v>4</v>
      </c>
      <c r="K19" s="1587">
        <f t="shared" si="13"/>
        <v>70</v>
      </c>
      <c r="L19" s="1587">
        <f t="shared" si="13"/>
        <v>0</v>
      </c>
      <c r="M19" s="1587">
        <f t="shared" si="13"/>
        <v>0</v>
      </c>
      <c r="N19" s="1587">
        <f t="shared" si="13"/>
        <v>0</v>
      </c>
      <c r="O19" s="1587">
        <f>O15+O16+O17-O18</f>
        <v>0</v>
      </c>
      <c r="P19" s="1587">
        <f t="shared" ref="P19:Q19" si="14">P15+P16+P17-P18</f>
        <v>100</v>
      </c>
      <c r="Q19" s="1918">
        <f t="shared" si="14"/>
        <v>10</v>
      </c>
      <c r="R19" s="1919"/>
      <c r="S19" s="1582">
        <f>S15+S16-S17-S18</f>
        <v>2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316718.32500000001</v>
      </c>
      <c r="C20" s="1945"/>
      <c r="D20" s="290">
        <f>D19*66.41</f>
        <v>597.68999999999994</v>
      </c>
      <c r="E20" s="290">
        <f>27.9368*E19</f>
        <v>0</v>
      </c>
      <c r="F20" s="290">
        <f>18.31*F19</f>
        <v>320608.09999999998</v>
      </c>
      <c r="G20" s="290">
        <f>27.9368*G19</f>
        <v>0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689915.11499999999</v>
      </c>
      <c r="C21" s="1951"/>
      <c r="O21" s="1591"/>
      <c r="P21" s="1591"/>
      <c r="Q21" s="1591"/>
      <c r="R21" s="1591"/>
      <c r="T21" s="1952" t="s">
        <v>487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/>
      <c r="E22" s="1949"/>
      <c r="F22" s="1949">
        <f>C22-D22+E22</f>
        <v>400000</v>
      </c>
      <c r="G22" s="1591"/>
      <c r="Q22" s="1591"/>
      <c r="R22" s="1591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1591"/>
      <c r="B23" s="1947"/>
      <c r="C23" s="1950"/>
      <c r="D23" s="1950"/>
      <c r="E23" s="1950"/>
      <c r="F23" s="1950"/>
      <c r="G23" s="1591"/>
      <c r="Q23" s="1591"/>
      <c r="R23" s="1591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1591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591"/>
      <c r="Q24" s="1591"/>
      <c r="R24" s="1591"/>
      <c r="T24" s="1893" t="s">
        <v>47</v>
      </c>
      <c r="U24" s="51" t="s">
        <v>62</v>
      </c>
      <c r="V24" s="1921">
        <f>V14+V16+V17-V18-V19-V20-V22+V23-V21</f>
        <v>215320.38150000002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9272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591"/>
      <c r="J33" s="1591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EDF74-3E27-4909-94F0-15B89BD0098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597"/>
      <c r="B3" s="1597"/>
      <c r="C3" s="1597"/>
      <c r="D3" s="1597"/>
      <c r="E3" s="1597"/>
      <c r="F3" s="1597"/>
      <c r="G3" s="1597"/>
      <c r="H3" s="1597"/>
      <c r="I3" s="1597"/>
      <c r="J3" s="1597"/>
      <c r="K3" s="1597"/>
      <c r="L3" s="1597"/>
      <c r="M3" s="1597"/>
      <c r="N3" s="1597"/>
      <c r="O3" s="1597"/>
      <c r="P3" s="1597"/>
      <c r="Q3" s="1597"/>
      <c r="R3" s="1597"/>
      <c r="S3" s="1597"/>
      <c r="T3" s="1900" t="s">
        <v>510</v>
      </c>
      <c r="U3" s="1900"/>
      <c r="V3" s="1900"/>
      <c r="W3" s="1900"/>
      <c r="X3" s="1900"/>
      <c r="Y3" s="1900"/>
    </row>
    <row r="4" spans="1:25" s="159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597" customFormat="1" ht="25.5" customHeight="1" x14ac:dyDescent="0.25">
      <c r="A5" s="1901"/>
      <c r="B5" s="1901"/>
      <c r="C5" s="1596" t="s">
        <v>42</v>
      </c>
      <c r="D5" s="1596" t="s">
        <v>43</v>
      </c>
      <c r="E5" s="1596" t="s">
        <v>42</v>
      </c>
      <c r="F5" s="1596" t="s">
        <v>43</v>
      </c>
      <c r="G5" s="1596" t="s">
        <v>42</v>
      </c>
      <c r="H5" s="1596" t="s">
        <v>43</v>
      </c>
      <c r="I5" s="1596" t="s">
        <v>42</v>
      </c>
      <c r="J5" s="1596" t="s">
        <v>43</v>
      </c>
      <c r="K5" s="1596" t="s">
        <v>42</v>
      </c>
      <c r="L5" s="1596" t="s">
        <v>43</v>
      </c>
      <c r="M5" s="1596" t="s">
        <v>42</v>
      </c>
      <c r="N5" s="1596" t="s">
        <v>43</v>
      </c>
      <c r="O5" s="1596" t="s">
        <v>42</v>
      </c>
      <c r="P5" s="1596" t="s">
        <v>43</v>
      </c>
      <c r="Q5" s="1596" t="s">
        <v>42</v>
      </c>
      <c r="R5" s="15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595" t="s">
        <v>71</v>
      </c>
      <c r="C6" s="1593">
        <v>30064</v>
      </c>
      <c r="D6" s="1592">
        <f t="shared" ref="D6:D11" si="0">0.9725*C6</f>
        <v>29237.24</v>
      </c>
      <c r="E6" s="1593">
        <v>9</v>
      </c>
      <c r="F6" s="1592">
        <f>67.1*E6</f>
        <v>603.9</v>
      </c>
      <c r="G6" s="1593"/>
      <c r="H6" s="1593">
        <f>28.2*G6</f>
        <v>0</v>
      </c>
      <c r="I6" s="1593">
        <v>400</v>
      </c>
      <c r="J6" s="1593">
        <f>18.5*I6</f>
        <v>7400</v>
      </c>
      <c r="K6" s="1593"/>
      <c r="L6" s="1592">
        <f>28.2368*K6</f>
        <v>0</v>
      </c>
      <c r="M6" s="1593"/>
      <c r="N6" s="1592">
        <f>M6*47.6525</f>
        <v>0</v>
      </c>
      <c r="O6" s="1593"/>
      <c r="P6" s="1592">
        <f>O6*8.9</f>
        <v>0</v>
      </c>
      <c r="Q6" s="1592"/>
      <c r="R6" s="1592">
        <f>241*Q6</f>
        <v>0</v>
      </c>
      <c r="S6" s="1593"/>
      <c r="T6" s="1593">
        <f>241*S6</f>
        <v>0</v>
      </c>
      <c r="U6" s="1593"/>
      <c r="V6" s="1593">
        <f>332*U6</f>
        <v>0</v>
      </c>
      <c r="W6" s="1593"/>
      <c r="X6" s="19">
        <f>W6*100</f>
        <v>0</v>
      </c>
      <c r="Y6" s="20">
        <f t="shared" ref="Y6:Y12" si="1">D6+F6+H6+J6+L6+N6+P6+R6+T6+V6+X6</f>
        <v>37241.14</v>
      </c>
    </row>
    <row r="7" spans="1:25" ht="31.5" customHeight="1" x14ac:dyDescent="0.25">
      <c r="A7" s="12">
        <v>1984225578</v>
      </c>
      <c r="B7" s="1595" t="s">
        <v>509</v>
      </c>
      <c r="C7" s="1593">
        <v>34270</v>
      </c>
      <c r="D7" s="1592">
        <f t="shared" si="0"/>
        <v>33327.575000000004</v>
      </c>
      <c r="E7" s="1593"/>
      <c r="F7" s="1593">
        <f t="shared" ref="F7:F11" si="2">67.1*E7</f>
        <v>0</v>
      </c>
      <c r="G7" s="1593"/>
      <c r="H7" s="1593">
        <f t="shared" ref="H7:H11" si="3">28.2*G7</f>
        <v>0</v>
      </c>
      <c r="I7" s="1593">
        <v>1210</v>
      </c>
      <c r="J7" s="1593">
        <f t="shared" ref="J7:J11" si="4">18.5*I7</f>
        <v>22385</v>
      </c>
      <c r="K7" s="1593"/>
      <c r="L7" s="1592">
        <f t="shared" ref="L7:L11" si="5">28.2368*K7</f>
        <v>0</v>
      </c>
      <c r="M7" s="1593"/>
      <c r="N7" s="1592">
        <f t="shared" ref="N7:N11" si="6">M7*47.6525</f>
        <v>0</v>
      </c>
      <c r="O7" s="1593"/>
      <c r="P7" s="1592">
        <f t="shared" ref="P7:P11" si="7">O7*8.9</f>
        <v>0</v>
      </c>
      <c r="Q7" s="1592"/>
      <c r="R7" s="1592">
        <f t="shared" ref="R7:R11" si="8">241*Q7</f>
        <v>0</v>
      </c>
      <c r="S7" s="1593"/>
      <c r="T7" s="1593">
        <f t="shared" ref="T7:T10" si="9">241*S7</f>
        <v>0</v>
      </c>
      <c r="U7" s="1593">
        <v>13</v>
      </c>
      <c r="V7" s="1593">
        <f t="shared" ref="V7:V11" si="10">332*U7</f>
        <v>4316</v>
      </c>
      <c r="W7" s="1593"/>
      <c r="X7" s="19">
        <f t="shared" ref="X7:X11" si="11">W7*100</f>
        <v>0</v>
      </c>
      <c r="Y7" s="20">
        <f t="shared" si="1"/>
        <v>60028.575000000004</v>
      </c>
    </row>
    <row r="8" spans="1:25" ht="35.25" customHeight="1" x14ac:dyDescent="0.25">
      <c r="A8" s="12">
        <v>1967020280</v>
      </c>
      <c r="B8" s="1595" t="s">
        <v>427</v>
      </c>
      <c r="C8" s="1593">
        <v>24773</v>
      </c>
      <c r="D8" s="1592">
        <f t="shared" si="0"/>
        <v>24091.7425</v>
      </c>
      <c r="E8" s="1593"/>
      <c r="F8" s="1593">
        <f t="shared" si="2"/>
        <v>0</v>
      </c>
      <c r="G8" s="1593"/>
      <c r="H8" s="1592">
        <f t="shared" si="3"/>
        <v>0</v>
      </c>
      <c r="I8" s="1593">
        <v>1230</v>
      </c>
      <c r="J8" s="1593">
        <f t="shared" si="4"/>
        <v>22755</v>
      </c>
      <c r="K8" s="1593"/>
      <c r="L8" s="1592">
        <f t="shared" si="5"/>
        <v>0</v>
      </c>
      <c r="M8" s="1593"/>
      <c r="N8" s="1592">
        <f t="shared" si="6"/>
        <v>0</v>
      </c>
      <c r="O8" s="1593"/>
      <c r="P8" s="1592">
        <f t="shared" si="7"/>
        <v>0</v>
      </c>
      <c r="Q8" s="1592"/>
      <c r="R8" s="1592">
        <f t="shared" si="8"/>
        <v>0</v>
      </c>
      <c r="S8" s="1593"/>
      <c r="T8" s="1593">
        <f t="shared" si="9"/>
        <v>0</v>
      </c>
      <c r="U8" s="1593">
        <v>10</v>
      </c>
      <c r="V8" s="1593">
        <f t="shared" si="10"/>
        <v>3320</v>
      </c>
      <c r="W8" s="1593"/>
      <c r="X8" s="19">
        <f t="shared" si="11"/>
        <v>0</v>
      </c>
      <c r="Y8" s="20">
        <f t="shared" si="1"/>
        <v>50166.7425</v>
      </c>
    </row>
    <row r="9" spans="1:25" ht="38.25" customHeight="1" x14ac:dyDescent="0.25">
      <c r="A9" s="12">
        <v>1984225580</v>
      </c>
      <c r="B9" s="1595" t="s">
        <v>75</v>
      </c>
      <c r="C9" s="1593">
        <v>26465</v>
      </c>
      <c r="D9" s="1592">
        <f t="shared" si="0"/>
        <v>25737.212500000001</v>
      </c>
      <c r="E9" s="1593"/>
      <c r="F9" s="1593">
        <f t="shared" si="2"/>
        <v>0</v>
      </c>
      <c r="G9" s="1593"/>
      <c r="H9" s="1593">
        <f t="shared" si="3"/>
        <v>0</v>
      </c>
      <c r="I9" s="1593">
        <v>950</v>
      </c>
      <c r="J9" s="1593">
        <f t="shared" si="4"/>
        <v>17575</v>
      </c>
      <c r="K9" s="1593"/>
      <c r="L9" s="1592">
        <f t="shared" si="5"/>
        <v>0</v>
      </c>
      <c r="M9" s="1593"/>
      <c r="N9" s="1592">
        <f t="shared" si="6"/>
        <v>0</v>
      </c>
      <c r="O9" s="1593"/>
      <c r="P9" s="1592">
        <f t="shared" si="7"/>
        <v>0</v>
      </c>
      <c r="Q9" s="1592"/>
      <c r="R9" s="1592">
        <f t="shared" si="8"/>
        <v>0</v>
      </c>
      <c r="S9" s="1593"/>
      <c r="T9" s="1593">
        <f t="shared" si="9"/>
        <v>0</v>
      </c>
      <c r="U9" s="1593">
        <v>10</v>
      </c>
      <c r="V9" s="1593">
        <f t="shared" si="10"/>
        <v>3320</v>
      </c>
      <c r="W9" s="1593">
        <v>1</v>
      </c>
      <c r="X9" s="19">
        <f t="shared" si="11"/>
        <v>100</v>
      </c>
      <c r="Y9" s="20">
        <f t="shared" si="1"/>
        <v>46732.212500000001</v>
      </c>
    </row>
    <row r="10" spans="1:25" ht="35.25" customHeight="1" x14ac:dyDescent="0.25">
      <c r="A10" s="12">
        <v>1409935199</v>
      </c>
      <c r="C10" s="1593"/>
      <c r="D10" s="1592">
        <f t="shared" si="0"/>
        <v>0</v>
      </c>
      <c r="E10" s="1593"/>
      <c r="F10" s="1593">
        <f t="shared" si="2"/>
        <v>0</v>
      </c>
      <c r="G10" s="1593"/>
      <c r="H10" s="1593">
        <f t="shared" si="3"/>
        <v>0</v>
      </c>
      <c r="I10" s="1593">
        <v>1100</v>
      </c>
      <c r="J10" s="1593">
        <f t="shared" si="4"/>
        <v>20350</v>
      </c>
      <c r="K10" s="1593"/>
      <c r="L10" s="1592">
        <f t="shared" si="5"/>
        <v>0</v>
      </c>
      <c r="M10" s="1593"/>
      <c r="N10" s="1592">
        <f t="shared" si="6"/>
        <v>0</v>
      </c>
      <c r="O10" s="1593"/>
      <c r="P10" s="1592">
        <f t="shared" si="7"/>
        <v>0</v>
      </c>
      <c r="Q10" s="1592"/>
      <c r="R10" s="1592">
        <f t="shared" si="8"/>
        <v>0</v>
      </c>
      <c r="S10" s="1593"/>
      <c r="T10" s="1593">
        <f t="shared" si="9"/>
        <v>0</v>
      </c>
      <c r="U10" s="1593"/>
      <c r="V10" s="1593">
        <f t="shared" si="10"/>
        <v>0</v>
      </c>
      <c r="W10" s="1593"/>
      <c r="X10" s="19">
        <f t="shared" si="11"/>
        <v>0</v>
      </c>
      <c r="Y10" s="20">
        <f t="shared" si="1"/>
        <v>20350</v>
      </c>
    </row>
    <row r="11" spans="1:25" ht="37.5" customHeight="1" x14ac:dyDescent="0.25">
      <c r="A11" s="12"/>
      <c r="B11" s="1594"/>
      <c r="C11" s="1593"/>
      <c r="D11" s="1592">
        <f t="shared" si="0"/>
        <v>0</v>
      </c>
      <c r="E11" s="1593"/>
      <c r="F11" s="1593">
        <f t="shared" si="2"/>
        <v>0</v>
      </c>
      <c r="G11" s="1593"/>
      <c r="H11" s="1593">
        <f t="shared" si="3"/>
        <v>0</v>
      </c>
      <c r="I11" s="1593"/>
      <c r="J11" s="1593">
        <f t="shared" si="4"/>
        <v>0</v>
      </c>
      <c r="K11" s="1593"/>
      <c r="L11" s="1592">
        <f t="shared" si="5"/>
        <v>0</v>
      </c>
      <c r="M11" s="1593"/>
      <c r="N11" s="1592">
        <f t="shared" si="6"/>
        <v>0</v>
      </c>
      <c r="O11" s="1593"/>
      <c r="P11" s="1592">
        <f t="shared" si="7"/>
        <v>0</v>
      </c>
      <c r="Q11" s="1592"/>
      <c r="R11" s="1592">
        <f t="shared" si="8"/>
        <v>0</v>
      </c>
      <c r="S11" s="1593"/>
      <c r="T11" s="1593">
        <f>341*S11</f>
        <v>0</v>
      </c>
      <c r="U11" s="1593"/>
      <c r="V11" s="1593">
        <f t="shared" si="10"/>
        <v>0</v>
      </c>
      <c r="W11" s="15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115572</v>
      </c>
      <c r="D12" s="18">
        <f t="shared" si="12"/>
        <v>112393.76999999999</v>
      </c>
      <c r="E12" s="18">
        <f t="shared" si="12"/>
        <v>9</v>
      </c>
      <c r="F12" s="18">
        <f t="shared" si="12"/>
        <v>603.9</v>
      </c>
      <c r="G12" s="18">
        <f t="shared" si="12"/>
        <v>0</v>
      </c>
      <c r="H12" s="18">
        <f t="shared" si="12"/>
        <v>0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33</v>
      </c>
      <c r="V12" s="18">
        <f t="shared" si="12"/>
        <v>10956</v>
      </c>
      <c r="W12" s="18">
        <f t="shared" si="12"/>
        <v>1</v>
      </c>
      <c r="X12" s="18">
        <f t="shared" si="12"/>
        <v>100</v>
      </c>
      <c r="Y12" s="20">
        <f t="shared" si="1"/>
        <v>214518.66999999998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01" t="s">
        <v>174</v>
      </c>
      <c r="K14" s="30" t="s">
        <v>36</v>
      </c>
      <c r="L14" s="1601" t="s">
        <v>403</v>
      </c>
      <c r="M14" s="30" t="s">
        <v>429</v>
      </c>
      <c r="N14" s="30" t="s">
        <v>442</v>
      </c>
      <c r="O14" s="1601" t="s">
        <v>114</v>
      </c>
      <c r="P14" s="30" t="s">
        <v>70</v>
      </c>
      <c r="Q14" s="1958" t="s">
        <v>479</v>
      </c>
      <c r="R14" s="1959"/>
      <c r="S14" s="1601" t="s">
        <v>401</v>
      </c>
      <c r="T14" s="1893" t="s">
        <v>46</v>
      </c>
      <c r="U14" s="1595" t="s">
        <v>176</v>
      </c>
      <c r="V14" s="1918">
        <v>215320</v>
      </c>
      <c r="W14" s="1926"/>
      <c r="X14" s="1919"/>
    </row>
    <row r="15" spans="1:25" ht="22.5" customHeight="1" x14ac:dyDescent="0.25">
      <c r="A15" s="100" t="s">
        <v>38</v>
      </c>
      <c r="B15" s="1918">
        <v>329058</v>
      </c>
      <c r="C15" s="1919"/>
      <c r="D15" s="1598">
        <v>9</v>
      </c>
      <c r="E15" s="1598">
        <v>0</v>
      </c>
      <c r="F15" s="1598">
        <v>17510</v>
      </c>
      <c r="G15" s="1598">
        <v>0</v>
      </c>
      <c r="H15" s="1598">
        <v>72</v>
      </c>
      <c r="I15" s="1598">
        <v>51</v>
      </c>
      <c r="J15" s="1598">
        <v>4</v>
      </c>
      <c r="K15" s="1598">
        <v>70</v>
      </c>
      <c r="L15" s="1598">
        <v>0</v>
      </c>
      <c r="M15" s="1598">
        <v>0</v>
      </c>
      <c r="N15" s="1598">
        <v>0</v>
      </c>
      <c r="O15" s="1598">
        <v>0</v>
      </c>
      <c r="P15" s="1598">
        <v>100</v>
      </c>
      <c r="Q15" s="1918">
        <v>10</v>
      </c>
      <c r="R15" s="1919"/>
      <c r="S15" s="1595">
        <v>2</v>
      </c>
      <c r="T15" s="1893"/>
      <c r="U15" s="1595" t="s">
        <v>64</v>
      </c>
      <c r="V15" s="1920">
        <v>9272</v>
      </c>
      <c r="W15" s="1920"/>
      <c r="X15" s="1920"/>
    </row>
    <row r="16" spans="1:25" ht="24.75" customHeight="1" x14ac:dyDescent="0.25">
      <c r="A16" s="100" t="s">
        <v>39</v>
      </c>
      <c r="B16" s="1918">
        <v>103896</v>
      </c>
      <c r="C16" s="1919"/>
      <c r="D16" s="1598"/>
      <c r="E16" s="1598"/>
      <c r="F16" s="1598"/>
      <c r="G16" s="1598"/>
      <c r="H16" s="1598"/>
      <c r="I16" s="1598"/>
      <c r="J16" s="1598"/>
      <c r="K16" s="1598"/>
      <c r="L16" s="1598"/>
      <c r="M16" s="1598"/>
      <c r="N16" s="1598"/>
      <c r="O16" s="1598"/>
      <c r="P16" s="1598"/>
      <c r="Q16" s="1920"/>
      <c r="R16" s="1920"/>
      <c r="S16" s="1598"/>
      <c r="T16" s="1912" t="s">
        <v>55</v>
      </c>
      <c r="U16" s="1912"/>
      <c r="V16" s="1925">
        <f>Y12</f>
        <v>214518.66999999998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598"/>
      <c r="E17" s="1598"/>
      <c r="F17" s="1598"/>
      <c r="G17" s="1598"/>
      <c r="H17" s="1598"/>
      <c r="I17" s="1598"/>
      <c r="J17" s="1598"/>
      <c r="K17" s="1598"/>
      <c r="L17" s="1598"/>
      <c r="M17" s="1598"/>
      <c r="N17" s="1598"/>
      <c r="O17" s="1598"/>
      <c r="P17" s="1598"/>
      <c r="Q17" s="1883"/>
      <c r="R17" s="1883"/>
      <c r="S17" s="1594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115572</v>
      </c>
      <c r="C18" s="1919"/>
      <c r="D18" s="1600">
        <f>E12</f>
        <v>9</v>
      </c>
      <c r="E18" s="1600">
        <f>G12</f>
        <v>0</v>
      </c>
      <c r="F18" s="1600">
        <f>I12</f>
        <v>4890</v>
      </c>
      <c r="G18" s="1600">
        <f>K12</f>
        <v>0</v>
      </c>
      <c r="H18" s="1598"/>
      <c r="I18" s="1600">
        <f>U12</f>
        <v>33</v>
      </c>
      <c r="J18" s="1598"/>
      <c r="K18" s="1600">
        <f>W12</f>
        <v>1</v>
      </c>
      <c r="L18" s="1598"/>
      <c r="M18" s="1600">
        <f>M12</f>
        <v>0</v>
      </c>
      <c r="N18" s="1600">
        <f>O12</f>
        <v>0</v>
      </c>
      <c r="O18" s="1599">
        <f>Q12</f>
        <v>0</v>
      </c>
      <c r="P18" s="1600"/>
      <c r="Q18" s="1920"/>
      <c r="R18" s="1920"/>
      <c r="S18" s="1595"/>
      <c r="T18" s="1912" t="s">
        <v>57</v>
      </c>
      <c r="U18" s="1912"/>
      <c r="V18" s="1920">
        <v>1570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317382</v>
      </c>
      <c r="C19" s="1919"/>
      <c r="D19" s="1598">
        <f>D15+D16+D17-D18</f>
        <v>0</v>
      </c>
      <c r="E19" s="1598">
        <f t="shared" ref="E19:N19" si="13">E15+E16+E17-E18</f>
        <v>0</v>
      </c>
      <c r="F19" s="1598">
        <f t="shared" si="13"/>
        <v>12620</v>
      </c>
      <c r="G19" s="1598">
        <f t="shared" si="13"/>
        <v>0</v>
      </c>
      <c r="H19" s="1598">
        <f t="shared" si="13"/>
        <v>72</v>
      </c>
      <c r="I19" s="1598">
        <f t="shared" si="13"/>
        <v>18</v>
      </c>
      <c r="J19" s="1598">
        <f t="shared" si="13"/>
        <v>4</v>
      </c>
      <c r="K19" s="1598">
        <f t="shared" si="13"/>
        <v>69</v>
      </c>
      <c r="L19" s="1598">
        <f t="shared" si="13"/>
        <v>0</v>
      </c>
      <c r="M19" s="1598">
        <f t="shared" si="13"/>
        <v>0</v>
      </c>
      <c r="N19" s="1598">
        <f t="shared" si="13"/>
        <v>0</v>
      </c>
      <c r="O19" s="1598">
        <f>O15+O16+O17-O18</f>
        <v>0</v>
      </c>
      <c r="P19" s="1598">
        <f t="shared" ref="P19:Q19" si="14">P15+P16+P17-P18</f>
        <v>100</v>
      </c>
      <c r="Q19" s="1918">
        <f t="shared" si="14"/>
        <v>10</v>
      </c>
      <c r="R19" s="1919"/>
      <c r="S19" s="1595">
        <f>S15+S16-S17-S18</f>
        <v>2</v>
      </c>
      <c r="T19" s="1914" t="s">
        <v>48</v>
      </c>
      <c r="U19" s="49" t="s">
        <v>58</v>
      </c>
      <c r="V19" s="1920">
        <v>400000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305480.17499999999</v>
      </c>
      <c r="C20" s="1945"/>
      <c r="D20" s="290">
        <f>D19*66.41</f>
        <v>0</v>
      </c>
      <c r="E20" s="290">
        <f>27.9368*E19</f>
        <v>0</v>
      </c>
      <c r="F20" s="290">
        <f>18.31*F19</f>
        <v>231072.19999999998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577784.375</v>
      </c>
      <c r="C21" s="1951"/>
      <c r="O21" s="1602"/>
      <c r="P21" s="1602"/>
      <c r="Q21" s="1602"/>
      <c r="R21" s="1602"/>
      <c r="T21" s="1952" t="s">
        <v>487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>
        <v>400000</v>
      </c>
      <c r="E22" s="1949">
        <v>100000</v>
      </c>
      <c r="F22" s="1949">
        <f>C22-D22+E22</f>
        <v>100000</v>
      </c>
      <c r="G22" s="1602"/>
      <c r="Q22" s="1602"/>
      <c r="R22" s="1602"/>
      <c r="T22" s="1909" t="s">
        <v>83</v>
      </c>
      <c r="U22" s="50" t="s">
        <v>60</v>
      </c>
      <c r="V22" s="1920">
        <v>413750</v>
      </c>
      <c r="W22" s="1920"/>
      <c r="X22" s="1920"/>
      <c r="Y22" s="1927"/>
    </row>
    <row r="23" spans="1:25" ht="39.75" customHeight="1" x14ac:dyDescent="0.25">
      <c r="A23" s="1602"/>
      <c r="B23" s="1947"/>
      <c r="C23" s="1950"/>
      <c r="D23" s="1950"/>
      <c r="E23" s="1950"/>
      <c r="F23" s="1950"/>
      <c r="G23" s="1602"/>
      <c r="Q23" s="1602"/>
      <c r="R23" s="1602"/>
      <c r="T23" s="1910"/>
      <c r="U23" s="50" t="s">
        <v>61</v>
      </c>
      <c r="V23" s="1920">
        <v>400000</v>
      </c>
      <c r="W23" s="1920"/>
      <c r="X23" s="1920"/>
      <c r="Y23" s="1927"/>
    </row>
    <row r="24" spans="1:25" ht="48" customHeight="1" x14ac:dyDescent="0.25">
      <c r="A24" s="1602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602"/>
      <c r="Q24" s="1602"/>
      <c r="R24" s="1602"/>
      <c r="T24" s="1893" t="s">
        <v>47</v>
      </c>
      <c r="U24" s="51" t="s">
        <v>62</v>
      </c>
      <c r="V24" s="1921">
        <f>V14+V16+V17-V18-V19-V20-V22+V23-V21</f>
        <v>14518.669999999984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23022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602"/>
      <c r="J33" s="1602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036F8-3B29-4CA4-8E48-30231C1ADF9D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603"/>
      <c r="B3" s="1603"/>
      <c r="C3" s="1603"/>
      <c r="D3" s="1603"/>
      <c r="E3" s="1603"/>
      <c r="F3" s="1603"/>
      <c r="G3" s="1603"/>
      <c r="H3" s="1603"/>
      <c r="I3" s="1603"/>
      <c r="J3" s="1603"/>
      <c r="K3" s="1603"/>
      <c r="L3" s="1603"/>
      <c r="M3" s="1603"/>
      <c r="N3" s="1603"/>
      <c r="O3" s="1603"/>
      <c r="P3" s="1603"/>
      <c r="Q3" s="1603"/>
      <c r="R3" s="1603"/>
      <c r="S3" s="1603"/>
      <c r="T3" s="1900" t="s">
        <v>511</v>
      </c>
      <c r="U3" s="1900"/>
      <c r="V3" s="1900"/>
      <c r="W3" s="1900"/>
      <c r="X3" s="1900"/>
      <c r="Y3" s="1900"/>
    </row>
    <row r="4" spans="1:25" s="160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603" customFormat="1" ht="25.5" customHeight="1" x14ac:dyDescent="0.25">
      <c r="A5" s="1901"/>
      <c r="B5" s="1901"/>
      <c r="C5" s="1605" t="s">
        <v>42</v>
      </c>
      <c r="D5" s="1605" t="s">
        <v>43</v>
      </c>
      <c r="E5" s="1605" t="s">
        <v>42</v>
      </c>
      <c r="F5" s="1605" t="s">
        <v>43</v>
      </c>
      <c r="G5" s="1605" t="s">
        <v>42</v>
      </c>
      <c r="H5" s="1605" t="s">
        <v>43</v>
      </c>
      <c r="I5" s="1605" t="s">
        <v>42</v>
      </c>
      <c r="J5" s="1605" t="s">
        <v>43</v>
      </c>
      <c r="K5" s="1605" t="s">
        <v>42</v>
      </c>
      <c r="L5" s="1605" t="s">
        <v>43</v>
      </c>
      <c r="M5" s="1605" t="s">
        <v>42</v>
      </c>
      <c r="N5" s="1605" t="s">
        <v>43</v>
      </c>
      <c r="O5" s="1605" t="s">
        <v>42</v>
      </c>
      <c r="P5" s="1605" t="s">
        <v>43</v>
      </c>
      <c r="Q5" s="1605" t="s">
        <v>42</v>
      </c>
      <c r="R5" s="16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604" t="s">
        <v>71</v>
      </c>
      <c r="C6" s="1607">
        <v>25377</v>
      </c>
      <c r="D6" s="1608">
        <f t="shared" ref="D6:D11" si="0">0.9725*C6</f>
        <v>24679.1325</v>
      </c>
      <c r="E6" s="1607"/>
      <c r="F6" s="1608">
        <f>67.1*E6</f>
        <v>0</v>
      </c>
      <c r="G6" s="1607"/>
      <c r="H6" s="1607">
        <f>28.2*G6</f>
        <v>0</v>
      </c>
      <c r="I6" s="1607">
        <v>310</v>
      </c>
      <c r="J6" s="1607">
        <f>18.5*I6</f>
        <v>5735</v>
      </c>
      <c r="K6" s="1607"/>
      <c r="L6" s="1608">
        <f>28.2368*K6</f>
        <v>0</v>
      </c>
      <c r="M6" s="1607"/>
      <c r="N6" s="1608">
        <f>M6*47.6525</f>
        <v>0</v>
      </c>
      <c r="O6" s="1607"/>
      <c r="P6" s="1608">
        <f>O6*8.9</f>
        <v>0</v>
      </c>
      <c r="Q6" s="1608"/>
      <c r="R6" s="1608">
        <f>241*Q6</f>
        <v>0</v>
      </c>
      <c r="S6" s="1607"/>
      <c r="T6" s="1607">
        <f>241*S6</f>
        <v>0</v>
      </c>
      <c r="U6" s="1607"/>
      <c r="V6" s="1607">
        <f>332*U6</f>
        <v>0</v>
      </c>
      <c r="W6" s="1607"/>
      <c r="X6" s="19">
        <f>W6*100</f>
        <v>0</v>
      </c>
      <c r="Y6" s="20">
        <f t="shared" ref="Y6:Y12" si="1">D6+F6+H6+J6+L6+N6+P6+R6+T6+V6+X6</f>
        <v>30414.1325</v>
      </c>
    </row>
    <row r="7" spans="1:25" ht="31.5" customHeight="1" x14ac:dyDescent="0.25">
      <c r="A7" s="12">
        <v>1984225578</v>
      </c>
      <c r="B7" s="1604" t="s">
        <v>509</v>
      </c>
      <c r="C7" s="1607">
        <v>28462</v>
      </c>
      <c r="D7" s="1608">
        <f t="shared" si="0"/>
        <v>27679.295000000002</v>
      </c>
      <c r="E7" s="1607"/>
      <c r="F7" s="1607">
        <f t="shared" ref="F7:F11" si="2">67.1*E7</f>
        <v>0</v>
      </c>
      <c r="G7" s="1607"/>
      <c r="H7" s="1607">
        <f t="shared" ref="H7:H11" si="3">28.2*G7</f>
        <v>0</v>
      </c>
      <c r="I7" s="1607">
        <v>110</v>
      </c>
      <c r="J7" s="1607">
        <f t="shared" ref="J7:J11" si="4">18.5*I7</f>
        <v>2035</v>
      </c>
      <c r="K7" s="1607"/>
      <c r="L7" s="1608">
        <f t="shared" ref="L7:L11" si="5">28.2368*K7</f>
        <v>0</v>
      </c>
      <c r="M7" s="1607"/>
      <c r="N7" s="1608">
        <f t="shared" ref="N7:N11" si="6">M7*47.6525</f>
        <v>0</v>
      </c>
      <c r="O7" s="1607"/>
      <c r="P7" s="1608">
        <f t="shared" ref="P7:P11" si="7">O7*8.9</f>
        <v>0</v>
      </c>
      <c r="Q7" s="1608"/>
      <c r="R7" s="1608">
        <f t="shared" ref="R7:R11" si="8">241*Q7</f>
        <v>0</v>
      </c>
      <c r="S7" s="1607"/>
      <c r="T7" s="1607">
        <f t="shared" ref="T7:T10" si="9">241*S7</f>
        <v>0</v>
      </c>
      <c r="U7" s="1607"/>
      <c r="V7" s="1607">
        <f t="shared" ref="V7:V11" si="10">332*U7</f>
        <v>0</v>
      </c>
      <c r="W7" s="1607"/>
      <c r="X7" s="19">
        <f t="shared" ref="X7:X11" si="11">W7*100</f>
        <v>0</v>
      </c>
      <c r="Y7" s="20">
        <f t="shared" si="1"/>
        <v>29714.295000000002</v>
      </c>
    </row>
    <row r="8" spans="1:25" ht="35.25" customHeight="1" x14ac:dyDescent="0.25">
      <c r="A8" s="12">
        <v>1967020280</v>
      </c>
      <c r="B8" s="1604" t="s">
        <v>427</v>
      </c>
      <c r="C8" s="1607">
        <v>16681</v>
      </c>
      <c r="D8" s="1608">
        <f t="shared" si="0"/>
        <v>16222.272500000001</v>
      </c>
      <c r="E8" s="1607"/>
      <c r="F8" s="1607">
        <f t="shared" si="2"/>
        <v>0</v>
      </c>
      <c r="G8" s="1607"/>
      <c r="H8" s="1608">
        <f t="shared" si="3"/>
        <v>0</v>
      </c>
      <c r="I8" s="1607">
        <v>860</v>
      </c>
      <c r="J8" s="1607">
        <f t="shared" si="4"/>
        <v>15910</v>
      </c>
      <c r="K8" s="1607"/>
      <c r="L8" s="1608">
        <f t="shared" si="5"/>
        <v>0</v>
      </c>
      <c r="M8" s="1607"/>
      <c r="N8" s="1608">
        <f t="shared" si="6"/>
        <v>0</v>
      </c>
      <c r="O8" s="1607"/>
      <c r="P8" s="1608">
        <f t="shared" si="7"/>
        <v>0</v>
      </c>
      <c r="Q8" s="1608"/>
      <c r="R8" s="1608">
        <f t="shared" si="8"/>
        <v>0</v>
      </c>
      <c r="S8" s="1607"/>
      <c r="T8" s="1607">
        <f t="shared" si="9"/>
        <v>0</v>
      </c>
      <c r="U8" s="1607"/>
      <c r="V8" s="1607">
        <f t="shared" si="10"/>
        <v>0</v>
      </c>
      <c r="W8" s="1607"/>
      <c r="X8" s="19">
        <f t="shared" si="11"/>
        <v>0</v>
      </c>
      <c r="Y8" s="20">
        <f t="shared" si="1"/>
        <v>32132.272499999999</v>
      </c>
    </row>
    <row r="9" spans="1:25" ht="38.25" customHeight="1" x14ac:dyDescent="0.25">
      <c r="A9" s="12">
        <v>1984225580</v>
      </c>
      <c r="B9" s="1604" t="s">
        <v>75</v>
      </c>
      <c r="C9" s="1607">
        <v>26896</v>
      </c>
      <c r="D9" s="1608">
        <f t="shared" si="0"/>
        <v>26156.36</v>
      </c>
      <c r="E9" s="1607"/>
      <c r="F9" s="1607">
        <f t="shared" si="2"/>
        <v>0</v>
      </c>
      <c r="G9" s="1607"/>
      <c r="H9" s="1607">
        <f t="shared" si="3"/>
        <v>0</v>
      </c>
      <c r="I9" s="1607">
        <v>700</v>
      </c>
      <c r="J9" s="1607">
        <f t="shared" si="4"/>
        <v>12950</v>
      </c>
      <c r="K9" s="1607"/>
      <c r="L9" s="1608">
        <f t="shared" si="5"/>
        <v>0</v>
      </c>
      <c r="M9" s="1607"/>
      <c r="N9" s="1608">
        <f t="shared" si="6"/>
        <v>0</v>
      </c>
      <c r="O9" s="1607"/>
      <c r="P9" s="1608">
        <f t="shared" si="7"/>
        <v>0</v>
      </c>
      <c r="Q9" s="1608"/>
      <c r="R9" s="1608">
        <f t="shared" si="8"/>
        <v>0</v>
      </c>
      <c r="S9" s="1607"/>
      <c r="T9" s="1607">
        <f t="shared" si="9"/>
        <v>0</v>
      </c>
      <c r="U9" s="1607"/>
      <c r="V9" s="1607">
        <f t="shared" si="10"/>
        <v>0</v>
      </c>
      <c r="W9" s="1607"/>
      <c r="X9" s="19">
        <f t="shared" si="11"/>
        <v>0</v>
      </c>
      <c r="Y9" s="20">
        <f t="shared" si="1"/>
        <v>39106.36</v>
      </c>
    </row>
    <row r="10" spans="1:25" ht="35.25" customHeight="1" x14ac:dyDescent="0.25">
      <c r="A10" s="12">
        <v>1409935199</v>
      </c>
      <c r="C10" s="1607"/>
      <c r="D10" s="1608">
        <f t="shared" si="0"/>
        <v>0</v>
      </c>
      <c r="E10" s="1607"/>
      <c r="F10" s="1607">
        <f t="shared" si="2"/>
        <v>0</v>
      </c>
      <c r="G10" s="1607"/>
      <c r="H10" s="1607">
        <f t="shared" si="3"/>
        <v>0</v>
      </c>
      <c r="I10" s="1607">
        <v>4000</v>
      </c>
      <c r="J10" s="1607">
        <f t="shared" si="4"/>
        <v>74000</v>
      </c>
      <c r="K10" s="1607"/>
      <c r="L10" s="1608">
        <f t="shared" si="5"/>
        <v>0</v>
      </c>
      <c r="M10" s="1607"/>
      <c r="N10" s="1608">
        <f t="shared" si="6"/>
        <v>0</v>
      </c>
      <c r="O10" s="1607"/>
      <c r="P10" s="1608">
        <f t="shared" si="7"/>
        <v>0</v>
      </c>
      <c r="Q10" s="1608"/>
      <c r="R10" s="1608">
        <f t="shared" si="8"/>
        <v>0</v>
      </c>
      <c r="S10" s="1607"/>
      <c r="T10" s="1607">
        <f t="shared" si="9"/>
        <v>0</v>
      </c>
      <c r="U10" s="1607"/>
      <c r="V10" s="1607">
        <f t="shared" si="10"/>
        <v>0</v>
      </c>
      <c r="W10" s="1607"/>
      <c r="X10" s="19">
        <f t="shared" si="11"/>
        <v>0</v>
      </c>
      <c r="Y10" s="20">
        <f t="shared" si="1"/>
        <v>74000</v>
      </c>
    </row>
    <row r="11" spans="1:25" ht="37.5" customHeight="1" x14ac:dyDescent="0.25">
      <c r="A11" s="12"/>
      <c r="B11" s="1606"/>
      <c r="C11" s="1607"/>
      <c r="D11" s="1608">
        <f t="shared" si="0"/>
        <v>0</v>
      </c>
      <c r="E11" s="1607"/>
      <c r="F11" s="1607">
        <f t="shared" si="2"/>
        <v>0</v>
      </c>
      <c r="G11" s="1607"/>
      <c r="H11" s="1607">
        <f t="shared" si="3"/>
        <v>0</v>
      </c>
      <c r="I11" s="1607"/>
      <c r="J11" s="1607">
        <f t="shared" si="4"/>
        <v>0</v>
      </c>
      <c r="K11" s="1607"/>
      <c r="L11" s="1608">
        <f t="shared" si="5"/>
        <v>0</v>
      </c>
      <c r="M11" s="1607"/>
      <c r="N11" s="1608">
        <f t="shared" si="6"/>
        <v>0</v>
      </c>
      <c r="O11" s="1607"/>
      <c r="P11" s="1608">
        <f t="shared" si="7"/>
        <v>0</v>
      </c>
      <c r="Q11" s="1608"/>
      <c r="R11" s="1608">
        <f t="shared" si="8"/>
        <v>0</v>
      </c>
      <c r="S11" s="1607"/>
      <c r="T11" s="1607">
        <f>341*S11</f>
        <v>0</v>
      </c>
      <c r="U11" s="1607"/>
      <c r="V11" s="1607">
        <f t="shared" si="10"/>
        <v>0</v>
      </c>
      <c r="W11" s="16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97416</v>
      </c>
      <c r="D12" s="18">
        <f t="shared" si="12"/>
        <v>94737.060000000012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5980</v>
      </c>
      <c r="J12" s="18">
        <f t="shared" si="12"/>
        <v>110630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205367.06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12" t="s">
        <v>174</v>
      </c>
      <c r="K14" s="30" t="s">
        <v>36</v>
      </c>
      <c r="L14" s="1612" t="s">
        <v>403</v>
      </c>
      <c r="M14" s="30" t="s">
        <v>429</v>
      </c>
      <c r="N14" s="30" t="s">
        <v>442</v>
      </c>
      <c r="O14" s="1612" t="s">
        <v>114</v>
      </c>
      <c r="P14" s="30" t="s">
        <v>70</v>
      </c>
      <c r="Q14" s="1958" t="s">
        <v>479</v>
      </c>
      <c r="R14" s="1959"/>
      <c r="S14" s="1612" t="s">
        <v>401</v>
      </c>
      <c r="T14" s="1893" t="s">
        <v>46</v>
      </c>
      <c r="U14" s="1604" t="s">
        <v>176</v>
      </c>
      <c r="V14" s="1918">
        <v>14519</v>
      </c>
      <c r="W14" s="1926"/>
      <c r="X14" s="1919"/>
    </row>
    <row r="15" spans="1:25" ht="22.5" customHeight="1" x14ac:dyDescent="0.25">
      <c r="A15" s="100" t="s">
        <v>38</v>
      </c>
      <c r="B15" s="1918">
        <v>317382</v>
      </c>
      <c r="C15" s="1919"/>
      <c r="D15" s="1609">
        <v>0</v>
      </c>
      <c r="E15" s="1609">
        <v>0</v>
      </c>
      <c r="F15" s="1609">
        <v>12620</v>
      </c>
      <c r="G15" s="1609">
        <v>0</v>
      </c>
      <c r="H15" s="1609">
        <v>72</v>
      </c>
      <c r="I15" s="1609">
        <v>18</v>
      </c>
      <c r="J15" s="1609">
        <v>4</v>
      </c>
      <c r="K15" s="1609">
        <v>69</v>
      </c>
      <c r="L15" s="1609">
        <v>0</v>
      </c>
      <c r="M15" s="1609">
        <v>0</v>
      </c>
      <c r="N15" s="1609">
        <v>0</v>
      </c>
      <c r="O15" s="1609">
        <v>0</v>
      </c>
      <c r="P15" s="1609">
        <v>100</v>
      </c>
      <c r="Q15" s="1918">
        <v>10</v>
      </c>
      <c r="R15" s="1919"/>
      <c r="S15" s="1604">
        <v>2</v>
      </c>
      <c r="T15" s="1893"/>
      <c r="U15" s="1604" t="s">
        <v>64</v>
      </c>
      <c r="V15" s="1920">
        <v>23022</v>
      </c>
      <c r="W15" s="1920"/>
      <c r="X15" s="1920"/>
    </row>
    <row r="16" spans="1:25" ht="24.75" customHeight="1" x14ac:dyDescent="0.25">
      <c r="A16" s="100" t="s">
        <v>39</v>
      </c>
      <c r="B16" s="1918">
        <v>91380</v>
      </c>
      <c r="C16" s="1919"/>
      <c r="D16" s="1609"/>
      <c r="E16" s="1609"/>
      <c r="F16" s="1609">
        <v>5000</v>
      </c>
      <c r="G16" s="1609"/>
      <c r="H16" s="1609"/>
      <c r="I16" s="1609"/>
      <c r="J16" s="1609"/>
      <c r="K16" s="1609"/>
      <c r="L16" s="1609"/>
      <c r="M16" s="1609"/>
      <c r="N16" s="1609"/>
      <c r="O16" s="1609"/>
      <c r="P16" s="1609"/>
      <c r="Q16" s="1920"/>
      <c r="R16" s="1920"/>
      <c r="S16" s="1609"/>
      <c r="T16" s="1912" t="s">
        <v>55</v>
      </c>
      <c r="U16" s="1912"/>
      <c r="V16" s="1925">
        <f>Y12</f>
        <v>205367.06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609"/>
      <c r="E17" s="1609"/>
      <c r="F17" s="1609"/>
      <c r="G17" s="1609"/>
      <c r="H17" s="1609"/>
      <c r="I17" s="1609"/>
      <c r="J17" s="1609"/>
      <c r="K17" s="1609"/>
      <c r="L17" s="1609"/>
      <c r="M17" s="1609"/>
      <c r="N17" s="1609"/>
      <c r="O17" s="1609"/>
      <c r="P17" s="1609"/>
      <c r="Q17" s="1883"/>
      <c r="R17" s="1883"/>
      <c r="S17" s="1606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97416</v>
      </c>
      <c r="C18" s="1919"/>
      <c r="D18" s="1610">
        <f>E12</f>
        <v>0</v>
      </c>
      <c r="E18" s="1610">
        <f>G12</f>
        <v>0</v>
      </c>
      <c r="F18" s="1610">
        <f>I12</f>
        <v>5980</v>
      </c>
      <c r="G18" s="1610">
        <f>K12</f>
        <v>0</v>
      </c>
      <c r="H18" s="1609"/>
      <c r="I18" s="1610">
        <f>U12</f>
        <v>0</v>
      </c>
      <c r="J18" s="1609"/>
      <c r="K18" s="1610">
        <f>W12</f>
        <v>0</v>
      </c>
      <c r="L18" s="1609"/>
      <c r="M18" s="1610">
        <f>M12</f>
        <v>0</v>
      </c>
      <c r="N18" s="1610">
        <f>O12</f>
        <v>0</v>
      </c>
      <c r="O18" s="1611">
        <f>Q12</f>
        <v>0</v>
      </c>
      <c r="P18" s="1610"/>
      <c r="Q18" s="1920"/>
      <c r="R18" s="1920"/>
      <c r="S18" s="1604"/>
      <c r="T18" s="1912" t="s">
        <v>57</v>
      </c>
      <c r="U18" s="1912"/>
      <c r="V18" s="1920">
        <v>620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311346</v>
      </c>
      <c r="C19" s="1919"/>
      <c r="D19" s="1609">
        <f>D15+D16+D17-D18</f>
        <v>0</v>
      </c>
      <c r="E19" s="1609">
        <f t="shared" ref="E19:N19" si="13">E15+E16+E17-E18</f>
        <v>0</v>
      </c>
      <c r="F19" s="1609">
        <f t="shared" si="13"/>
        <v>11640</v>
      </c>
      <c r="G19" s="1609">
        <f t="shared" si="13"/>
        <v>0</v>
      </c>
      <c r="H19" s="1609">
        <f t="shared" si="13"/>
        <v>72</v>
      </c>
      <c r="I19" s="1609">
        <f t="shared" si="13"/>
        <v>18</v>
      </c>
      <c r="J19" s="1609">
        <f t="shared" si="13"/>
        <v>4</v>
      </c>
      <c r="K19" s="1609">
        <f t="shared" si="13"/>
        <v>69</v>
      </c>
      <c r="L19" s="1609">
        <f t="shared" si="13"/>
        <v>0</v>
      </c>
      <c r="M19" s="1609">
        <f t="shared" si="13"/>
        <v>0</v>
      </c>
      <c r="N19" s="1609">
        <f t="shared" si="13"/>
        <v>0</v>
      </c>
      <c r="O19" s="1609">
        <f>O15+O16+O17-O18</f>
        <v>0</v>
      </c>
      <c r="P19" s="1609">
        <f t="shared" ref="P19:Q19" si="14">P15+P16+P17-P18</f>
        <v>100</v>
      </c>
      <c r="Q19" s="1918">
        <f t="shared" si="14"/>
        <v>10</v>
      </c>
      <c r="R19" s="1919"/>
      <c r="S19" s="1604">
        <f>S15+S16-S17-S18</f>
        <v>2</v>
      </c>
      <c r="T19" s="1914" t="s">
        <v>48</v>
      </c>
      <c r="U19" s="49" t="s">
        <v>58</v>
      </c>
      <c r="V19" s="1920">
        <v>100000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299670.52500000002</v>
      </c>
      <c r="C20" s="1945"/>
      <c r="D20" s="290">
        <f>D19*66.41</f>
        <v>0</v>
      </c>
      <c r="E20" s="290">
        <f>27.9368*E19</f>
        <v>0</v>
      </c>
      <c r="F20" s="290">
        <f>18.31*F19</f>
        <v>213128.4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554030.92500000005</v>
      </c>
      <c r="C21" s="1951"/>
      <c r="O21" s="1613"/>
      <c r="P21" s="1613"/>
      <c r="Q21" s="1613"/>
      <c r="R21" s="1613"/>
      <c r="T21" s="1952" t="s">
        <v>487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100000</v>
      </c>
      <c r="D22" s="1949">
        <v>100000</v>
      </c>
      <c r="E22" s="1949">
        <v>178550</v>
      </c>
      <c r="F22" s="1949">
        <f>C22-D22+E22</f>
        <v>178550</v>
      </c>
      <c r="G22" s="1613"/>
      <c r="Q22" s="1613"/>
      <c r="R22" s="1613"/>
      <c r="T22" s="1909" t="s">
        <v>83</v>
      </c>
      <c r="U22" s="50" t="s">
        <v>60</v>
      </c>
      <c r="V22" s="1920">
        <v>187900</v>
      </c>
      <c r="W22" s="1920"/>
      <c r="X22" s="1920"/>
      <c r="Y22" s="1927"/>
    </row>
    <row r="23" spans="1:25" ht="39.75" customHeight="1" x14ac:dyDescent="0.25">
      <c r="A23" s="1613"/>
      <c r="B23" s="1947"/>
      <c r="C23" s="1950"/>
      <c r="D23" s="1950"/>
      <c r="E23" s="1950"/>
      <c r="F23" s="1950"/>
      <c r="G23" s="1613"/>
      <c r="Q23" s="1613"/>
      <c r="R23" s="1613"/>
      <c r="T23" s="1910"/>
      <c r="U23" s="50" t="s">
        <v>61</v>
      </c>
      <c r="V23" s="1920">
        <v>100000</v>
      </c>
      <c r="W23" s="1920"/>
      <c r="X23" s="1920"/>
      <c r="Y23" s="1927"/>
    </row>
    <row r="24" spans="1:25" ht="48" customHeight="1" x14ac:dyDescent="0.25">
      <c r="A24" s="1613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613"/>
      <c r="Q24" s="1613"/>
      <c r="R24" s="1613"/>
      <c r="T24" s="1893" t="s">
        <v>47</v>
      </c>
      <c r="U24" s="51" t="s">
        <v>62</v>
      </c>
      <c r="V24" s="1921">
        <f>V14+V16+V17-V18-V19-V20-V22+V23-V21</f>
        <v>31366.059999999998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110922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613"/>
      <c r="J33" s="1613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E62F1-AD41-457E-935E-60EB36F474E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1900" t="s">
        <v>512</v>
      </c>
      <c r="U3" s="1900"/>
      <c r="V3" s="1900"/>
      <c r="W3" s="1900"/>
      <c r="X3" s="1900"/>
      <c r="Y3" s="1900"/>
    </row>
    <row r="4" spans="1:25" s="161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619" customFormat="1" ht="25.5" customHeight="1" x14ac:dyDescent="0.25">
      <c r="A5" s="1901"/>
      <c r="B5" s="1901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617" t="s">
        <v>71</v>
      </c>
      <c r="C6" s="1615">
        <v>44538</v>
      </c>
      <c r="D6" s="1614">
        <f t="shared" ref="D6:D11" si="0">0.9725*C6</f>
        <v>43313.205000000002</v>
      </c>
      <c r="E6" s="1615"/>
      <c r="F6" s="1614">
        <f>67.1*E6</f>
        <v>0</v>
      </c>
      <c r="G6" s="1615"/>
      <c r="H6" s="1615">
        <f>28.2*G6</f>
        <v>0</v>
      </c>
      <c r="I6" s="1615">
        <v>380</v>
      </c>
      <c r="J6" s="1615">
        <f>18.5*I6</f>
        <v>7030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/>
      <c r="V6" s="1615">
        <f>332*U6</f>
        <v>0</v>
      </c>
      <c r="W6" s="1615"/>
      <c r="X6" s="19">
        <f>W6*100</f>
        <v>0</v>
      </c>
      <c r="Y6" s="20">
        <f t="shared" ref="Y6:Y12" si="1">D6+F6+H6+J6+L6+N6+P6+R6+T6+V6+X6</f>
        <v>50343.205000000002</v>
      </c>
    </row>
    <row r="7" spans="1:25" ht="31.5" customHeight="1" x14ac:dyDescent="0.25">
      <c r="A7" s="12">
        <v>1984225578</v>
      </c>
      <c r="B7" s="1617" t="s">
        <v>509</v>
      </c>
      <c r="C7" s="1615">
        <v>18393</v>
      </c>
      <c r="D7" s="1614">
        <f t="shared" si="0"/>
        <v>17887.192500000001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30</v>
      </c>
      <c r="J7" s="1615">
        <f t="shared" ref="J7:J11" si="4">18.5*I7</f>
        <v>555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/>
      <c r="V7" s="1615">
        <f t="shared" ref="V7:V11" si="10">332*U7</f>
        <v>0</v>
      </c>
      <c r="W7" s="1615"/>
      <c r="X7" s="19">
        <f t="shared" ref="X7:X11" si="11">W7*100</f>
        <v>0</v>
      </c>
      <c r="Y7" s="20">
        <f t="shared" si="1"/>
        <v>18442.192500000001</v>
      </c>
    </row>
    <row r="8" spans="1:25" ht="35.25" customHeight="1" x14ac:dyDescent="0.25">
      <c r="A8" s="12">
        <v>1967020280</v>
      </c>
      <c r="B8" s="1617" t="s">
        <v>427</v>
      </c>
      <c r="C8" s="1615">
        <v>29033</v>
      </c>
      <c r="D8" s="1614">
        <f t="shared" si="0"/>
        <v>28234.592500000002</v>
      </c>
      <c r="E8" s="1615"/>
      <c r="F8" s="1615">
        <f t="shared" si="2"/>
        <v>0</v>
      </c>
      <c r="G8" s="1615"/>
      <c r="H8" s="1614">
        <f t="shared" si="3"/>
        <v>0</v>
      </c>
      <c r="I8" s="1615">
        <v>330</v>
      </c>
      <c r="J8" s="1615">
        <f t="shared" si="4"/>
        <v>6105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34339.592499999999</v>
      </c>
    </row>
    <row r="9" spans="1:25" ht="38.25" customHeight="1" x14ac:dyDescent="0.25">
      <c r="A9" s="12">
        <v>1984225580</v>
      </c>
      <c r="B9" s="1617" t="s">
        <v>75</v>
      </c>
      <c r="C9" s="1615">
        <v>30398</v>
      </c>
      <c r="D9" s="1614">
        <f t="shared" si="0"/>
        <v>29562.055</v>
      </c>
      <c r="E9" s="1615"/>
      <c r="F9" s="1615">
        <f t="shared" si="2"/>
        <v>0</v>
      </c>
      <c r="G9" s="1615"/>
      <c r="H9" s="1615">
        <f t="shared" si="3"/>
        <v>0</v>
      </c>
      <c r="I9" s="1615">
        <v>440</v>
      </c>
      <c r="J9" s="1615">
        <f t="shared" si="4"/>
        <v>8140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37702.055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122362</v>
      </c>
      <c r="D12" s="18">
        <f t="shared" si="12"/>
        <v>118997.04500000001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1180</v>
      </c>
      <c r="J12" s="18">
        <f t="shared" si="12"/>
        <v>21830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140827.04500000001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1958" t="s">
        <v>479</v>
      </c>
      <c r="R14" s="1959"/>
      <c r="S14" s="1623" t="s">
        <v>401</v>
      </c>
      <c r="T14" s="1893" t="s">
        <v>46</v>
      </c>
      <c r="U14" s="1617" t="s">
        <v>176</v>
      </c>
      <c r="V14" s="1918">
        <v>31366</v>
      </c>
      <c r="W14" s="1926"/>
      <c r="X14" s="1919"/>
    </row>
    <row r="15" spans="1:25" ht="22.5" customHeight="1" x14ac:dyDescent="0.25">
      <c r="A15" s="100" t="s">
        <v>38</v>
      </c>
      <c r="B15" s="1918">
        <v>311346</v>
      </c>
      <c r="C15" s="1919"/>
      <c r="D15" s="1620">
        <v>0</v>
      </c>
      <c r="E15" s="1620">
        <v>0</v>
      </c>
      <c r="F15" s="1620">
        <v>11640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1918">
        <v>10</v>
      </c>
      <c r="R15" s="1919"/>
      <c r="S15" s="1617">
        <v>2</v>
      </c>
      <c r="T15" s="1893"/>
      <c r="U15" s="1617" t="s">
        <v>64</v>
      </c>
      <c r="V15" s="1920">
        <v>110922</v>
      </c>
      <c r="W15" s="1920"/>
      <c r="X15" s="1920"/>
    </row>
    <row r="16" spans="1:25" ht="24.75" customHeight="1" x14ac:dyDescent="0.25">
      <c r="A16" s="100" t="s">
        <v>39</v>
      </c>
      <c r="B16" s="1918">
        <v>121558</v>
      </c>
      <c r="C16" s="1919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1920"/>
      <c r="R16" s="1920"/>
      <c r="S16" s="1620"/>
      <c r="T16" s="1912" t="s">
        <v>55</v>
      </c>
      <c r="U16" s="1912"/>
      <c r="V16" s="1925">
        <f>Y12</f>
        <v>140827.04500000001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1883"/>
      <c r="R17" s="1883"/>
      <c r="S17" s="1616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122362</v>
      </c>
      <c r="C18" s="1919"/>
      <c r="D18" s="1622">
        <f>E12</f>
        <v>0</v>
      </c>
      <c r="E18" s="1622">
        <f>G12</f>
        <v>0</v>
      </c>
      <c r="F18" s="1622">
        <f>I12</f>
        <v>1180</v>
      </c>
      <c r="G18" s="1622">
        <f>K12</f>
        <v>0</v>
      </c>
      <c r="H18" s="1620"/>
      <c r="I18" s="1622">
        <f>U12</f>
        <v>0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1920"/>
      <c r="R18" s="1920"/>
      <c r="S18" s="1617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310542</v>
      </c>
      <c r="C19" s="1919"/>
      <c r="D19" s="1620">
        <f>D15+D16+D17-D18</f>
        <v>0</v>
      </c>
      <c r="E19" s="1620">
        <f t="shared" ref="E19:N19" si="13">E15+E16+E17-E18</f>
        <v>0</v>
      </c>
      <c r="F19" s="1620">
        <f t="shared" si="13"/>
        <v>10460</v>
      </c>
      <c r="G19" s="1620">
        <f t="shared" si="13"/>
        <v>0</v>
      </c>
      <c r="H19" s="1620">
        <f t="shared" si="13"/>
        <v>72</v>
      </c>
      <c r="I19" s="1620">
        <f t="shared" si="13"/>
        <v>18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1918">
        <f t="shared" si="14"/>
        <v>10</v>
      </c>
      <c r="R19" s="1919"/>
      <c r="S19" s="1617">
        <f>S15+S16-S17-S18</f>
        <v>2</v>
      </c>
      <c r="T19" s="1914" t="s">
        <v>48</v>
      </c>
      <c r="U19" s="49" t="s">
        <v>58</v>
      </c>
      <c r="V19" s="1920">
        <v>178550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298896.67499999999</v>
      </c>
      <c r="C20" s="1945"/>
      <c r="D20" s="290">
        <f>D19*66.41</f>
        <v>0</v>
      </c>
      <c r="E20" s="290">
        <f>27.9368*E19</f>
        <v>0</v>
      </c>
      <c r="F20" s="290">
        <f>18.31*F19</f>
        <v>191522.59999999998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531651.27499999991</v>
      </c>
      <c r="C21" s="1951"/>
      <c r="O21" s="1624"/>
      <c r="P21" s="1624"/>
      <c r="Q21" s="1624"/>
      <c r="R21" s="1624"/>
      <c r="T21" s="1952" t="s">
        <v>487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178550</v>
      </c>
      <c r="D22" s="1949">
        <v>178550</v>
      </c>
      <c r="E22" s="1949">
        <v>118000</v>
      </c>
      <c r="F22" s="1949">
        <f>C22-D22+E22</f>
        <v>118000</v>
      </c>
      <c r="G22" s="1624"/>
      <c r="Q22" s="1624"/>
      <c r="R22" s="1624"/>
      <c r="T22" s="1909" t="s">
        <v>83</v>
      </c>
      <c r="U22" s="50" t="s">
        <v>60</v>
      </c>
      <c r="V22" s="1920">
        <v>141690</v>
      </c>
      <c r="W22" s="1920"/>
      <c r="X22" s="1920"/>
      <c r="Y22" s="1927"/>
    </row>
    <row r="23" spans="1:25" ht="39.75" customHeight="1" x14ac:dyDescent="0.25">
      <c r="A23" s="1624"/>
      <c r="B23" s="1947"/>
      <c r="C23" s="1950"/>
      <c r="D23" s="1950"/>
      <c r="E23" s="1950"/>
      <c r="F23" s="1950"/>
      <c r="G23" s="1624"/>
      <c r="Q23" s="1624"/>
      <c r="R23" s="1624"/>
      <c r="T23" s="1910"/>
      <c r="U23" s="50" t="s">
        <v>61</v>
      </c>
      <c r="V23" s="1920">
        <v>178550</v>
      </c>
      <c r="W23" s="1920"/>
      <c r="X23" s="1920"/>
      <c r="Y23" s="1927"/>
    </row>
    <row r="24" spans="1:25" ht="48" customHeight="1" x14ac:dyDescent="0.25">
      <c r="A24" s="1624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1893" t="s">
        <v>47</v>
      </c>
      <c r="U24" s="51" t="s">
        <v>62</v>
      </c>
      <c r="V24" s="1921">
        <f>V14+V16+V17-V18-V19-V20-V22+V23-V21</f>
        <v>29983.045000000013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74062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624"/>
      <c r="J33" s="1624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B6E53-76A8-4315-86A8-88C7CCE7CC1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1900" t="s">
        <v>513</v>
      </c>
      <c r="U3" s="1900"/>
      <c r="V3" s="1900"/>
      <c r="W3" s="1900"/>
      <c r="X3" s="1900"/>
      <c r="Y3" s="1900"/>
    </row>
    <row r="4" spans="1:25" s="161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619" customFormat="1" ht="25.5" customHeight="1" x14ac:dyDescent="0.25">
      <c r="A5" s="1901"/>
      <c r="B5" s="1901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617" t="s">
        <v>71</v>
      </c>
      <c r="C6" s="1615">
        <v>53209</v>
      </c>
      <c r="D6" s="1614">
        <f t="shared" ref="D6:D11" si="0">0.9725*C6</f>
        <v>51745.752500000002</v>
      </c>
      <c r="E6" s="1615"/>
      <c r="F6" s="1614">
        <f>67.1*E6</f>
        <v>0</v>
      </c>
      <c r="G6" s="1615"/>
      <c r="H6" s="1615">
        <f>28.2*G6</f>
        <v>0</v>
      </c>
      <c r="I6" s="1615">
        <v>220</v>
      </c>
      <c r="J6" s="1615">
        <f>18.5*I6</f>
        <v>4070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>
        <v>3</v>
      </c>
      <c r="V6" s="1615">
        <f>332*U6</f>
        <v>996</v>
      </c>
      <c r="W6" s="1615"/>
      <c r="X6" s="19">
        <f>W6*100</f>
        <v>0</v>
      </c>
      <c r="Y6" s="20">
        <f t="shared" ref="Y6:Y12" si="1">D6+F6+H6+J6+L6+N6+P6+R6+T6+V6+X6</f>
        <v>56811.752500000002</v>
      </c>
    </row>
    <row r="7" spans="1:25" ht="31.5" customHeight="1" x14ac:dyDescent="0.25">
      <c r="A7" s="12">
        <v>1984225578</v>
      </c>
      <c r="B7" s="1617" t="s">
        <v>509</v>
      </c>
      <c r="C7" s="1615">
        <v>44431</v>
      </c>
      <c r="D7" s="1614">
        <f t="shared" si="0"/>
        <v>43209.147499999999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560</v>
      </c>
      <c r="J7" s="1615">
        <f t="shared" ref="J7:J11" si="4">18.5*I7</f>
        <v>10360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>
        <v>12</v>
      </c>
      <c r="V7" s="1615">
        <f t="shared" ref="V7:V11" si="10">332*U7</f>
        <v>3984</v>
      </c>
      <c r="W7" s="1615"/>
      <c r="X7" s="19">
        <f t="shared" ref="X7:X11" si="11">W7*100</f>
        <v>0</v>
      </c>
      <c r="Y7" s="20">
        <f t="shared" si="1"/>
        <v>57553.147499999999</v>
      </c>
    </row>
    <row r="8" spans="1:25" ht="35.25" customHeight="1" x14ac:dyDescent="0.25">
      <c r="A8" s="12">
        <v>1967020280</v>
      </c>
      <c r="B8" s="1617" t="s">
        <v>427</v>
      </c>
      <c r="C8" s="1615">
        <v>56040</v>
      </c>
      <c r="D8" s="1614">
        <f t="shared" si="0"/>
        <v>54498.9</v>
      </c>
      <c r="E8" s="1615"/>
      <c r="F8" s="1615">
        <f t="shared" si="2"/>
        <v>0</v>
      </c>
      <c r="G8" s="1615"/>
      <c r="H8" s="1614">
        <f t="shared" si="3"/>
        <v>0</v>
      </c>
      <c r="I8" s="1615">
        <v>530</v>
      </c>
      <c r="J8" s="1615">
        <f t="shared" si="4"/>
        <v>9805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64303.9</v>
      </c>
    </row>
    <row r="9" spans="1:25" ht="38.25" customHeight="1" x14ac:dyDescent="0.25">
      <c r="A9" s="12">
        <v>1984225580</v>
      </c>
      <c r="B9" s="1617" t="s">
        <v>75</v>
      </c>
      <c r="C9" s="1615">
        <v>39667</v>
      </c>
      <c r="D9" s="1614">
        <f t="shared" si="0"/>
        <v>38576.157500000001</v>
      </c>
      <c r="E9" s="1615"/>
      <c r="F9" s="1615">
        <f t="shared" si="2"/>
        <v>0</v>
      </c>
      <c r="G9" s="1615"/>
      <c r="H9" s="1615">
        <f t="shared" si="3"/>
        <v>0</v>
      </c>
      <c r="I9" s="1615">
        <v>490</v>
      </c>
      <c r="J9" s="1615">
        <f t="shared" si="4"/>
        <v>9065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47641.157500000001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193347</v>
      </c>
      <c r="D12" s="18">
        <f t="shared" si="12"/>
        <v>188029.95749999999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226309.95749999999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1958" t="s">
        <v>479</v>
      </c>
      <c r="R14" s="1959"/>
      <c r="S14" s="1623" t="s">
        <v>401</v>
      </c>
      <c r="T14" s="1893" t="s">
        <v>46</v>
      </c>
      <c r="U14" s="1617" t="s">
        <v>176</v>
      </c>
      <c r="V14" s="1918">
        <v>29983</v>
      </c>
      <c r="W14" s="1926"/>
      <c r="X14" s="1919"/>
    </row>
    <row r="15" spans="1:25" ht="22.5" customHeight="1" x14ac:dyDescent="0.25">
      <c r="A15" s="100" t="s">
        <v>38</v>
      </c>
      <c r="B15" s="1918">
        <v>310542</v>
      </c>
      <c r="C15" s="1919"/>
      <c r="D15" s="1620">
        <v>0</v>
      </c>
      <c r="E15" s="1620">
        <v>0</v>
      </c>
      <c r="F15" s="1620">
        <v>10460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1918">
        <v>10</v>
      </c>
      <c r="R15" s="1919"/>
      <c r="S15" s="1617">
        <v>2</v>
      </c>
      <c r="T15" s="1893"/>
      <c r="U15" s="1617" t="s">
        <v>64</v>
      </c>
      <c r="V15" s="1920">
        <v>74062</v>
      </c>
      <c r="W15" s="1920"/>
      <c r="X15" s="1920"/>
    </row>
    <row r="16" spans="1:25" ht="24.75" customHeight="1" x14ac:dyDescent="0.25">
      <c r="A16" s="100" t="s">
        <v>39</v>
      </c>
      <c r="B16" s="1918">
        <v>192208</v>
      </c>
      <c r="C16" s="1919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1920"/>
      <c r="R16" s="1920"/>
      <c r="S16" s="1620"/>
      <c r="T16" s="1912" t="s">
        <v>55</v>
      </c>
      <c r="U16" s="1912"/>
      <c r="V16" s="1925">
        <f>Y12</f>
        <v>226309.95749999999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1883"/>
      <c r="R17" s="1883"/>
      <c r="S17" s="1616"/>
      <c r="T17" s="1952" t="s">
        <v>473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193347</v>
      </c>
      <c r="C18" s="1919"/>
      <c r="D18" s="1622">
        <f>E12</f>
        <v>0</v>
      </c>
      <c r="E18" s="1622">
        <f>G12</f>
        <v>0</v>
      </c>
      <c r="F18" s="1622">
        <f>I12</f>
        <v>1800</v>
      </c>
      <c r="G18" s="1622">
        <f>K12</f>
        <v>0</v>
      </c>
      <c r="H18" s="1620"/>
      <c r="I18" s="1622">
        <f>U12</f>
        <v>15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1920"/>
      <c r="R18" s="1920"/>
      <c r="S18" s="1617"/>
      <c r="T18" s="1912" t="s">
        <v>57</v>
      </c>
      <c r="U18" s="1912"/>
      <c r="V18" s="1920">
        <v>1540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309403</v>
      </c>
      <c r="C19" s="1919"/>
      <c r="D19" s="1620">
        <f>D15+D16+D17-D18</f>
        <v>0</v>
      </c>
      <c r="E19" s="1620">
        <f t="shared" ref="E19:N19" si="13">E15+E16+E17-E18</f>
        <v>0</v>
      </c>
      <c r="F19" s="1620">
        <f t="shared" si="13"/>
        <v>8660</v>
      </c>
      <c r="G19" s="1620">
        <f t="shared" si="13"/>
        <v>0</v>
      </c>
      <c r="H19" s="1620">
        <f t="shared" si="13"/>
        <v>72</v>
      </c>
      <c r="I19" s="1620">
        <f t="shared" si="13"/>
        <v>3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1918">
        <f t="shared" si="14"/>
        <v>10</v>
      </c>
      <c r="R19" s="1919"/>
      <c r="S19" s="1617">
        <f>S15+S16-S17-S18</f>
        <v>2</v>
      </c>
      <c r="T19" s="1914" t="s">
        <v>48</v>
      </c>
      <c r="U19" s="49" t="s">
        <v>58</v>
      </c>
      <c r="V19" s="1920">
        <v>118000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297800.38750000001</v>
      </c>
      <c r="C20" s="1945"/>
      <c r="D20" s="290">
        <f>D19*66.41</f>
        <v>0</v>
      </c>
      <c r="E20" s="290">
        <f>27.9368*E19</f>
        <v>0</v>
      </c>
      <c r="F20" s="290">
        <f>18.31*F19</f>
        <v>158564.59999999998</v>
      </c>
      <c r="G20" s="290">
        <f>27.9368*G19</f>
        <v>0</v>
      </c>
      <c r="H20" s="290">
        <f>241*H19</f>
        <v>17352</v>
      </c>
      <c r="I20" s="290">
        <f>323*I19</f>
        <v>969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492751.98749999999</v>
      </c>
      <c r="C21" s="1951"/>
      <c r="O21" s="1624"/>
      <c r="P21" s="1624"/>
      <c r="Q21" s="1624"/>
      <c r="R21" s="1624"/>
      <c r="T21" s="1952" t="s">
        <v>487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118000</v>
      </c>
      <c r="D22" s="1949">
        <v>118000</v>
      </c>
      <c r="E22" s="1949">
        <v>185000</v>
      </c>
      <c r="F22" s="1949">
        <f>C22-D22+E22</f>
        <v>185000</v>
      </c>
      <c r="G22" s="1624"/>
      <c r="Q22" s="1624"/>
      <c r="R22" s="1624"/>
      <c r="T22" s="1909" t="s">
        <v>83</v>
      </c>
      <c r="U22" s="50" t="s">
        <v>60</v>
      </c>
      <c r="V22" s="1920">
        <v>219170</v>
      </c>
      <c r="W22" s="1920"/>
      <c r="X22" s="1920"/>
      <c r="Y22" s="1927"/>
    </row>
    <row r="23" spans="1:25" ht="39.75" customHeight="1" x14ac:dyDescent="0.25">
      <c r="A23" s="1624"/>
      <c r="B23" s="1947"/>
      <c r="C23" s="1950"/>
      <c r="D23" s="1950"/>
      <c r="E23" s="1950"/>
      <c r="F23" s="1950"/>
      <c r="G23" s="1624"/>
      <c r="Q23" s="1624"/>
      <c r="R23" s="1624"/>
      <c r="T23" s="1910"/>
      <c r="U23" s="50" t="s">
        <v>61</v>
      </c>
      <c r="V23" s="1920">
        <v>118000</v>
      </c>
      <c r="W23" s="1920"/>
      <c r="X23" s="1920"/>
      <c r="Y23" s="1927"/>
    </row>
    <row r="24" spans="1:25" ht="48" customHeight="1" x14ac:dyDescent="0.25">
      <c r="A24" s="1624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1893" t="s">
        <v>47</v>
      </c>
      <c r="U24" s="51" t="s">
        <v>62</v>
      </c>
      <c r="V24" s="1921">
        <f>V14+V16+V17-V18-V19-V20-V22+V23-V21</f>
        <v>35582.95749999999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175232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624"/>
      <c r="J33" s="1624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35F4F-AE3D-4D3A-9F2A-476486712475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625"/>
      <c r="B3" s="1625"/>
      <c r="C3" s="1625"/>
      <c r="D3" s="1625"/>
      <c r="E3" s="1625"/>
      <c r="F3" s="1625"/>
      <c r="G3" s="1625"/>
      <c r="H3" s="1625"/>
      <c r="I3" s="1625"/>
      <c r="J3" s="1625"/>
      <c r="K3" s="1625"/>
      <c r="L3" s="1625"/>
      <c r="M3" s="1625"/>
      <c r="N3" s="1625"/>
      <c r="O3" s="1625"/>
      <c r="P3" s="1625"/>
      <c r="Q3" s="1625"/>
      <c r="R3" s="1625"/>
      <c r="S3" s="1625"/>
      <c r="T3" s="1900" t="s">
        <v>514</v>
      </c>
      <c r="U3" s="1900"/>
      <c r="V3" s="1900"/>
      <c r="W3" s="1900"/>
      <c r="X3" s="1900"/>
      <c r="Y3" s="1900"/>
    </row>
    <row r="4" spans="1:25" s="162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625" customFormat="1" ht="25.5" customHeight="1" x14ac:dyDescent="0.25">
      <c r="A5" s="1901"/>
      <c r="B5" s="1901"/>
      <c r="C5" s="1627" t="s">
        <v>42</v>
      </c>
      <c r="D5" s="1627" t="s">
        <v>43</v>
      </c>
      <c r="E5" s="1627" t="s">
        <v>42</v>
      </c>
      <c r="F5" s="1627" t="s">
        <v>43</v>
      </c>
      <c r="G5" s="1627" t="s">
        <v>42</v>
      </c>
      <c r="H5" s="1627" t="s">
        <v>43</v>
      </c>
      <c r="I5" s="1627" t="s">
        <v>42</v>
      </c>
      <c r="J5" s="1627" t="s">
        <v>43</v>
      </c>
      <c r="K5" s="1627" t="s">
        <v>42</v>
      </c>
      <c r="L5" s="1627" t="s">
        <v>43</v>
      </c>
      <c r="M5" s="1627" t="s">
        <v>42</v>
      </c>
      <c r="N5" s="1627" t="s">
        <v>43</v>
      </c>
      <c r="O5" s="1627" t="s">
        <v>42</v>
      </c>
      <c r="P5" s="1627" t="s">
        <v>43</v>
      </c>
      <c r="Q5" s="1627" t="s">
        <v>42</v>
      </c>
      <c r="R5" s="16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626" t="s">
        <v>71</v>
      </c>
      <c r="C6" s="1629">
        <v>20648</v>
      </c>
      <c r="D6" s="1630">
        <f t="shared" ref="D6:D11" si="0">0.9725*C6</f>
        <v>20080.18</v>
      </c>
      <c r="E6" s="1629"/>
      <c r="F6" s="1630">
        <f>67.1*E6</f>
        <v>0</v>
      </c>
      <c r="G6" s="1629"/>
      <c r="H6" s="1629">
        <f>28.2*G6</f>
        <v>0</v>
      </c>
      <c r="I6" s="1629">
        <v>120</v>
      </c>
      <c r="J6" s="1629">
        <f>18.5*I6</f>
        <v>2220</v>
      </c>
      <c r="K6" s="1629"/>
      <c r="L6" s="1630">
        <f>28.2368*K6</f>
        <v>0</v>
      </c>
      <c r="M6" s="1629"/>
      <c r="N6" s="1630">
        <f>M6*47.6525</f>
        <v>0</v>
      </c>
      <c r="O6" s="1629"/>
      <c r="P6" s="1630">
        <f>O6*8.9</f>
        <v>0</v>
      </c>
      <c r="Q6" s="1630"/>
      <c r="R6" s="1630">
        <f>241*Q6</f>
        <v>0</v>
      </c>
      <c r="S6" s="1629"/>
      <c r="T6" s="1629">
        <f>241*S6</f>
        <v>0</v>
      </c>
      <c r="U6" s="1629">
        <v>3</v>
      </c>
      <c r="V6" s="1629">
        <f>332*U6</f>
        <v>996</v>
      </c>
      <c r="W6" s="1629"/>
      <c r="X6" s="19">
        <f>W6*100</f>
        <v>0</v>
      </c>
      <c r="Y6" s="20">
        <f t="shared" ref="Y6:Y12" si="1">D6+F6+H6+J6+L6+N6+P6+R6+T6+V6+X6</f>
        <v>23296.18</v>
      </c>
    </row>
    <row r="7" spans="1:25" ht="31.5" customHeight="1" x14ac:dyDescent="0.25">
      <c r="A7" s="12">
        <v>1984225578</v>
      </c>
      <c r="B7" s="1626" t="s">
        <v>509</v>
      </c>
      <c r="C7" s="1629">
        <v>37317</v>
      </c>
      <c r="D7" s="1630">
        <f t="shared" si="0"/>
        <v>36290.782500000001</v>
      </c>
      <c r="E7" s="1629"/>
      <c r="F7" s="1629">
        <f t="shared" ref="F7:F11" si="2">67.1*E7</f>
        <v>0</v>
      </c>
      <c r="G7" s="1629"/>
      <c r="H7" s="1629">
        <f t="shared" ref="H7:H11" si="3">28.2*G7</f>
        <v>0</v>
      </c>
      <c r="I7" s="1629">
        <v>90</v>
      </c>
      <c r="J7" s="1629">
        <f t="shared" ref="J7:J11" si="4">18.5*I7</f>
        <v>1665</v>
      </c>
      <c r="K7" s="1629"/>
      <c r="L7" s="1630">
        <f t="shared" ref="L7:L11" si="5">28.2368*K7</f>
        <v>0</v>
      </c>
      <c r="M7" s="1629"/>
      <c r="N7" s="1630">
        <f t="shared" ref="N7:N11" si="6">M7*47.6525</f>
        <v>0</v>
      </c>
      <c r="O7" s="1629"/>
      <c r="P7" s="1630">
        <f t="shared" ref="P7:P11" si="7">O7*8.9</f>
        <v>0</v>
      </c>
      <c r="Q7" s="1630"/>
      <c r="R7" s="1630">
        <f t="shared" ref="R7:R11" si="8">241*Q7</f>
        <v>0</v>
      </c>
      <c r="S7" s="1629"/>
      <c r="T7" s="1629">
        <f t="shared" ref="T7:T10" si="9">241*S7</f>
        <v>0</v>
      </c>
      <c r="U7" s="1629"/>
      <c r="V7" s="1629">
        <f t="shared" ref="V7:V11" si="10">332*U7</f>
        <v>0</v>
      </c>
      <c r="W7" s="1629"/>
      <c r="X7" s="19">
        <f t="shared" ref="X7:X11" si="11">W7*100</f>
        <v>0</v>
      </c>
      <c r="Y7" s="20">
        <f t="shared" si="1"/>
        <v>37955.782500000001</v>
      </c>
    </row>
    <row r="8" spans="1:25" ht="35.25" customHeight="1" x14ac:dyDescent="0.25">
      <c r="A8" s="12">
        <v>1967020280</v>
      </c>
      <c r="B8" s="1626" t="s">
        <v>427</v>
      </c>
      <c r="C8" s="1629">
        <v>31095</v>
      </c>
      <c r="D8" s="1630">
        <f t="shared" si="0"/>
        <v>30239.887500000001</v>
      </c>
      <c r="E8" s="1629"/>
      <c r="F8" s="1629">
        <f t="shared" si="2"/>
        <v>0</v>
      </c>
      <c r="G8" s="1629"/>
      <c r="H8" s="1630">
        <f t="shared" si="3"/>
        <v>0</v>
      </c>
      <c r="I8" s="1629">
        <v>450</v>
      </c>
      <c r="J8" s="1629">
        <f t="shared" si="4"/>
        <v>8325</v>
      </c>
      <c r="K8" s="1629"/>
      <c r="L8" s="1630">
        <f t="shared" si="5"/>
        <v>0</v>
      </c>
      <c r="M8" s="1629"/>
      <c r="N8" s="1630">
        <f t="shared" si="6"/>
        <v>0</v>
      </c>
      <c r="O8" s="1629"/>
      <c r="P8" s="1630">
        <f t="shared" si="7"/>
        <v>0</v>
      </c>
      <c r="Q8" s="1630"/>
      <c r="R8" s="1630">
        <f t="shared" si="8"/>
        <v>0</v>
      </c>
      <c r="S8" s="1629"/>
      <c r="T8" s="1629">
        <f t="shared" si="9"/>
        <v>0</v>
      </c>
      <c r="U8" s="1629"/>
      <c r="V8" s="1629">
        <f t="shared" si="10"/>
        <v>0</v>
      </c>
      <c r="W8" s="1629"/>
      <c r="X8" s="19">
        <f t="shared" si="11"/>
        <v>0</v>
      </c>
      <c r="Y8" s="20">
        <f t="shared" si="1"/>
        <v>38564.887499999997</v>
      </c>
    </row>
    <row r="9" spans="1:25" ht="38.25" customHeight="1" x14ac:dyDescent="0.25">
      <c r="A9" s="12">
        <v>1984225580</v>
      </c>
      <c r="B9" s="1626" t="s">
        <v>75</v>
      </c>
      <c r="C9" s="1629">
        <v>61742</v>
      </c>
      <c r="D9" s="1630">
        <f t="shared" si="0"/>
        <v>60044.095000000001</v>
      </c>
      <c r="E9" s="1629"/>
      <c r="F9" s="1629">
        <f t="shared" si="2"/>
        <v>0</v>
      </c>
      <c r="G9" s="1629"/>
      <c r="H9" s="1629">
        <f t="shared" si="3"/>
        <v>0</v>
      </c>
      <c r="I9" s="1629"/>
      <c r="J9" s="1629">
        <f t="shared" si="4"/>
        <v>0</v>
      </c>
      <c r="K9" s="1629"/>
      <c r="L9" s="1630">
        <f t="shared" si="5"/>
        <v>0</v>
      </c>
      <c r="M9" s="1629"/>
      <c r="N9" s="1630">
        <f t="shared" si="6"/>
        <v>0</v>
      </c>
      <c r="O9" s="1629"/>
      <c r="P9" s="1630">
        <f t="shared" si="7"/>
        <v>0</v>
      </c>
      <c r="Q9" s="1630"/>
      <c r="R9" s="1630">
        <f t="shared" si="8"/>
        <v>0</v>
      </c>
      <c r="S9" s="1629"/>
      <c r="T9" s="1629">
        <f t="shared" si="9"/>
        <v>0</v>
      </c>
      <c r="U9" s="1629"/>
      <c r="V9" s="1629">
        <f t="shared" si="10"/>
        <v>0</v>
      </c>
      <c r="W9" s="1629"/>
      <c r="X9" s="19">
        <f t="shared" si="11"/>
        <v>0</v>
      </c>
      <c r="Y9" s="20">
        <f t="shared" si="1"/>
        <v>60044.095000000001</v>
      </c>
    </row>
    <row r="10" spans="1:25" ht="35.25" customHeight="1" x14ac:dyDescent="0.25">
      <c r="A10" s="12">
        <v>1409935199</v>
      </c>
      <c r="C10" s="1629"/>
      <c r="D10" s="1630">
        <f t="shared" si="0"/>
        <v>0</v>
      </c>
      <c r="E10" s="1629"/>
      <c r="F10" s="1629">
        <f t="shared" si="2"/>
        <v>0</v>
      </c>
      <c r="G10" s="1629"/>
      <c r="H10" s="1629">
        <f t="shared" si="3"/>
        <v>0</v>
      </c>
      <c r="I10" s="1629"/>
      <c r="J10" s="1629">
        <f t="shared" si="4"/>
        <v>0</v>
      </c>
      <c r="K10" s="1629"/>
      <c r="L10" s="1630">
        <f t="shared" si="5"/>
        <v>0</v>
      </c>
      <c r="M10" s="1629"/>
      <c r="N10" s="1630">
        <f t="shared" si="6"/>
        <v>0</v>
      </c>
      <c r="O10" s="1629"/>
      <c r="P10" s="1630">
        <f t="shared" si="7"/>
        <v>0</v>
      </c>
      <c r="Q10" s="1630"/>
      <c r="R10" s="1630">
        <f t="shared" si="8"/>
        <v>0</v>
      </c>
      <c r="S10" s="1629"/>
      <c r="T10" s="1629">
        <f t="shared" si="9"/>
        <v>0</v>
      </c>
      <c r="U10" s="1629"/>
      <c r="V10" s="1629">
        <f t="shared" si="10"/>
        <v>0</v>
      </c>
      <c r="W10" s="162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28"/>
      <c r="C11" s="1629"/>
      <c r="D11" s="1630">
        <f t="shared" si="0"/>
        <v>0</v>
      </c>
      <c r="E11" s="1629"/>
      <c r="F11" s="1629">
        <f t="shared" si="2"/>
        <v>0</v>
      </c>
      <c r="G11" s="1629"/>
      <c r="H11" s="1629">
        <f t="shared" si="3"/>
        <v>0</v>
      </c>
      <c r="I11" s="1629"/>
      <c r="J11" s="1629">
        <f t="shared" si="4"/>
        <v>0</v>
      </c>
      <c r="K11" s="1629"/>
      <c r="L11" s="1630">
        <f t="shared" si="5"/>
        <v>0</v>
      </c>
      <c r="M11" s="1629"/>
      <c r="N11" s="1630">
        <f t="shared" si="6"/>
        <v>0</v>
      </c>
      <c r="O11" s="1629"/>
      <c r="P11" s="1630">
        <f t="shared" si="7"/>
        <v>0</v>
      </c>
      <c r="Q11" s="1630"/>
      <c r="R11" s="1630">
        <f t="shared" si="8"/>
        <v>0</v>
      </c>
      <c r="S11" s="1629"/>
      <c r="T11" s="1629">
        <f>341*S11</f>
        <v>0</v>
      </c>
      <c r="U11" s="1629"/>
      <c r="V11" s="1629">
        <f t="shared" si="10"/>
        <v>0</v>
      </c>
      <c r="W11" s="162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150802</v>
      </c>
      <c r="D12" s="18">
        <f t="shared" si="12"/>
        <v>146654.94500000001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159860.94500000001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34" t="s">
        <v>174</v>
      </c>
      <c r="K14" s="30" t="s">
        <v>36</v>
      </c>
      <c r="L14" s="1634" t="s">
        <v>403</v>
      </c>
      <c r="M14" s="30" t="s">
        <v>429</v>
      </c>
      <c r="N14" s="30" t="s">
        <v>442</v>
      </c>
      <c r="O14" s="1634" t="s">
        <v>114</v>
      </c>
      <c r="P14" s="30" t="s">
        <v>70</v>
      </c>
      <c r="Q14" s="1958" t="s">
        <v>479</v>
      </c>
      <c r="R14" s="1959"/>
      <c r="S14" s="1634" t="s">
        <v>401</v>
      </c>
      <c r="T14" s="1893" t="s">
        <v>46</v>
      </c>
      <c r="U14" s="1626" t="s">
        <v>176</v>
      </c>
      <c r="V14" s="1918">
        <v>35583</v>
      </c>
      <c r="W14" s="1926"/>
      <c r="X14" s="1919"/>
    </row>
    <row r="15" spans="1:25" ht="22.5" customHeight="1" x14ac:dyDescent="0.25">
      <c r="A15" s="100" t="s">
        <v>38</v>
      </c>
      <c r="B15" s="1918">
        <v>309403</v>
      </c>
      <c r="C15" s="1919"/>
      <c r="D15" s="1631">
        <v>0</v>
      </c>
      <c r="E15" s="1631">
        <v>0</v>
      </c>
      <c r="F15" s="1631">
        <v>8660</v>
      </c>
      <c r="G15" s="1631">
        <v>0</v>
      </c>
      <c r="H15" s="1631">
        <v>72</v>
      </c>
      <c r="I15" s="1631">
        <v>3</v>
      </c>
      <c r="J15" s="1631">
        <v>4</v>
      </c>
      <c r="K15" s="1631">
        <v>69</v>
      </c>
      <c r="L15" s="1631">
        <v>0</v>
      </c>
      <c r="M15" s="1631">
        <v>0</v>
      </c>
      <c r="N15" s="1631">
        <v>0</v>
      </c>
      <c r="O15" s="1631">
        <v>0</v>
      </c>
      <c r="P15" s="1631">
        <v>100</v>
      </c>
      <c r="Q15" s="1918">
        <v>10</v>
      </c>
      <c r="R15" s="1919"/>
      <c r="S15" s="1626">
        <v>2</v>
      </c>
      <c r="T15" s="1893"/>
      <c r="U15" s="1626" t="s">
        <v>64</v>
      </c>
      <c r="V15" s="1920">
        <v>175232</v>
      </c>
      <c r="W15" s="1920"/>
      <c r="X15" s="1920"/>
    </row>
    <row r="16" spans="1:25" ht="24.75" customHeight="1" x14ac:dyDescent="0.25">
      <c r="A16" s="100" t="s">
        <v>39</v>
      </c>
      <c r="B16" s="1918">
        <v>243909</v>
      </c>
      <c r="C16" s="1919"/>
      <c r="D16" s="1631"/>
      <c r="E16" s="1631">
        <v>1000</v>
      </c>
      <c r="F16" s="1631">
        <v>10000</v>
      </c>
      <c r="G16" s="1631"/>
      <c r="H16" s="1631"/>
      <c r="I16" s="1631">
        <v>75</v>
      </c>
      <c r="J16" s="1631"/>
      <c r="K16" s="1631"/>
      <c r="L16" s="1631"/>
      <c r="M16" s="1631"/>
      <c r="N16" s="1631"/>
      <c r="O16" s="1631"/>
      <c r="P16" s="1631"/>
      <c r="Q16" s="1920"/>
      <c r="R16" s="1920"/>
      <c r="S16" s="1631"/>
      <c r="T16" s="1912" t="s">
        <v>55</v>
      </c>
      <c r="U16" s="1912"/>
      <c r="V16" s="1925">
        <f>Y12</f>
        <v>159860.94500000001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631"/>
      <c r="E17" s="1631"/>
      <c r="F17" s="1631"/>
      <c r="G17" s="1631"/>
      <c r="H17" s="1631"/>
      <c r="I17" s="1631"/>
      <c r="J17" s="1631"/>
      <c r="K17" s="1631"/>
      <c r="L17" s="1631"/>
      <c r="M17" s="1631"/>
      <c r="N17" s="1631"/>
      <c r="O17" s="1631"/>
      <c r="P17" s="1631"/>
      <c r="Q17" s="1883"/>
      <c r="R17" s="1883"/>
      <c r="S17" s="1628"/>
      <c r="T17" s="1952" t="s">
        <v>463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150802</v>
      </c>
      <c r="C18" s="1919"/>
      <c r="D18" s="1632">
        <f>E12</f>
        <v>0</v>
      </c>
      <c r="E18" s="1632">
        <f>G12</f>
        <v>0</v>
      </c>
      <c r="F18" s="1632">
        <f>I12</f>
        <v>660</v>
      </c>
      <c r="G18" s="1632">
        <f>K12</f>
        <v>0</v>
      </c>
      <c r="H18" s="1631"/>
      <c r="I18" s="1632">
        <f>U12</f>
        <v>3</v>
      </c>
      <c r="J18" s="1631"/>
      <c r="K18" s="1632">
        <f>W12</f>
        <v>0</v>
      </c>
      <c r="L18" s="1631"/>
      <c r="M18" s="1632">
        <f>M12</f>
        <v>0</v>
      </c>
      <c r="N18" s="1632">
        <f>O12</f>
        <v>0</v>
      </c>
      <c r="O18" s="1633">
        <f>Q12</f>
        <v>0</v>
      </c>
      <c r="P18" s="1632"/>
      <c r="Q18" s="1920"/>
      <c r="R18" s="1920"/>
      <c r="S18" s="1626"/>
      <c r="T18" s="1912" t="s">
        <v>57</v>
      </c>
      <c r="U18" s="1912"/>
      <c r="V18" s="1920">
        <v>910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402510</v>
      </c>
      <c r="C19" s="1919"/>
      <c r="D19" s="1631">
        <f>D15+D16+D17-D18</f>
        <v>0</v>
      </c>
      <c r="E19" s="1631">
        <f t="shared" ref="E19:N19" si="13">E15+E16+E17-E18</f>
        <v>1000</v>
      </c>
      <c r="F19" s="1631">
        <f t="shared" si="13"/>
        <v>18000</v>
      </c>
      <c r="G19" s="1631">
        <f t="shared" si="13"/>
        <v>0</v>
      </c>
      <c r="H19" s="1631">
        <f t="shared" si="13"/>
        <v>72</v>
      </c>
      <c r="I19" s="1631">
        <f t="shared" si="13"/>
        <v>75</v>
      </c>
      <c r="J19" s="1631">
        <f t="shared" si="13"/>
        <v>4</v>
      </c>
      <c r="K19" s="1631">
        <f t="shared" si="13"/>
        <v>69</v>
      </c>
      <c r="L19" s="1631">
        <f t="shared" si="13"/>
        <v>0</v>
      </c>
      <c r="M19" s="1631">
        <f t="shared" si="13"/>
        <v>0</v>
      </c>
      <c r="N19" s="1631">
        <f t="shared" si="13"/>
        <v>0</v>
      </c>
      <c r="O19" s="1631">
        <f>O15+O16+O17-O18</f>
        <v>0</v>
      </c>
      <c r="P19" s="1631">
        <f t="shared" ref="P19:Q19" si="14">P15+P16+P17-P18</f>
        <v>100</v>
      </c>
      <c r="Q19" s="1918">
        <f t="shared" si="14"/>
        <v>10</v>
      </c>
      <c r="R19" s="1919"/>
      <c r="S19" s="1626">
        <f>S15+S16-S17-S18</f>
        <v>2</v>
      </c>
      <c r="T19" s="1914" t="s">
        <v>48</v>
      </c>
      <c r="U19" s="49" t="s">
        <v>58</v>
      </c>
      <c r="V19" s="1920">
        <v>185000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387415.875</v>
      </c>
      <c r="C20" s="1945"/>
      <c r="D20" s="290">
        <f>D19*66.41</f>
        <v>0</v>
      </c>
      <c r="E20" s="290">
        <f>27.9368*E19</f>
        <v>27936.800000000003</v>
      </c>
      <c r="F20" s="290">
        <f>18.31*F19</f>
        <v>329580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>
        <v>70000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804575.67500000005</v>
      </c>
      <c r="C21" s="1951"/>
      <c r="O21" s="1635"/>
      <c r="P21" s="1635"/>
      <c r="Q21" s="1635"/>
      <c r="R21" s="1635"/>
      <c r="T21" s="1952" t="s">
        <v>515</v>
      </c>
      <c r="U21" s="1953"/>
      <c r="V21" s="1955">
        <v>70000</v>
      </c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185000</v>
      </c>
      <c r="D22" s="1949">
        <v>185000</v>
      </c>
      <c r="E22" s="1949">
        <v>400000</v>
      </c>
      <c r="F22" s="1949">
        <f>C22-D22+E22</f>
        <v>400000</v>
      </c>
      <c r="G22" s="1635"/>
      <c r="Q22" s="1635"/>
      <c r="R22" s="1635"/>
      <c r="T22" s="1909" t="s">
        <v>83</v>
      </c>
      <c r="U22" s="50" t="s">
        <v>60</v>
      </c>
      <c r="V22" s="1920">
        <v>91980</v>
      </c>
      <c r="W22" s="1920"/>
      <c r="X22" s="1920"/>
      <c r="Y22" s="1927"/>
    </row>
    <row r="23" spans="1:25" ht="39.75" customHeight="1" x14ac:dyDescent="0.25">
      <c r="A23" s="1635"/>
      <c r="B23" s="1947"/>
      <c r="C23" s="1950"/>
      <c r="D23" s="1950"/>
      <c r="E23" s="1950"/>
      <c r="F23" s="1950"/>
      <c r="G23" s="1635"/>
      <c r="Q23" s="1635"/>
      <c r="R23" s="1635"/>
      <c r="T23" s="1910"/>
      <c r="U23" s="50" t="s">
        <v>61</v>
      </c>
      <c r="V23" s="1920">
        <v>255000</v>
      </c>
      <c r="W23" s="1920"/>
      <c r="X23" s="1920"/>
      <c r="Y23" s="1927"/>
    </row>
    <row r="24" spans="1:25" ht="48" customHeight="1" x14ac:dyDescent="0.25">
      <c r="A24" s="1635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635"/>
      <c r="Q24" s="1635"/>
      <c r="R24" s="1635"/>
      <c r="T24" s="1893" t="s">
        <v>47</v>
      </c>
      <c r="U24" s="51" t="s">
        <v>62</v>
      </c>
      <c r="V24" s="1921">
        <f>V14+V16+V17-V18-V19-V20-V22+V23-V21</f>
        <v>32553.945000000007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12212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635"/>
      <c r="J33" s="1635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E6810-AA93-478F-B68C-3C861F7FFF8B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641"/>
      <c r="B3" s="1641"/>
      <c r="C3" s="1641"/>
      <c r="D3" s="1641"/>
      <c r="E3" s="1641"/>
      <c r="F3" s="1641"/>
      <c r="G3" s="1641"/>
      <c r="H3" s="1641"/>
      <c r="I3" s="1641"/>
      <c r="J3" s="1641"/>
      <c r="K3" s="1641"/>
      <c r="L3" s="1641"/>
      <c r="M3" s="1641"/>
      <c r="N3" s="1641"/>
      <c r="O3" s="1641"/>
      <c r="P3" s="1641"/>
      <c r="Q3" s="1641"/>
      <c r="R3" s="1641"/>
      <c r="S3" s="1641"/>
      <c r="T3" s="1900" t="s">
        <v>516</v>
      </c>
      <c r="U3" s="1900"/>
      <c r="V3" s="1900"/>
      <c r="W3" s="1900"/>
      <c r="X3" s="1900"/>
      <c r="Y3" s="1900"/>
    </row>
    <row r="4" spans="1:25" s="1641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641" customFormat="1" ht="25.5" customHeight="1" x14ac:dyDescent="0.25">
      <c r="A5" s="1901"/>
      <c r="B5" s="1901"/>
      <c r="C5" s="1640" t="s">
        <v>42</v>
      </c>
      <c r="D5" s="1640" t="s">
        <v>43</v>
      </c>
      <c r="E5" s="1640" t="s">
        <v>42</v>
      </c>
      <c r="F5" s="1640" t="s">
        <v>43</v>
      </c>
      <c r="G5" s="1640" t="s">
        <v>42</v>
      </c>
      <c r="H5" s="1640" t="s">
        <v>43</v>
      </c>
      <c r="I5" s="1640" t="s">
        <v>42</v>
      </c>
      <c r="J5" s="1640" t="s">
        <v>43</v>
      </c>
      <c r="K5" s="1640" t="s">
        <v>42</v>
      </c>
      <c r="L5" s="1640" t="s">
        <v>43</v>
      </c>
      <c r="M5" s="1640" t="s">
        <v>42</v>
      </c>
      <c r="N5" s="1640" t="s">
        <v>43</v>
      </c>
      <c r="O5" s="1640" t="s">
        <v>42</v>
      </c>
      <c r="P5" s="1640" t="s">
        <v>43</v>
      </c>
      <c r="Q5" s="1640" t="s">
        <v>42</v>
      </c>
      <c r="R5" s="16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639" t="s">
        <v>71</v>
      </c>
      <c r="C6" s="1637">
        <v>24386</v>
      </c>
      <c r="D6" s="1636">
        <f t="shared" ref="D6:D11" si="0">0.9725*C6</f>
        <v>23715.385000000002</v>
      </c>
      <c r="E6" s="1637"/>
      <c r="F6" s="1636">
        <f>67.1*E6</f>
        <v>0</v>
      </c>
      <c r="G6" s="1637"/>
      <c r="H6" s="1637">
        <f>28.2*G6</f>
        <v>0</v>
      </c>
      <c r="I6" s="1637">
        <v>480</v>
      </c>
      <c r="J6" s="1637">
        <f>18.5*I6</f>
        <v>8880</v>
      </c>
      <c r="K6" s="1637"/>
      <c r="L6" s="1636">
        <f>28.2368*K6</f>
        <v>0</v>
      </c>
      <c r="M6" s="1637"/>
      <c r="N6" s="1636">
        <f>M6*47.6525</f>
        <v>0</v>
      </c>
      <c r="O6" s="1637"/>
      <c r="P6" s="1636">
        <f>O6*8.9</f>
        <v>0</v>
      </c>
      <c r="Q6" s="1636"/>
      <c r="R6" s="1636">
        <f>241*Q6</f>
        <v>0</v>
      </c>
      <c r="S6" s="1637"/>
      <c r="T6" s="1637">
        <f>241*S6</f>
        <v>0</v>
      </c>
      <c r="U6" s="1637"/>
      <c r="V6" s="1637">
        <f>332*U6</f>
        <v>0</v>
      </c>
      <c r="W6" s="1637"/>
      <c r="X6" s="19">
        <f>W6*100</f>
        <v>0</v>
      </c>
      <c r="Y6" s="20">
        <f t="shared" ref="Y6:Y12" si="1">D6+F6+H6+J6+L6+N6+P6+R6+T6+V6+X6</f>
        <v>32595.385000000002</v>
      </c>
    </row>
    <row r="7" spans="1:25" ht="31.5" customHeight="1" x14ac:dyDescent="0.25">
      <c r="A7" s="12">
        <v>1984225578</v>
      </c>
      <c r="B7" s="1639" t="s">
        <v>509</v>
      </c>
      <c r="C7" s="1637">
        <v>32314</v>
      </c>
      <c r="D7" s="1636">
        <f t="shared" si="0"/>
        <v>31425.365000000002</v>
      </c>
      <c r="E7" s="1637"/>
      <c r="F7" s="1637">
        <f t="shared" ref="F7:F11" si="2">67.1*E7</f>
        <v>0</v>
      </c>
      <c r="G7" s="1637"/>
      <c r="H7" s="1637">
        <f t="shared" ref="H7:H11" si="3">28.2*G7</f>
        <v>0</v>
      </c>
      <c r="I7" s="1637">
        <v>490</v>
      </c>
      <c r="J7" s="1637">
        <f t="shared" ref="J7:J11" si="4">18.5*I7</f>
        <v>9065</v>
      </c>
      <c r="K7" s="1637"/>
      <c r="L7" s="1636">
        <f t="shared" ref="L7:L11" si="5">28.2368*K7</f>
        <v>0</v>
      </c>
      <c r="M7" s="1637"/>
      <c r="N7" s="1636">
        <f t="shared" ref="N7:N11" si="6">M7*47.6525</f>
        <v>0</v>
      </c>
      <c r="O7" s="1637"/>
      <c r="P7" s="1636">
        <f t="shared" ref="P7:P11" si="7">O7*8.9</f>
        <v>0</v>
      </c>
      <c r="Q7" s="1636"/>
      <c r="R7" s="1636">
        <f t="shared" ref="R7:R11" si="8">241*Q7</f>
        <v>0</v>
      </c>
      <c r="S7" s="1637"/>
      <c r="T7" s="1637">
        <f t="shared" ref="T7:T10" si="9">241*S7</f>
        <v>0</v>
      </c>
      <c r="U7" s="1637"/>
      <c r="V7" s="1637">
        <f t="shared" ref="V7:V11" si="10">332*U7</f>
        <v>0</v>
      </c>
      <c r="W7" s="1637"/>
      <c r="X7" s="19">
        <f t="shared" ref="X7:X11" si="11">W7*100</f>
        <v>0</v>
      </c>
      <c r="Y7" s="20">
        <f t="shared" si="1"/>
        <v>40490.365000000005</v>
      </c>
    </row>
    <row r="8" spans="1:25" ht="35.25" customHeight="1" x14ac:dyDescent="0.25">
      <c r="A8" s="12">
        <v>1967020280</v>
      </c>
      <c r="B8" s="1639" t="s">
        <v>427</v>
      </c>
      <c r="C8" s="1637">
        <v>17691</v>
      </c>
      <c r="D8" s="1636">
        <f t="shared" si="0"/>
        <v>17204.497500000001</v>
      </c>
      <c r="E8" s="1637"/>
      <c r="F8" s="1637">
        <f t="shared" si="2"/>
        <v>0</v>
      </c>
      <c r="G8" s="1637"/>
      <c r="H8" s="1636">
        <f t="shared" si="3"/>
        <v>0</v>
      </c>
      <c r="I8" s="1637">
        <v>500</v>
      </c>
      <c r="J8" s="1637">
        <f t="shared" si="4"/>
        <v>9250</v>
      </c>
      <c r="K8" s="1637"/>
      <c r="L8" s="1636">
        <f t="shared" si="5"/>
        <v>0</v>
      </c>
      <c r="M8" s="1637"/>
      <c r="N8" s="1636">
        <f t="shared" si="6"/>
        <v>0</v>
      </c>
      <c r="O8" s="1637"/>
      <c r="P8" s="1636">
        <f t="shared" si="7"/>
        <v>0</v>
      </c>
      <c r="Q8" s="1636"/>
      <c r="R8" s="1636">
        <f t="shared" si="8"/>
        <v>0</v>
      </c>
      <c r="S8" s="1637"/>
      <c r="T8" s="1637">
        <f t="shared" si="9"/>
        <v>0</v>
      </c>
      <c r="U8" s="1637"/>
      <c r="V8" s="1637">
        <f t="shared" si="10"/>
        <v>0</v>
      </c>
      <c r="W8" s="1637"/>
      <c r="X8" s="19">
        <f t="shared" si="11"/>
        <v>0</v>
      </c>
      <c r="Y8" s="20">
        <f t="shared" si="1"/>
        <v>26454.497500000001</v>
      </c>
    </row>
    <row r="9" spans="1:25" ht="38.25" customHeight="1" x14ac:dyDescent="0.25">
      <c r="A9" s="12">
        <v>1984225580</v>
      </c>
      <c r="B9" s="1639" t="s">
        <v>75</v>
      </c>
      <c r="C9" s="1637">
        <v>16847</v>
      </c>
      <c r="D9" s="1636">
        <f t="shared" si="0"/>
        <v>16383.7075</v>
      </c>
      <c r="E9" s="1637"/>
      <c r="F9" s="1637">
        <f t="shared" si="2"/>
        <v>0</v>
      </c>
      <c r="G9" s="1637"/>
      <c r="H9" s="1637">
        <f t="shared" si="3"/>
        <v>0</v>
      </c>
      <c r="I9" s="1637">
        <v>1210</v>
      </c>
      <c r="J9" s="1637">
        <f t="shared" si="4"/>
        <v>22385</v>
      </c>
      <c r="K9" s="1637"/>
      <c r="L9" s="1636">
        <f t="shared" si="5"/>
        <v>0</v>
      </c>
      <c r="M9" s="1637"/>
      <c r="N9" s="1636">
        <f t="shared" si="6"/>
        <v>0</v>
      </c>
      <c r="O9" s="1637"/>
      <c r="P9" s="1636">
        <f t="shared" si="7"/>
        <v>0</v>
      </c>
      <c r="Q9" s="1636"/>
      <c r="R9" s="1636">
        <f t="shared" si="8"/>
        <v>0</v>
      </c>
      <c r="S9" s="1637"/>
      <c r="T9" s="1637">
        <f t="shared" si="9"/>
        <v>0</v>
      </c>
      <c r="U9" s="1637"/>
      <c r="V9" s="1637">
        <f t="shared" si="10"/>
        <v>0</v>
      </c>
      <c r="W9" s="1637"/>
      <c r="X9" s="19">
        <f t="shared" si="11"/>
        <v>0</v>
      </c>
      <c r="Y9" s="20">
        <f t="shared" si="1"/>
        <v>38768.707500000004</v>
      </c>
    </row>
    <row r="10" spans="1:25" ht="35.25" customHeight="1" x14ac:dyDescent="0.25">
      <c r="A10" s="12">
        <v>1409935199</v>
      </c>
      <c r="C10" s="1637"/>
      <c r="D10" s="1636">
        <f t="shared" si="0"/>
        <v>0</v>
      </c>
      <c r="E10" s="1637"/>
      <c r="F10" s="1637">
        <f t="shared" si="2"/>
        <v>0</v>
      </c>
      <c r="G10" s="1637"/>
      <c r="H10" s="1637">
        <f t="shared" si="3"/>
        <v>0</v>
      </c>
      <c r="I10" s="1637"/>
      <c r="J10" s="1637">
        <f t="shared" si="4"/>
        <v>0</v>
      </c>
      <c r="K10" s="1637"/>
      <c r="L10" s="1636">
        <f t="shared" si="5"/>
        <v>0</v>
      </c>
      <c r="M10" s="1637"/>
      <c r="N10" s="1636">
        <f t="shared" si="6"/>
        <v>0</v>
      </c>
      <c r="O10" s="1637"/>
      <c r="P10" s="1636">
        <f t="shared" si="7"/>
        <v>0</v>
      </c>
      <c r="Q10" s="1636"/>
      <c r="R10" s="1636">
        <f t="shared" si="8"/>
        <v>0</v>
      </c>
      <c r="S10" s="1637"/>
      <c r="T10" s="1637">
        <f t="shared" si="9"/>
        <v>0</v>
      </c>
      <c r="U10" s="1637"/>
      <c r="V10" s="1637">
        <f t="shared" si="10"/>
        <v>0</v>
      </c>
      <c r="W10" s="163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38"/>
      <c r="C11" s="1637"/>
      <c r="D11" s="1636">
        <f t="shared" si="0"/>
        <v>0</v>
      </c>
      <c r="E11" s="1637"/>
      <c r="F11" s="1637">
        <f t="shared" si="2"/>
        <v>0</v>
      </c>
      <c r="G11" s="1637"/>
      <c r="H11" s="1637">
        <f t="shared" si="3"/>
        <v>0</v>
      </c>
      <c r="I11" s="1637"/>
      <c r="J11" s="1637">
        <f t="shared" si="4"/>
        <v>0</v>
      </c>
      <c r="K11" s="1637"/>
      <c r="L11" s="1636">
        <f t="shared" si="5"/>
        <v>0</v>
      </c>
      <c r="M11" s="1637"/>
      <c r="N11" s="1636">
        <f t="shared" si="6"/>
        <v>0</v>
      </c>
      <c r="O11" s="1637"/>
      <c r="P11" s="1636">
        <f t="shared" si="7"/>
        <v>0</v>
      </c>
      <c r="Q11" s="1636"/>
      <c r="R11" s="1636">
        <f t="shared" si="8"/>
        <v>0</v>
      </c>
      <c r="S11" s="1637"/>
      <c r="T11" s="1637">
        <f>341*S11</f>
        <v>0</v>
      </c>
      <c r="U11" s="1637"/>
      <c r="V11" s="1637">
        <f t="shared" si="10"/>
        <v>0</v>
      </c>
      <c r="W11" s="163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91238</v>
      </c>
      <c r="D12" s="18">
        <f t="shared" si="12"/>
        <v>88728.955000000002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2680</v>
      </c>
      <c r="J12" s="18">
        <f t="shared" si="12"/>
        <v>49580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138308.95500000002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45" t="s">
        <v>174</v>
      </c>
      <c r="K14" s="30" t="s">
        <v>36</v>
      </c>
      <c r="L14" s="1645" t="s">
        <v>403</v>
      </c>
      <c r="M14" s="30" t="s">
        <v>429</v>
      </c>
      <c r="N14" s="30" t="s">
        <v>442</v>
      </c>
      <c r="O14" s="1645" t="s">
        <v>114</v>
      </c>
      <c r="P14" s="30" t="s">
        <v>70</v>
      </c>
      <c r="Q14" s="1958" t="s">
        <v>479</v>
      </c>
      <c r="R14" s="1959"/>
      <c r="S14" s="1645" t="s">
        <v>401</v>
      </c>
      <c r="T14" s="1893" t="s">
        <v>46</v>
      </c>
      <c r="U14" s="1639" t="s">
        <v>176</v>
      </c>
      <c r="V14" s="1918">
        <v>32554</v>
      </c>
      <c r="W14" s="1926"/>
      <c r="X14" s="1919"/>
    </row>
    <row r="15" spans="1:25" ht="22.5" customHeight="1" x14ac:dyDescent="0.25">
      <c r="A15" s="100" t="s">
        <v>38</v>
      </c>
      <c r="B15" s="1918">
        <v>402510</v>
      </c>
      <c r="C15" s="1919"/>
      <c r="D15" s="1642">
        <v>0</v>
      </c>
      <c r="E15" s="1642">
        <v>1000</v>
      </c>
      <c r="F15" s="1642">
        <v>18000</v>
      </c>
      <c r="G15" s="1642">
        <v>0</v>
      </c>
      <c r="H15" s="1642">
        <v>72</v>
      </c>
      <c r="I15" s="1642">
        <v>75</v>
      </c>
      <c r="J15" s="1642">
        <v>4</v>
      </c>
      <c r="K15" s="1642">
        <v>69</v>
      </c>
      <c r="L15" s="1642">
        <v>0</v>
      </c>
      <c r="M15" s="1642">
        <v>0</v>
      </c>
      <c r="N15" s="1642">
        <v>0</v>
      </c>
      <c r="O15" s="1642">
        <v>0</v>
      </c>
      <c r="P15" s="1642">
        <v>100</v>
      </c>
      <c r="Q15" s="1918">
        <v>10</v>
      </c>
      <c r="R15" s="1919"/>
      <c r="S15" s="1639">
        <v>2</v>
      </c>
      <c r="T15" s="1893"/>
      <c r="U15" s="1639" t="s">
        <v>64</v>
      </c>
      <c r="V15" s="1920">
        <v>12212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642"/>
      <c r="E16" s="1642"/>
      <c r="F16" s="1642"/>
      <c r="G16" s="1642"/>
      <c r="H16" s="1642"/>
      <c r="I16" s="1642"/>
      <c r="J16" s="1642"/>
      <c r="K16" s="1642"/>
      <c r="L16" s="1642"/>
      <c r="M16" s="1642"/>
      <c r="N16" s="1642"/>
      <c r="O16" s="1642"/>
      <c r="P16" s="1642"/>
      <c r="Q16" s="1920"/>
      <c r="R16" s="1920"/>
      <c r="S16" s="1642"/>
      <c r="T16" s="1912" t="s">
        <v>55</v>
      </c>
      <c r="U16" s="1912"/>
      <c r="V16" s="1925">
        <f>Y12</f>
        <v>138308.95500000002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642"/>
      <c r="E17" s="1642"/>
      <c r="F17" s="1642"/>
      <c r="G17" s="1642"/>
      <c r="H17" s="1642"/>
      <c r="I17" s="1642"/>
      <c r="J17" s="1642"/>
      <c r="K17" s="1642"/>
      <c r="L17" s="1642"/>
      <c r="M17" s="1642"/>
      <c r="N17" s="1642"/>
      <c r="O17" s="1642"/>
      <c r="P17" s="1642"/>
      <c r="Q17" s="1883"/>
      <c r="R17" s="1883"/>
      <c r="S17" s="1638"/>
      <c r="T17" s="1952" t="s">
        <v>463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91238</v>
      </c>
      <c r="C18" s="1919"/>
      <c r="D18" s="1644">
        <f>E12</f>
        <v>0</v>
      </c>
      <c r="E18" s="1644">
        <f>G12</f>
        <v>0</v>
      </c>
      <c r="F18" s="1644">
        <f>I12</f>
        <v>2680</v>
      </c>
      <c r="G18" s="1644">
        <f>K12</f>
        <v>0</v>
      </c>
      <c r="H18" s="1642"/>
      <c r="I18" s="1644">
        <f>U12</f>
        <v>0</v>
      </c>
      <c r="J18" s="1642"/>
      <c r="K18" s="1644">
        <f>W12</f>
        <v>0</v>
      </c>
      <c r="L18" s="1642"/>
      <c r="M18" s="1644">
        <f>M12</f>
        <v>0</v>
      </c>
      <c r="N18" s="1644">
        <f>O12</f>
        <v>0</v>
      </c>
      <c r="O18" s="1643">
        <f>Q12</f>
        <v>0</v>
      </c>
      <c r="P18" s="1644"/>
      <c r="Q18" s="1920"/>
      <c r="R18" s="1920"/>
      <c r="S18" s="1639"/>
      <c r="T18" s="1912" t="s">
        <v>57</v>
      </c>
      <c r="U18" s="1912"/>
      <c r="V18" s="1920">
        <v>620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311272</v>
      </c>
      <c r="C19" s="1919"/>
      <c r="D19" s="1642">
        <f>D15+D16+D17-D18</f>
        <v>0</v>
      </c>
      <c r="E19" s="1642">
        <f t="shared" ref="E19:N19" si="13">E15+E16+E17-E18</f>
        <v>1000</v>
      </c>
      <c r="F19" s="1642">
        <f t="shared" si="13"/>
        <v>15320</v>
      </c>
      <c r="G19" s="1642">
        <f t="shared" si="13"/>
        <v>0</v>
      </c>
      <c r="H19" s="1642">
        <f t="shared" si="13"/>
        <v>72</v>
      </c>
      <c r="I19" s="1642">
        <f t="shared" si="13"/>
        <v>75</v>
      </c>
      <c r="J19" s="1642">
        <f t="shared" si="13"/>
        <v>4</v>
      </c>
      <c r="K19" s="1642">
        <f t="shared" si="13"/>
        <v>69</v>
      </c>
      <c r="L19" s="1642">
        <f t="shared" si="13"/>
        <v>0</v>
      </c>
      <c r="M19" s="1642">
        <f t="shared" si="13"/>
        <v>0</v>
      </c>
      <c r="N19" s="1642">
        <f t="shared" si="13"/>
        <v>0</v>
      </c>
      <c r="O19" s="1642">
        <f>O15+O16+O17-O18</f>
        <v>0</v>
      </c>
      <c r="P19" s="1642">
        <f t="shared" ref="P19:Q19" si="14">P15+P16+P17-P18</f>
        <v>100</v>
      </c>
      <c r="Q19" s="1918">
        <f t="shared" si="14"/>
        <v>10</v>
      </c>
      <c r="R19" s="1919"/>
      <c r="S19" s="1639">
        <f>S15+S16-S17-S18</f>
        <v>2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299599.3</v>
      </c>
      <c r="C20" s="1945"/>
      <c r="D20" s="290">
        <f>D19*66.41</f>
        <v>0</v>
      </c>
      <c r="E20" s="290">
        <f>27.9368*E19</f>
        <v>27936.800000000003</v>
      </c>
      <c r="F20" s="290">
        <f>18.31*F19</f>
        <v>280509.19999999995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667688.29999999993</v>
      </c>
      <c r="C21" s="1951"/>
      <c r="O21" s="1646"/>
      <c r="P21" s="1646"/>
      <c r="Q21" s="1646"/>
      <c r="R21" s="1646"/>
      <c r="T21" s="1952" t="s">
        <v>515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/>
      <c r="E22" s="1949"/>
      <c r="F22" s="1949">
        <f>C22-D22+E22</f>
        <v>400000</v>
      </c>
      <c r="G22" s="1646"/>
      <c r="Q22" s="1646"/>
      <c r="R22" s="1646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1646"/>
      <c r="B23" s="1947"/>
      <c r="C23" s="1950"/>
      <c r="D23" s="1950"/>
      <c r="E23" s="1950"/>
      <c r="F23" s="1950"/>
      <c r="G23" s="1646"/>
      <c r="Q23" s="1646"/>
      <c r="R23" s="1646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1646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646"/>
      <c r="Q24" s="1646"/>
      <c r="R24" s="1646"/>
      <c r="T24" s="1893" t="s">
        <v>47</v>
      </c>
      <c r="U24" s="51" t="s">
        <v>62</v>
      </c>
      <c r="V24" s="1921">
        <f>V14+V16+V17-V18-V19-V20-V22+V23-V21</f>
        <v>170242.95500000002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12212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646"/>
      <c r="J33" s="1646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9935C-9F12-451E-AD4B-A62F08AFAD47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1900" t="s">
        <v>517</v>
      </c>
      <c r="U3" s="1900"/>
      <c r="V3" s="1900"/>
      <c r="W3" s="1900"/>
      <c r="X3" s="1900"/>
      <c r="Y3" s="1900"/>
    </row>
    <row r="4" spans="1:25" s="165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652" customFormat="1" ht="25.5" customHeight="1" x14ac:dyDescent="0.25">
      <c r="A5" s="1901"/>
      <c r="B5" s="1901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650" t="s">
        <v>71</v>
      </c>
      <c r="C6" s="1648">
        <v>19923</v>
      </c>
      <c r="D6" s="1647">
        <f t="shared" ref="D6:D11" si="0">0.9725*C6</f>
        <v>19375.1175</v>
      </c>
      <c r="E6" s="1648"/>
      <c r="F6" s="1647">
        <f>67.1*E6</f>
        <v>0</v>
      </c>
      <c r="G6" s="1648"/>
      <c r="H6" s="1648">
        <f>28.2*G6</f>
        <v>0</v>
      </c>
      <c r="I6" s="1648">
        <v>280</v>
      </c>
      <c r="J6" s="1648">
        <f>18.5*I6</f>
        <v>5180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27875.1175</v>
      </c>
    </row>
    <row r="7" spans="1:25" ht="31.5" customHeight="1" x14ac:dyDescent="0.25">
      <c r="A7" s="12">
        <v>1984225578</v>
      </c>
      <c r="B7" s="1650" t="s">
        <v>509</v>
      </c>
      <c r="C7" s="1648">
        <v>24770</v>
      </c>
      <c r="D7" s="1647">
        <f t="shared" si="0"/>
        <v>24088.825000000001</v>
      </c>
      <c r="E7" s="1648"/>
      <c r="F7" s="1648">
        <f t="shared" ref="F7:F11" si="2">67.1*E7</f>
        <v>0</v>
      </c>
      <c r="G7" s="1648">
        <v>250</v>
      </c>
      <c r="H7" s="1648">
        <f t="shared" ref="H7:H11" si="3">28.2*G7</f>
        <v>7050</v>
      </c>
      <c r="I7" s="1648">
        <v>1020</v>
      </c>
      <c r="J7" s="1648">
        <f t="shared" ref="J7:J11" si="4">18.5*I7</f>
        <v>18870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50008.824999999997</v>
      </c>
    </row>
    <row r="8" spans="1:25" ht="35.25" customHeight="1" x14ac:dyDescent="0.25">
      <c r="A8" s="12">
        <v>1967020280</v>
      </c>
      <c r="B8" s="1650" t="s">
        <v>427</v>
      </c>
      <c r="C8" s="1648">
        <v>23870</v>
      </c>
      <c r="D8" s="1647">
        <f t="shared" si="0"/>
        <v>23213.575000000001</v>
      </c>
      <c r="E8" s="1648"/>
      <c r="F8" s="1648">
        <f t="shared" si="2"/>
        <v>0</v>
      </c>
      <c r="G8" s="1648">
        <v>100</v>
      </c>
      <c r="H8" s="1647">
        <f t="shared" si="3"/>
        <v>2820</v>
      </c>
      <c r="I8" s="1648">
        <v>420</v>
      </c>
      <c r="J8" s="1648">
        <f t="shared" si="4"/>
        <v>7770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33803.574999999997</v>
      </c>
    </row>
    <row r="9" spans="1:25" ht="38.25" customHeight="1" x14ac:dyDescent="0.25">
      <c r="A9" s="12">
        <v>1984225580</v>
      </c>
      <c r="B9" s="1650" t="s">
        <v>75</v>
      </c>
      <c r="C9" s="1648">
        <v>35764</v>
      </c>
      <c r="D9" s="1647">
        <f t="shared" si="0"/>
        <v>34780.49</v>
      </c>
      <c r="E9" s="1648"/>
      <c r="F9" s="1648">
        <f t="shared" si="2"/>
        <v>0</v>
      </c>
      <c r="G9" s="1648"/>
      <c r="H9" s="1648">
        <f t="shared" si="3"/>
        <v>0</v>
      </c>
      <c r="I9" s="1648">
        <v>940</v>
      </c>
      <c r="J9" s="1648">
        <f t="shared" si="4"/>
        <v>17390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>
        <v>25</v>
      </c>
      <c r="V9" s="1648">
        <f t="shared" si="10"/>
        <v>8300</v>
      </c>
      <c r="W9" s="1648"/>
      <c r="X9" s="19">
        <f t="shared" si="11"/>
        <v>0</v>
      </c>
      <c r="Y9" s="20">
        <f t="shared" si="1"/>
        <v>60470.49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>
        <v>500</v>
      </c>
      <c r="H10" s="1648">
        <f t="shared" si="3"/>
        <v>14100</v>
      </c>
      <c r="I10" s="1648">
        <v>1000</v>
      </c>
      <c r="J10" s="1648">
        <f t="shared" si="4"/>
        <v>18500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32600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104327</v>
      </c>
      <c r="D12" s="18">
        <f t="shared" si="12"/>
        <v>101458.00750000001</v>
      </c>
      <c r="E12" s="18">
        <f t="shared" si="12"/>
        <v>0</v>
      </c>
      <c r="F12" s="18">
        <f t="shared" si="12"/>
        <v>0</v>
      </c>
      <c r="G12" s="18">
        <f t="shared" si="12"/>
        <v>850</v>
      </c>
      <c r="H12" s="18">
        <f t="shared" si="12"/>
        <v>23970</v>
      </c>
      <c r="I12" s="18">
        <f t="shared" si="12"/>
        <v>3660</v>
      </c>
      <c r="J12" s="18">
        <f t="shared" si="12"/>
        <v>67710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35</v>
      </c>
      <c r="V12" s="18">
        <f t="shared" si="12"/>
        <v>11620</v>
      </c>
      <c r="W12" s="18">
        <f t="shared" si="12"/>
        <v>0</v>
      </c>
      <c r="X12" s="18">
        <f t="shared" si="12"/>
        <v>0</v>
      </c>
      <c r="Y12" s="20">
        <f t="shared" si="1"/>
        <v>204758.00750000001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1958" t="s">
        <v>479</v>
      </c>
      <c r="R14" s="1959"/>
      <c r="S14" s="1656" t="s">
        <v>401</v>
      </c>
      <c r="T14" s="1893" t="s">
        <v>46</v>
      </c>
      <c r="U14" s="1650" t="s">
        <v>176</v>
      </c>
      <c r="V14" s="1918">
        <v>170243</v>
      </c>
      <c r="W14" s="1926"/>
      <c r="X14" s="1919"/>
    </row>
    <row r="15" spans="1:25" ht="22.5" customHeight="1" x14ac:dyDescent="0.25">
      <c r="A15" s="100" t="s">
        <v>38</v>
      </c>
      <c r="B15" s="1918">
        <v>311272</v>
      </c>
      <c r="C15" s="1919"/>
      <c r="D15" s="1653">
        <v>0</v>
      </c>
      <c r="E15" s="1653">
        <v>1000</v>
      </c>
      <c r="F15" s="1653">
        <v>15320</v>
      </c>
      <c r="G15" s="1653">
        <v>0</v>
      </c>
      <c r="H15" s="1653">
        <v>72</v>
      </c>
      <c r="I15" s="1653">
        <v>75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1918">
        <v>10</v>
      </c>
      <c r="R15" s="1919"/>
      <c r="S15" s="1650">
        <v>2</v>
      </c>
      <c r="T15" s="1893"/>
      <c r="U15" s="1650" t="s">
        <v>64</v>
      </c>
      <c r="V15" s="1920">
        <v>12212</v>
      </c>
      <c r="W15" s="1920"/>
      <c r="X15" s="1920"/>
    </row>
    <row r="16" spans="1:25" ht="24.75" customHeight="1" x14ac:dyDescent="0.25">
      <c r="A16" s="100" t="s">
        <v>39</v>
      </c>
      <c r="B16" s="1918">
        <v>103896</v>
      </c>
      <c r="C16" s="1919"/>
      <c r="D16" s="1653"/>
      <c r="E16" s="1653"/>
      <c r="F16" s="1653"/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1920"/>
      <c r="R16" s="1920"/>
      <c r="S16" s="1653"/>
      <c r="T16" s="1912" t="s">
        <v>55</v>
      </c>
      <c r="U16" s="1912"/>
      <c r="V16" s="1925">
        <f>Y12</f>
        <v>204758.00750000001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1883"/>
      <c r="R17" s="1883"/>
      <c r="S17" s="1649"/>
      <c r="T17" s="1952" t="s">
        <v>519</v>
      </c>
      <c r="U17" s="1953"/>
      <c r="V17" s="1954">
        <v>70000</v>
      </c>
      <c r="W17" s="1954"/>
      <c r="X17" s="1954"/>
    </row>
    <row r="18" spans="1:25" ht="27" customHeight="1" x14ac:dyDescent="0.25">
      <c r="A18" s="100" t="s">
        <v>40</v>
      </c>
      <c r="B18" s="1922">
        <f>C12</f>
        <v>104327</v>
      </c>
      <c r="C18" s="1919"/>
      <c r="D18" s="1655">
        <f>E12</f>
        <v>0</v>
      </c>
      <c r="E18" s="1655">
        <f>G12</f>
        <v>850</v>
      </c>
      <c r="F18" s="1655">
        <f>I12</f>
        <v>3660</v>
      </c>
      <c r="G18" s="1655">
        <f>K12</f>
        <v>0</v>
      </c>
      <c r="H18" s="1653"/>
      <c r="I18" s="1655">
        <f>U12</f>
        <v>35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1920"/>
      <c r="R18" s="1920"/>
      <c r="S18" s="1650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310841</v>
      </c>
      <c r="C19" s="1919"/>
      <c r="D19" s="1653">
        <f>D15+D16+D17-D18</f>
        <v>0</v>
      </c>
      <c r="E19" s="1653">
        <f t="shared" ref="E19:N19" si="13">E15+E16+E17-E18</f>
        <v>150</v>
      </c>
      <c r="F19" s="1653">
        <f t="shared" si="13"/>
        <v>11660</v>
      </c>
      <c r="G19" s="1653">
        <f t="shared" si="13"/>
        <v>0</v>
      </c>
      <c r="H19" s="1653">
        <f t="shared" si="13"/>
        <v>72</v>
      </c>
      <c r="I19" s="1653">
        <f t="shared" si="13"/>
        <v>40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1918">
        <f t="shared" si="14"/>
        <v>10</v>
      </c>
      <c r="R19" s="1919"/>
      <c r="S19" s="1650">
        <f>S15+S16-S17-S18</f>
        <v>2</v>
      </c>
      <c r="T19" s="1914" t="s">
        <v>48</v>
      </c>
      <c r="U19" s="49" t="s">
        <v>58</v>
      </c>
      <c r="V19" s="1920">
        <v>400000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299184.46250000002</v>
      </c>
      <c r="C20" s="1945"/>
      <c r="D20" s="290">
        <f>D19*66.41</f>
        <v>0</v>
      </c>
      <c r="E20" s="290">
        <f>27.9368*E19</f>
        <v>4190.5200000000004</v>
      </c>
      <c r="F20" s="290">
        <f>18.31*F19</f>
        <v>213494.59999999998</v>
      </c>
      <c r="G20" s="290">
        <f>27.9368*G19</f>
        <v>0</v>
      </c>
      <c r="H20" s="290">
        <f>241*H19</f>
        <v>17352</v>
      </c>
      <c r="I20" s="290">
        <f>323*I19</f>
        <v>12920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565207.58250000002</v>
      </c>
      <c r="C21" s="1951"/>
      <c r="O21" s="1657"/>
      <c r="P21" s="1657"/>
      <c r="Q21" s="1657"/>
      <c r="R21" s="1657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>
        <v>400000</v>
      </c>
      <c r="E22" s="1949">
        <v>100000</v>
      </c>
      <c r="F22" s="1949">
        <f>C22-D22+E22</f>
        <v>100000</v>
      </c>
      <c r="G22" s="1657"/>
      <c r="Q22" s="1657"/>
      <c r="R22" s="1657"/>
      <c r="T22" s="1909" t="s">
        <v>83</v>
      </c>
      <c r="U22" s="50" t="s">
        <v>60</v>
      </c>
      <c r="V22" s="1920">
        <v>422710</v>
      </c>
      <c r="W22" s="1920"/>
      <c r="X22" s="1920"/>
      <c r="Y22" s="1927"/>
    </row>
    <row r="23" spans="1:25" ht="39.75" customHeight="1" x14ac:dyDescent="0.25">
      <c r="A23" s="1657"/>
      <c r="B23" s="1947"/>
      <c r="C23" s="1950"/>
      <c r="D23" s="1950"/>
      <c r="E23" s="1950"/>
      <c r="F23" s="1950"/>
      <c r="G23" s="1657"/>
      <c r="Q23" s="1657"/>
      <c r="R23" s="1657"/>
      <c r="T23" s="1910"/>
      <c r="U23" s="50" t="s">
        <v>61</v>
      </c>
      <c r="V23" s="1920">
        <v>400000</v>
      </c>
      <c r="W23" s="1920"/>
      <c r="X23" s="1920"/>
      <c r="Y23" s="1927"/>
    </row>
    <row r="24" spans="1:25" ht="48" customHeight="1" x14ac:dyDescent="0.25">
      <c r="A24" s="1657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1893" t="s">
        <v>47</v>
      </c>
      <c r="U24" s="51" t="s">
        <v>62</v>
      </c>
      <c r="V24" s="1921">
        <f>V14+V16+V17-V18-V19-V20-V22+V23-V21</f>
        <v>21771.007500000007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34922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657"/>
      <c r="J33" s="1657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9D535-A6B1-4AC6-9991-3E6FF95BFF1C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1900" t="s">
        <v>520</v>
      </c>
      <c r="U3" s="1900"/>
      <c r="V3" s="1900"/>
      <c r="W3" s="1900"/>
      <c r="X3" s="1900"/>
      <c r="Y3" s="1900"/>
    </row>
    <row r="4" spans="1:25" s="165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652" customFormat="1" ht="25.5" customHeight="1" x14ac:dyDescent="0.25">
      <c r="A5" s="1901"/>
      <c r="B5" s="1901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650" t="s">
        <v>71</v>
      </c>
      <c r="C6" s="1648">
        <v>20168</v>
      </c>
      <c r="D6" s="1647">
        <f t="shared" ref="D6:D11" si="0">0.9725*C6</f>
        <v>19613.38</v>
      </c>
      <c r="E6" s="1648"/>
      <c r="F6" s="1647">
        <f>67.1*E6</f>
        <v>0</v>
      </c>
      <c r="G6" s="1648"/>
      <c r="H6" s="1648">
        <f>28.2*G6</f>
        <v>0</v>
      </c>
      <c r="I6" s="1648">
        <v>520</v>
      </c>
      <c r="J6" s="1648">
        <f>18.5*I6</f>
        <v>9620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32553.38</v>
      </c>
    </row>
    <row r="7" spans="1:25" ht="31.5" customHeight="1" x14ac:dyDescent="0.25">
      <c r="A7" s="12">
        <v>1984225578</v>
      </c>
      <c r="B7" s="1650" t="s">
        <v>509</v>
      </c>
      <c r="C7" s="1648">
        <v>21093</v>
      </c>
      <c r="D7" s="1647">
        <f t="shared" si="0"/>
        <v>20512.942500000001</v>
      </c>
      <c r="E7" s="1648"/>
      <c r="F7" s="1648">
        <f t="shared" ref="F7:F11" si="2">67.1*E7</f>
        <v>0</v>
      </c>
      <c r="G7" s="1648">
        <v>50</v>
      </c>
      <c r="H7" s="1648">
        <f t="shared" ref="H7:H11" si="3">28.2*G7</f>
        <v>1410</v>
      </c>
      <c r="I7" s="1648">
        <v>180</v>
      </c>
      <c r="J7" s="1648">
        <f t="shared" ref="J7:J11" si="4">18.5*I7</f>
        <v>3330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25252.942500000001</v>
      </c>
    </row>
    <row r="8" spans="1:25" ht="35.25" customHeight="1" x14ac:dyDescent="0.25">
      <c r="A8" s="12">
        <v>1967020280</v>
      </c>
      <c r="B8" s="1650" t="s">
        <v>427</v>
      </c>
      <c r="C8" s="1648">
        <v>13196</v>
      </c>
      <c r="D8" s="1647">
        <f t="shared" si="0"/>
        <v>12833.11</v>
      </c>
      <c r="E8" s="1648"/>
      <c r="F8" s="1648">
        <f t="shared" si="2"/>
        <v>0</v>
      </c>
      <c r="G8" s="1648">
        <v>60</v>
      </c>
      <c r="H8" s="1647">
        <f t="shared" si="3"/>
        <v>1692</v>
      </c>
      <c r="I8" s="1648">
        <v>500</v>
      </c>
      <c r="J8" s="1648">
        <f t="shared" si="4"/>
        <v>9250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23775.11</v>
      </c>
    </row>
    <row r="9" spans="1:25" ht="38.25" customHeight="1" x14ac:dyDescent="0.25">
      <c r="A9" s="12">
        <v>1984225580</v>
      </c>
      <c r="B9" s="1650" t="s">
        <v>75</v>
      </c>
      <c r="C9" s="1648">
        <v>29290</v>
      </c>
      <c r="D9" s="1647">
        <f t="shared" si="0"/>
        <v>28484.525000000001</v>
      </c>
      <c r="E9" s="1648"/>
      <c r="F9" s="1648">
        <f t="shared" si="2"/>
        <v>0</v>
      </c>
      <c r="G9" s="1648"/>
      <c r="H9" s="1648">
        <f t="shared" si="3"/>
        <v>0</v>
      </c>
      <c r="I9" s="1648">
        <v>270</v>
      </c>
      <c r="J9" s="1648">
        <f t="shared" si="4"/>
        <v>4995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/>
      <c r="V9" s="1648">
        <f t="shared" si="10"/>
        <v>0</v>
      </c>
      <c r="W9" s="1648"/>
      <c r="X9" s="19">
        <f t="shared" si="11"/>
        <v>0</v>
      </c>
      <c r="Y9" s="20">
        <f t="shared" si="1"/>
        <v>33479.525000000001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/>
      <c r="H10" s="1648">
        <f t="shared" si="3"/>
        <v>0</v>
      </c>
      <c r="I10" s="1648">
        <v>3000</v>
      </c>
      <c r="J10" s="1648">
        <f t="shared" si="4"/>
        <v>55500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55500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83747</v>
      </c>
      <c r="D12" s="18">
        <f t="shared" si="12"/>
        <v>81443.957500000004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170560.95750000002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1958" t="s">
        <v>479</v>
      </c>
      <c r="R14" s="1959"/>
      <c r="S14" s="1656" t="s">
        <v>401</v>
      </c>
      <c r="T14" s="1893" t="s">
        <v>46</v>
      </c>
      <c r="U14" s="1650" t="s">
        <v>176</v>
      </c>
      <c r="V14" s="1918">
        <v>21771</v>
      </c>
      <c r="W14" s="1926"/>
      <c r="X14" s="1919"/>
    </row>
    <row r="15" spans="1:25" ht="22.5" customHeight="1" x14ac:dyDescent="0.25">
      <c r="A15" s="100" t="s">
        <v>38</v>
      </c>
      <c r="B15" s="1918">
        <v>310841</v>
      </c>
      <c r="C15" s="1919"/>
      <c r="D15" s="1653">
        <v>0</v>
      </c>
      <c r="E15" s="1653">
        <v>150</v>
      </c>
      <c r="F15" s="1653">
        <v>11660</v>
      </c>
      <c r="G15" s="1653">
        <v>0</v>
      </c>
      <c r="H15" s="1653">
        <v>72</v>
      </c>
      <c r="I15" s="1653">
        <v>40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1918">
        <v>10</v>
      </c>
      <c r="R15" s="1919"/>
      <c r="S15" s="1650">
        <v>2</v>
      </c>
      <c r="T15" s="1893"/>
      <c r="U15" s="1650" t="s">
        <v>64</v>
      </c>
      <c r="V15" s="1920">
        <v>34922</v>
      </c>
      <c r="W15" s="1920"/>
      <c r="X15" s="1920"/>
    </row>
    <row r="16" spans="1:25" ht="24.75" customHeight="1" x14ac:dyDescent="0.25">
      <c r="A16" s="100" t="s">
        <v>39</v>
      </c>
      <c r="B16" s="1918">
        <v>84603</v>
      </c>
      <c r="C16" s="1919"/>
      <c r="D16" s="1653"/>
      <c r="E16" s="1653"/>
      <c r="F16" s="1653">
        <v>7500</v>
      </c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1920"/>
      <c r="R16" s="1920"/>
      <c r="S16" s="1653"/>
      <c r="T16" s="1912" t="s">
        <v>55</v>
      </c>
      <c r="U16" s="1912"/>
      <c r="V16" s="1925">
        <f>Y12</f>
        <v>170560.95750000002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1883"/>
      <c r="R17" s="1883"/>
      <c r="S17" s="1649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83747</v>
      </c>
      <c r="C18" s="1919"/>
      <c r="D18" s="1655">
        <f>E12</f>
        <v>0</v>
      </c>
      <c r="E18" s="1655">
        <f>G12</f>
        <v>110</v>
      </c>
      <c r="F18" s="1655">
        <f>I12</f>
        <v>4470</v>
      </c>
      <c r="G18" s="1655">
        <f>K12</f>
        <v>0</v>
      </c>
      <c r="H18" s="1653"/>
      <c r="I18" s="1655">
        <f>U12</f>
        <v>10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1920"/>
      <c r="R18" s="1920"/>
      <c r="S18" s="1650"/>
      <c r="T18" s="1912" t="s">
        <v>57</v>
      </c>
      <c r="U18" s="1912"/>
      <c r="V18" s="1920">
        <v>620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311697</v>
      </c>
      <c r="C19" s="1919"/>
      <c r="D19" s="1653">
        <f>D15+D16+D17-D18</f>
        <v>0</v>
      </c>
      <c r="E19" s="1653">
        <f t="shared" ref="E19:N19" si="13">E15+E16+E17-E18</f>
        <v>40</v>
      </c>
      <c r="F19" s="1653">
        <f t="shared" si="13"/>
        <v>14690</v>
      </c>
      <c r="G19" s="1653">
        <f t="shared" si="13"/>
        <v>0</v>
      </c>
      <c r="H19" s="1653">
        <f t="shared" si="13"/>
        <v>72</v>
      </c>
      <c r="I19" s="1653">
        <f t="shared" si="13"/>
        <v>30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1918">
        <f t="shared" si="14"/>
        <v>10</v>
      </c>
      <c r="R19" s="1919"/>
      <c r="S19" s="1650">
        <f>S15+S16-S17-S18</f>
        <v>2</v>
      </c>
      <c r="T19" s="1914" t="s">
        <v>48</v>
      </c>
      <c r="U19" s="49" t="s">
        <v>58</v>
      </c>
      <c r="V19" s="1920">
        <v>100000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300008.36249999999</v>
      </c>
      <c r="C20" s="1945"/>
      <c r="D20" s="290">
        <f>D19*66.41</f>
        <v>0</v>
      </c>
      <c r="E20" s="290">
        <f>27.9368*E19</f>
        <v>1117.472</v>
      </c>
      <c r="F20" s="290">
        <f>18.31*F19</f>
        <v>268973.89999999997</v>
      </c>
      <c r="G20" s="290">
        <f>27.9368*G19</f>
        <v>0</v>
      </c>
      <c r="H20" s="290">
        <f>241*H19</f>
        <v>17352</v>
      </c>
      <c r="I20" s="290">
        <f>323*I19</f>
        <v>9690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615207.73450000002</v>
      </c>
      <c r="C21" s="1951"/>
      <c r="O21" s="1657"/>
      <c r="P21" s="1657"/>
      <c r="Q21" s="1657"/>
      <c r="R21" s="1657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100000</v>
      </c>
      <c r="D22" s="1949">
        <v>100000</v>
      </c>
      <c r="E22" s="1949">
        <v>218755</v>
      </c>
      <c r="F22" s="1949">
        <f>C22-D22+E22</f>
        <v>218755</v>
      </c>
      <c r="G22" s="1657"/>
      <c r="Q22" s="1657"/>
      <c r="R22" s="1657"/>
      <c r="T22" s="1909" t="s">
        <v>83</v>
      </c>
      <c r="U22" s="50" t="s">
        <v>60</v>
      </c>
      <c r="V22" s="1920">
        <v>184530</v>
      </c>
      <c r="W22" s="1920"/>
      <c r="X22" s="1920"/>
      <c r="Y22" s="1927"/>
    </row>
    <row r="23" spans="1:25" ht="39.75" customHeight="1" x14ac:dyDescent="0.25">
      <c r="A23" s="1657"/>
      <c r="B23" s="1947"/>
      <c r="C23" s="1950"/>
      <c r="D23" s="1950"/>
      <c r="E23" s="1950"/>
      <c r="F23" s="1950"/>
      <c r="G23" s="1657"/>
      <c r="Q23" s="1657"/>
      <c r="R23" s="1657"/>
      <c r="T23" s="1910"/>
      <c r="U23" s="50" t="s">
        <v>61</v>
      </c>
      <c r="V23" s="1920">
        <v>100000</v>
      </c>
      <c r="W23" s="1920"/>
      <c r="X23" s="1920"/>
      <c r="Y23" s="1927"/>
    </row>
    <row r="24" spans="1:25" ht="48" customHeight="1" x14ac:dyDescent="0.25">
      <c r="A24" s="1657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1893" t="s">
        <v>47</v>
      </c>
      <c r="U24" s="51" t="s">
        <v>62</v>
      </c>
      <c r="V24" s="1921">
        <f>V14+V16+V17-V18-V19-V20-V22+V23-V21</f>
        <v>7181.9575000000186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119452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657"/>
      <c r="J33" s="1657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7FC4B-8F42-4753-957E-D9AE7EF67E38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658"/>
      <c r="B3" s="1658"/>
      <c r="C3" s="1658"/>
      <c r="D3" s="1658"/>
      <c r="E3" s="1658"/>
      <c r="F3" s="1658"/>
      <c r="G3" s="1658"/>
      <c r="H3" s="1658"/>
      <c r="I3" s="1658"/>
      <c r="J3" s="1658"/>
      <c r="K3" s="1658"/>
      <c r="L3" s="1658"/>
      <c r="M3" s="1658"/>
      <c r="N3" s="1658"/>
      <c r="O3" s="1658"/>
      <c r="P3" s="1658"/>
      <c r="Q3" s="1658"/>
      <c r="R3" s="1658"/>
      <c r="S3" s="1658"/>
      <c r="T3" s="1900" t="s">
        <v>522</v>
      </c>
      <c r="U3" s="1900"/>
      <c r="V3" s="1900"/>
      <c r="W3" s="1900"/>
      <c r="X3" s="1900"/>
      <c r="Y3" s="1900"/>
    </row>
    <row r="4" spans="1:25" s="165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658" customFormat="1" ht="25.5" customHeight="1" x14ac:dyDescent="0.25">
      <c r="A5" s="1901"/>
      <c r="B5" s="1901"/>
      <c r="C5" s="1660" t="s">
        <v>42</v>
      </c>
      <c r="D5" s="1660" t="s">
        <v>43</v>
      </c>
      <c r="E5" s="1660" t="s">
        <v>42</v>
      </c>
      <c r="F5" s="1660" t="s">
        <v>43</v>
      </c>
      <c r="G5" s="1660" t="s">
        <v>42</v>
      </c>
      <c r="H5" s="1660" t="s">
        <v>43</v>
      </c>
      <c r="I5" s="1660" t="s">
        <v>42</v>
      </c>
      <c r="J5" s="1660" t="s">
        <v>43</v>
      </c>
      <c r="K5" s="1660" t="s">
        <v>42</v>
      </c>
      <c r="L5" s="1660" t="s">
        <v>43</v>
      </c>
      <c r="M5" s="1660" t="s">
        <v>42</v>
      </c>
      <c r="N5" s="1660" t="s">
        <v>43</v>
      </c>
      <c r="O5" s="1660" t="s">
        <v>42</v>
      </c>
      <c r="P5" s="1660" t="s">
        <v>43</v>
      </c>
      <c r="Q5" s="1660" t="s">
        <v>42</v>
      </c>
      <c r="R5" s="16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659" t="s">
        <v>71</v>
      </c>
      <c r="C6" s="1662">
        <v>20172</v>
      </c>
      <c r="D6" s="1663">
        <f t="shared" ref="D6:D11" si="0">0.9725*C6</f>
        <v>19617.27</v>
      </c>
      <c r="E6" s="1662"/>
      <c r="F6" s="1663">
        <f>67.1*E6</f>
        <v>0</v>
      </c>
      <c r="G6" s="1662"/>
      <c r="H6" s="1662">
        <f>28.2*G6</f>
        <v>0</v>
      </c>
      <c r="I6" s="1662">
        <v>130</v>
      </c>
      <c r="J6" s="1662">
        <f>18.5*I6</f>
        <v>2405</v>
      </c>
      <c r="K6" s="1662"/>
      <c r="L6" s="1663">
        <f>28.2368*K6</f>
        <v>0</v>
      </c>
      <c r="M6" s="1662"/>
      <c r="N6" s="1663">
        <f>M6*47.6525</f>
        <v>0</v>
      </c>
      <c r="O6" s="1662"/>
      <c r="P6" s="1663">
        <f>O6*8.9</f>
        <v>0</v>
      </c>
      <c r="Q6" s="1663"/>
      <c r="R6" s="1663">
        <f>241*Q6</f>
        <v>0</v>
      </c>
      <c r="S6" s="1662"/>
      <c r="T6" s="1662">
        <f>241*S6</f>
        <v>0</v>
      </c>
      <c r="U6" s="1662">
        <v>4</v>
      </c>
      <c r="V6" s="1662">
        <f>332*U6</f>
        <v>1328</v>
      </c>
      <c r="W6" s="1662"/>
      <c r="X6" s="19">
        <f>W6*100</f>
        <v>0</v>
      </c>
      <c r="Y6" s="20">
        <f t="shared" ref="Y6:Y12" si="1">D6+F6+H6+J6+L6+N6+P6+R6+T6+V6+X6</f>
        <v>23350.27</v>
      </c>
    </row>
    <row r="7" spans="1:25" ht="31.5" customHeight="1" x14ac:dyDescent="0.25">
      <c r="A7" s="12">
        <v>1984225578</v>
      </c>
      <c r="B7" s="1659" t="s">
        <v>509</v>
      </c>
      <c r="C7" s="1662">
        <v>36108</v>
      </c>
      <c r="D7" s="1663">
        <f t="shared" si="0"/>
        <v>35115.03</v>
      </c>
      <c r="E7" s="1662"/>
      <c r="F7" s="1662">
        <f t="shared" ref="F7:F11" si="2">67.1*E7</f>
        <v>0</v>
      </c>
      <c r="G7" s="1662">
        <v>40</v>
      </c>
      <c r="H7" s="1662">
        <f t="shared" ref="H7:H11" si="3">28.2*G7</f>
        <v>1128</v>
      </c>
      <c r="I7" s="1662">
        <v>450</v>
      </c>
      <c r="J7" s="1662">
        <f t="shared" ref="J7:J11" si="4">18.5*I7</f>
        <v>8325</v>
      </c>
      <c r="K7" s="1662"/>
      <c r="L7" s="1663">
        <f t="shared" ref="L7:L11" si="5">28.2368*K7</f>
        <v>0</v>
      </c>
      <c r="M7" s="1662"/>
      <c r="N7" s="1663">
        <f t="shared" ref="N7:N11" si="6">M7*47.6525</f>
        <v>0</v>
      </c>
      <c r="O7" s="1662"/>
      <c r="P7" s="1663">
        <f t="shared" ref="P7:P11" si="7">O7*8.9</f>
        <v>0</v>
      </c>
      <c r="Q7" s="1663"/>
      <c r="R7" s="1663">
        <f t="shared" ref="R7:R11" si="8">241*Q7</f>
        <v>0</v>
      </c>
      <c r="S7" s="1662"/>
      <c r="T7" s="1662">
        <f t="shared" ref="T7:T10" si="9">241*S7</f>
        <v>0</v>
      </c>
      <c r="U7" s="1662">
        <v>14</v>
      </c>
      <c r="V7" s="1662">
        <f t="shared" ref="V7:V11" si="10">332*U7</f>
        <v>4648</v>
      </c>
      <c r="W7" s="1662"/>
      <c r="X7" s="19">
        <f t="shared" ref="X7:X11" si="11">W7*100</f>
        <v>0</v>
      </c>
      <c r="Y7" s="20">
        <f t="shared" si="1"/>
        <v>49216.03</v>
      </c>
    </row>
    <row r="8" spans="1:25" ht="35.25" customHeight="1" x14ac:dyDescent="0.25">
      <c r="A8" s="12">
        <v>1967020280</v>
      </c>
      <c r="B8" s="1659" t="s">
        <v>427</v>
      </c>
      <c r="C8" s="1662">
        <v>20863</v>
      </c>
      <c r="D8" s="1663">
        <f t="shared" si="0"/>
        <v>20289.267500000002</v>
      </c>
      <c r="E8" s="1662"/>
      <c r="F8" s="1662">
        <f t="shared" si="2"/>
        <v>0</v>
      </c>
      <c r="G8" s="1662"/>
      <c r="H8" s="1663">
        <f t="shared" si="3"/>
        <v>0</v>
      </c>
      <c r="I8" s="1662">
        <v>80</v>
      </c>
      <c r="J8" s="1662">
        <f t="shared" si="4"/>
        <v>1480</v>
      </c>
      <c r="K8" s="1662"/>
      <c r="L8" s="1663">
        <f t="shared" si="5"/>
        <v>0</v>
      </c>
      <c r="M8" s="1662"/>
      <c r="N8" s="1663">
        <f t="shared" si="6"/>
        <v>0</v>
      </c>
      <c r="O8" s="1662"/>
      <c r="P8" s="1663">
        <f t="shared" si="7"/>
        <v>0</v>
      </c>
      <c r="Q8" s="1663"/>
      <c r="R8" s="1663">
        <f t="shared" si="8"/>
        <v>0</v>
      </c>
      <c r="S8" s="1662"/>
      <c r="T8" s="1662">
        <f t="shared" si="9"/>
        <v>0</v>
      </c>
      <c r="U8" s="1662"/>
      <c r="V8" s="1662">
        <f t="shared" si="10"/>
        <v>0</v>
      </c>
      <c r="W8" s="1662"/>
      <c r="X8" s="19">
        <f t="shared" si="11"/>
        <v>0</v>
      </c>
      <c r="Y8" s="20">
        <f t="shared" si="1"/>
        <v>21769.267500000002</v>
      </c>
    </row>
    <row r="9" spans="1:25" ht="38.25" customHeight="1" x14ac:dyDescent="0.25">
      <c r="A9" s="12">
        <v>1984225580</v>
      </c>
      <c r="B9" s="1659" t="s">
        <v>75</v>
      </c>
      <c r="C9" s="1662">
        <v>23116</v>
      </c>
      <c r="D9" s="1663">
        <f t="shared" si="0"/>
        <v>22480.31</v>
      </c>
      <c r="E9" s="1662"/>
      <c r="F9" s="1662">
        <f t="shared" si="2"/>
        <v>0</v>
      </c>
      <c r="G9" s="1662"/>
      <c r="H9" s="1662">
        <f t="shared" si="3"/>
        <v>0</v>
      </c>
      <c r="I9" s="1662">
        <v>730</v>
      </c>
      <c r="J9" s="1662">
        <f t="shared" si="4"/>
        <v>13505</v>
      </c>
      <c r="K9" s="1662"/>
      <c r="L9" s="1663">
        <f t="shared" si="5"/>
        <v>0</v>
      </c>
      <c r="M9" s="1662"/>
      <c r="N9" s="1663">
        <f t="shared" si="6"/>
        <v>0</v>
      </c>
      <c r="O9" s="1662"/>
      <c r="P9" s="1663">
        <f t="shared" si="7"/>
        <v>0</v>
      </c>
      <c r="Q9" s="1663"/>
      <c r="R9" s="1663">
        <f t="shared" si="8"/>
        <v>0</v>
      </c>
      <c r="S9" s="1662"/>
      <c r="T9" s="1662">
        <f t="shared" si="9"/>
        <v>0</v>
      </c>
      <c r="U9" s="1662"/>
      <c r="V9" s="1662">
        <f t="shared" si="10"/>
        <v>0</v>
      </c>
      <c r="W9" s="1662"/>
      <c r="X9" s="19">
        <f t="shared" si="11"/>
        <v>0</v>
      </c>
      <c r="Y9" s="20">
        <f t="shared" si="1"/>
        <v>35985.31</v>
      </c>
    </row>
    <row r="10" spans="1:25" ht="35.25" customHeight="1" x14ac:dyDescent="0.25">
      <c r="A10" s="12">
        <v>1409935199</v>
      </c>
      <c r="C10" s="1662"/>
      <c r="D10" s="1663">
        <f t="shared" si="0"/>
        <v>0</v>
      </c>
      <c r="E10" s="1662"/>
      <c r="F10" s="1662">
        <f t="shared" si="2"/>
        <v>0</v>
      </c>
      <c r="G10" s="1662"/>
      <c r="H10" s="1662">
        <f t="shared" si="3"/>
        <v>0</v>
      </c>
      <c r="I10" s="1662"/>
      <c r="J10" s="1662">
        <f t="shared" si="4"/>
        <v>0</v>
      </c>
      <c r="K10" s="1662"/>
      <c r="L10" s="1663">
        <f t="shared" si="5"/>
        <v>0</v>
      </c>
      <c r="M10" s="1662"/>
      <c r="N10" s="1663">
        <f t="shared" si="6"/>
        <v>0</v>
      </c>
      <c r="O10" s="1662"/>
      <c r="P10" s="1663">
        <f t="shared" si="7"/>
        <v>0</v>
      </c>
      <c r="Q10" s="1663"/>
      <c r="R10" s="1663">
        <f t="shared" si="8"/>
        <v>0</v>
      </c>
      <c r="S10" s="1662"/>
      <c r="T10" s="1662">
        <f t="shared" si="9"/>
        <v>0</v>
      </c>
      <c r="U10" s="1662"/>
      <c r="V10" s="1662">
        <f t="shared" si="10"/>
        <v>0</v>
      </c>
      <c r="W10" s="166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61"/>
      <c r="C11" s="1662"/>
      <c r="D11" s="1663">
        <f t="shared" si="0"/>
        <v>0</v>
      </c>
      <c r="E11" s="1662"/>
      <c r="F11" s="1662">
        <f t="shared" si="2"/>
        <v>0</v>
      </c>
      <c r="G11" s="1662"/>
      <c r="H11" s="1662">
        <f t="shared" si="3"/>
        <v>0</v>
      </c>
      <c r="I11" s="1662"/>
      <c r="J11" s="1662">
        <f t="shared" si="4"/>
        <v>0</v>
      </c>
      <c r="K11" s="1662"/>
      <c r="L11" s="1663">
        <f t="shared" si="5"/>
        <v>0</v>
      </c>
      <c r="M11" s="1662"/>
      <c r="N11" s="1663">
        <f t="shared" si="6"/>
        <v>0</v>
      </c>
      <c r="O11" s="1662"/>
      <c r="P11" s="1663">
        <f t="shared" si="7"/>
        <v>0</v>
      </c>
      <c r="Q11" s="1663"/>
      <c r="R11" s="1663">
        <f t="shared" si="8"/>
        <v>0</v>
      </c>
      <c r="S11" s="1662"/>
      <c r="T11" s="1662">
        <f>341*S11</f>
        <v>0</v>
      </c>
      <c r="U11" s="1662"/>
      <c r="V11" s="1662">
        <f t="shared" si="10"/>
        <v>0</v>
      </c>
      <c r="W11" s="166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100259</v>
      </c>
      <c r="D12" s="18">
        <f t="shared" si="12"/>
        <v>97501.877500000002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1390</v>
      </c>
      <c r="J12" s="18">
        <f t="shared" si="12"/>
        <v>25715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130320.8775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67" t="s">
        <v>174</v>
      </c>
      <c r="K14" s="30" t="s">
        <v>36</v>
      </c>
      <c r="L14" s="1667" t="s">
        <v>403</v>
      </c>
      <c r="M14" s="30" t="s">
        <v>429</v>
      </c>
      <c r="N14" s="30" t="s">
        <v>442</v>
      </c>
      <c r="O14" s="1667" t="s">
        <v>114</v>
      </c>
      <c r="P14" s="30" t="s">
        <v>70</v>
      </c>
      <c r="Q14" s="1958" t="s">
        <v>479</v>
      </c>
      <c r="R14" s="1959"/>
      <c r="S14" s="1667" t="s">
        <v>401</v>
      </c>
      <c r="T14" s="1893" t="s">
        <v>46</v>
      </c>
      <c r="U14" s="1659" t="s">
        <v>176</v>
      </c>
      <c r="V14" s="1918">
        <v>7182</v>
      </c>
      <c r="W14" s="1926"/>
      <c r="X14" s="1919"/>
    </row>
    <row r="15" spans="1:25" ht="22.5" customHeight="1" x14ac:dyDescent="0.25">
      <c r="A15" s="100" t="s">
        <v>38</v>
      </c>
      <c r="B15" s="1918">
        <v>311697</v>
      </c>
      <c r="C15" s="1919"/>
      <c r="D15" s="1664">
        <v>0</v>
      </c>
      <c r="E15" s="1664">
        <v>40</v>
      </c>
      <c r="F15" s="1664">
        <v>14690</v>
      </c>
      <c r="G15" s="1664">
        <v>0</v>
      </c>
      <c r="H15" s="1664">
        <v>72</v>
      </c>
      <c r="I15" s="1664">
        <v>30</v>
      </c>
      <c r="J15" s="1664">
        <v>4</v>
      </c>
      <c r="K15" s="1664">
        <v>69</v>
      </c>
      <c r="L15" s="1664">
        <v>0</v>
      </c>
      <c r="M15" s="1664">
        <v>0</v>
      </c>
      <c r="N15" s="1664">
        <v>0</v>
      </c>
      <c r="O15" s="1664">
        <v>0</v>
      </c>
      <c r="P15" s="1664">
        <v>100</v>
      </c>
      <c r="Q15" s="1918">
        <v>10</v>
      </c>
      <c r="R15" s="1919"/>
      <c r="S15" s="1659">
        <v>2</v>
      </c>
      <c r="T15" s="1893"/>
      <c r="U15" s="1659" t="s">
        <v>64</v>
      </c>
      <c r="V15" s="1920">
        <v>119452</v>
      </c>
      <c r="W15" s="1920"/>
      <c r="X15" s="1920"/>
    </row>
    <row r="16" spans="1:25" ht="24.75" customHeight="1" x14ac:dyDescent="0.25">
      <c r="A16" s="100" t="s">
        <v>39</v>
      </c>
      <c r="B16" s="1918">
        <v>103896</v>
      </c>
      <c r="C16" s="1919"/>
      <c r="D16" s="1664"/>
      <c r="E16" s="1664"/>
      <c r="F16" s="1664"/>
      <c r="G16" s="1664"/>
      <c r="H16" s="1664"/>
      <c r="I16" s="1664"/>
      <c r="J16" s="1664"/>
      <c r="K16" s="1664"/>
      <c r="L16" s="1664"/>
      <c r="M16" s="1664"/>
      <c r="N16" s="1664"/>
      <c r="O16" s="1664"/>
      <c r="P16" s="1664"/>
      <c r="Q16" s="1920"/>
      <c r="R16" s="1920"/>
      <c r="S16" s="1664"/>
      <c r="T16" s="1912" t="s">
        <v>55</v>
      </c>
      <c r="U16" s="1912"/>
      <c r="V16" s="1925">
        <f>Y12</f>
        <v>130320.8775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664"/>
      <c r="E17" s="1664"/>
      <c r="F17" s="1664"/>
      <c r="G17" s="1664"/>
      <c r="H17" s="1664"/>
      <c r="I17" s="1664"/>
      <c r="J17" s="1664"/>
      <c r="K17" s="1664"/>
      <c r="L17" s="1664"/>
      <c r="M17" s="1664"/>
      <c r="N17" s="1664"/>
      <c r="O17" s="1664"/>
      <c r="P17" s="1664"/>
      <c r="Q17" s="1883"/>
      <c r="R17" s="1883"/>
      <c r="S17" s="1661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100259</v>
      </c>
      <c r="C18" s="1919"/>
      <c r="D18" s="1665">
        <f>E12</f>
        <v>0</v>
      </c>
      <c r="E18" s="1665">
        <f>G12</f>
        <v>40</v>
      </c>
      <c r="F18" s="1665">
        <f>I12</f>
        <v>1390</v>
      </c>
      <c r="G18" s="1665">
        <f>K12</f>
        <v>0</v>
      </c>
      <c r="H18" s="1664"/>
      <c r="I18" s="1665">
        <f>U12</f>
        <v>18</v>
      </c>
      <c r="J18" s="1664"/>
      <c r="K18" s="1665">
        <f>W12</f>
        <v>0</v>
      </c>
      <c r="L18" s="1664"/>
      <c r="M18" s="1665">
        <f>M12</f>
        <v>0</v>
      </c>
      <c r="N18" s="1665">
        <f>O12</f>
        <v>0</v>
      </c>
      <c r="O18" s="1666">
        <f>Q12</f>
        <v>0</v>
      </c>
      <c r="P18" s="1665"/>
      <c r="Q18" s="1920"/>
      <c r="R18" s="1920"/>
      <c r="S18" s="1659"/>
      <c r="T18" s="1912" t="s">
        <v>57</v>
      </c>
      <c r="U18" s="1912"/>
      <c r="V18" s="1920">
        <v>5220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315334</v>
      </c>
      <c r="C19" s="1919"/>
      <c r="D19" s="1664">
        <f>D15+D16+D17-D18</f>
        <v>0</v>
      </c>
      <c r="E19" s="1664">
        <f t="shared" ref="E19:N19" si="13">E15+E16+E17-E18</f>
        <v>0</v>
      </c>
      <c r="F19" s="1664">
        <f t="shared" si="13"/>
        <v>13300</v>
      </c>
      <c r="G19" s="1664">
        <f t="shared" si="13"/>
        <v>0</v>
      </c>
      <c r="H19" s="1664">
        <f t="shared" si="13"/>
        <v>72</v>
      </c>
      <c r="I19" s="1664">
        <f t="shared" si="13"/>
        <v>12</v>
      </c>
      <c r="J19" s="1664">
        <f t="shared" si="13"/>
        <v>4</v>
      </c>
      <c r="K19" s="1664">
        <f t="shared" si="13"/>
        <v>69</v>
      </c>
      <c r="L19" s="1664">
        <f t="shared" si="13"/>
        <v>0</v>
      </c>
      <c r="M19" s="1664">
        <f t="shared" si="13"/>
        <v>0</v>
      </c>
      <c r="N19" s="1664">
        <f t="shared" si="13"/>
        <v>0</v>
      </c>
      <c r="O19" s="1664">
        <f>O15+O16+O17-O18</f>
        <v>0</v>
      </c>
      <c r="P19" s="1664">
        <f t="shared" ref="P19:Q19" si="14">P15+P16+P17-P18</f>
        <v>100</v>
      </c>
      <c r="Q19" s="1918">
        <f t="shared" si="14"/>
        <v>10</v>
      </c>
      <c r="R19" s="1919"/>
      <c r="S19" s="1659">
        <f>S15+S16-S17-S18</f>
        <v>2</v>
      </c>
      <c r="T19" s="1914" t="s">
        <v>48</v>
      </c>
      <c r="U19" s="49" t="s">
        <v>58</v>
      </c>
      <c r="V19" s="1920">
        <v>218755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303508.97500000003</v>
      </c>
      <c r="C20" s="1945"/>
      <c r="D20" s="290">
        <f>D19*66.41</f>
        <v>0</v>
      </c>
      <c r="E20" s="290">
        <f>27.9368*E19</f>
        <v>0</v>
      </c>
      <c r="F20" s="290">
        <f>18.31*F19</f>
        <v>243522.99999999997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586325.97499999998</v>
      </c>
      <c r="C21" s="1951"/>
      <c r="O21" s="1668"/>
      <c r="P21" s="1668"/>
      <c r="Q21" s="1668"/>
      <c r="R21" s="1668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218755</v>
      </c>
      <c r="D22" s="1949">
        <v>218755</v>
      </c>
      <c r="E22" s="1949">
        <v>100000</v>
      </c>
      <c r="F22" s="1949">
        <f>C22-D22+E22</f>
        <v>100000</v>
      </c>
      <c r="G22" s="1668"/>
      <c r="Q22" s="1668"/>
      <c r="R22" s="1668"/>
      <c r="T22" s="1909" t="s">
        <v>83</v>
      </c>
      <c r="U22" s="50" t="s">
        <v>60</v>
      </c>
      <c r="V22" s="1920">
        <v>124030</v>
      </c>
      <c r="W22" s="1920"/>
      <c r="X22" s="1920"/>
      <c r="Y22" s="1927"/>
    </row>
    <row r="23" spans="1:25" ht="39.75" customHeight="1" x14ac:dyDescent="0.25">
      <c r="A23" s="1668"/>
      <c r="B23" s="1947"/>
      <c r="C23" s="1950"/>
      <c r="D23" s="1950"/>
      <c r="E23" s="1950"/>
      <c r="F23" s="1950"/>
      <c r="G23" s="1668"/>
      <c r="Q23" s="1668"/>
      <c r="R23" s="1668"/>
      <c r="T23" s="1910"/>
      <c r="U23" s="50" t="s">
        <v>61</v>
      </c>
      <c r="V23" s="1920">
        <v>218755</v>
      </c>
      <c r="W23" s="1920"/>
      <c r="X23" s="1920"/>
      <c r="Y23" s="1927"/>
    </row>
    <row r="24" spans="1:25" ht="48" customHeight="1" x14ac:dyDescent="0.25">
      <c r="A24" s="1668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668"/>
      <c r="Q24" s="1668"/>
      <c r="R24" s="1668"/>
      <c r="T24" s="1893" t="s">
        <v>47</v>
      </c>
      <c r="U24" s="51" t="s">
        <v>62</v>
      </c>
      <c r="V24" s="1921">
        <f>V14+V16+V17-V18-V19-V20-V22+V23-V21</f>
        <v>8252.8775000000023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24727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668"/>
      <c r="J33" s="1668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AE198-55D2-468B-9282-E367546F140B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669"/>
      <c r="B3" s="1669"/>
      <c r="C3" s="1669"/>
      <c r="D3" s="1669"/>
      <c r="E3" s="1669"/>
      <c r="F3" s="1669"/>
      <c r="G3" s="1669"/>
      <c r="H3" s="1669"/>
      <c r="I3" s="1669"/>
      <c r="J3" s="1669"/>
      <c r="K3" s="1669"/>
      <c r="L3" s="1669"/>
      <c r="M3" s="1669"/>
      <c r="N3" s="1669"/>
      <c r="O3" s="1669"/>
      <c r="P3" s="1669"/>
      <c r="Q3" s="1669"/>
      <c r="R3" s="1669"/>
      <c r="S3" s="1669"/>
      <c r="T3" s="1900" t="s">
        <v>523</v>
      </c>
      <c r="U3" s="1900"/>
      <c r="V3" s="1900"/>
      <c r="W3" s="1900"/>
      <c r="X3" s="1900"/>
      <c r="Y3" s="1900"/>
    </row>
    <row r="4" spans="1:25" s="166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669" customFormat="1" ht="25.5" customHeight="1" x14ac:dyDescent="0.25">
      <c r="A5" s="1901"/>
      <c r="B5" s="1901"/>
      <c r="C5" s="1671" t="s">
        <v>42</v>
      </c>
      <c r="D5" s="1671" t="s">
        <v>43</v>
      </c>
      <c r="E5" s="1671" t="s">
        <v>42</v>
      </c>
      <c r="F5" s="1671" t="s">
        <v>43</v>
      </c>
      <c r="G5" s="1671" t="s">
        <v>42</v>
      </c>
      <c r="H5" s="1671" t="s">
        <v>43</v>
      </c>
      <c r="I5" s="1671" t="s">
        <v>42</v>
      </c>
      <c r="J5" s="1671" t="s">
        <v>43</v>
      </c>
      <c r="K5" s="1671" t="s">
        <v>42</v>
      </c>
      <c r="L5" s="1671" t="s">
        <v>43</v>
      </c>
      <c r="M5" s="1671" t="s">
        <v>42</v>
      </c>
      <c r="N5" s="1671" t="s">
        <v>43</v>
      </c>
      <c r="O5" s="1671" t="s">
        <v>42</v>
      </c>
      <c r="P5" s="1671" t="s">
        <v>43</v>
      </c>
      <c r="Q5" s="1671" t="s">
        <v>42</v>
      </c>
      <c r="R5" s="16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670" t="s">
        <v>71</v>
      </c>
      <c r="C6" s="1673">
        <v>45759</v>
      </c>
      <c r="D6" s="1674">
        <f t="shared" ref="D6:D11" si="0">0.9725*C6</f>
        <v>44500.627500000002</v>
      </c>
      <c r="E6" s="1673"/>
      <c r="F6" s="1674">
        <f>67.1*E6</f>
        <v>0</v>
      </c>
      <c r="G6" s="1673"/>
      <c r="H6" s="1673">
        <f>28.2*G6</f>
        <v>0</v>
      </c>
      <c r="I6" s="1673">
        <v>40</v>
      </c>
      <c r="J6" s="1673">
        <f>18.5*I6</f>
        <v>740</v>
      </c>
      <c r="K6" s="1673"/>
      <c r="L6" s="1674">
        <f>28.2368*K6</f>
        <v>0</v>
      </c>
      <c r="M6" s="1673"/>
      <c r="N6" s="1674">
        <f>M6*47.6525</f>
        <v>0</v>
      </c>
      <c r="O6" s="1673"/>
      <c r="P6" s="1674">
        <f>O6*8.9</f>
        <v>0</v>
      </c>
      <c r="Q6" s="1674"/>
      <c r="R6" s="1674">
        <f>241*Q6</f>
        <v>0</v>
      </c>
      <c r="S6" s="1673"/>
      <c r="T6" s="1673">
        <f>241*S6</f>
        <v>0</v>
      </c>
      <c r="U6" s="1673"/>
      <c r="V6" s="1673">
        <f>332*U6</f>
        <v>0</v>
      </c>
      <c r="W6" s="1673">
        <v>1</v>
      </c>
      <c r="X6" s="19">
        <f>W6*100</f>
        <v>100</v>
      </c>
      <c r="Y6" s="20">
        <f t="shared" ref="Y6:Y12" si="1">D6+F6+H6+J6+L6+N6+P6+R6+T6+V6+X6</f>
        <v>45340.627500000002</v>
      </c>
    </row>
    <row r="7" spans="1:25" ht="31.5" customHeight="1" x14ac:dyDescent="0.25">
      <c r="A7" s="12">
        <v>1984225578</v>
      </c>
      <c r="B7" s="1670" t="s">
        <v>509</v>
      </c>
      <c r="C7" s="1673">
        <v>52509</v>
      </c>
      <c r="D7" s="1674">
        <f t="shared" si="0"/>
        <v>51065.002500000002</v>
      </c>
      <c r="E7" s="1673"/>
      <c r="F7" s="1673">
        <f t="shared" ref="F7:F11" si="2">67.1*E7</f>
        <v>0</v>
      </c>
      <c r="G7" s="1673"/>
      <c r="H7" s="1673">
        <f t="shared" ref="H7:H11" si="3">28.2*G7</f>
        <v>0</v>
      </c>
      <c r="I7" s="1673"/>
      <c r="J7" s="1673">
        <f t="shared" ref="J7:J11" si="4">18.5*I7</f>
        <v>0</v>
      </c>
      <c r="K7" s="1673"/>
      <c r="L7" s="1674">
        <f t="shared" ref="L7:L11" si="5">28.2368*K7</f>
        <v>0</v>
      </c>
      <c r="M7" s="1673"/>
      <c r="N7" s="1674">
        <f t="shared" ref="N7:N11" si="6">M7*47.6525</f>
        <v>0</v>
      </c>
      <c r="O7" s="1673"/>
      <c r="P7" s="1674">
        <f t="shared" ref="P7:P11" si="7">O7*8.9</f>
        <v>0</v>
      </c>
      <c r="Q7" s="1674"/>
      <c r="R7" s="1674">
        <f t="shared" ref="R7:R11" si="8">241*Q7</f>
        <v>0</v>
      </c>
      <c r="S7" s="1673"/>
      <c r="T7" s="1673">
        <f t="shared" ref="T7:T10" si="9">241*S7</f>
        <v>0</v>
      </c>
      <c r="U7" s="1673"/>
      <c r="V7" s="1673">
        <f t="shared" ref="V7:V11" si="10">332*U7</f>
        <v>0</v>
      </c>
      <c r="W7" s="1673"/>
      <c r="X7" s="19">
        <f t="shared" ref="X7:X11" si="11">W7*100</f>
        <v>0</v>
      </c>
      <c r="Y7" s="20">
        <f t="shared" si="1"/>
        <v>51065.002500000002</v>
      </c>
    </row>
    <row r="8" spans="1:25" ht="35.25" customHeight="1" x14ac:dyDescent="0.25">
      <c r="A8" s="12">
        <v>1967020280</v>
      </c>
      <c r="B8" s="1670" t="s">
        <v>427</v>
      </c>
      <c r="C8" s="1673">
        <v>32023</v>
      </c>
      <c r="D8" s="1674">
        <f t="shared" si="0"/>
        <v>31142.3675</v>
      </c>
      <c r="E8" s="1673"/>
      <c r="F8" s="1673">
        <f t="shared" si="2"/>
        <v>0</v>
      </c>
      <c r="G8" s="1673"/>
      <c r="H8" s="1674">
        <f t="shared" si="3"/>
        <v>0</v>
      </c>
      <c r="I8" s="1673"/>
      <c r="J8" s="1673">
        <f t="shared" si="4"/>
        <v>0</v>
      </c>
      <c r="K8" s="1673"/>
      <c r="L8" s="1674">
        <f t="shared" si="5"/>
        <v>0</v>
      </c>
      <c r="M8" s="1673"/>
      <c r="N8" s="1674">
        <f t="shared" si="6"/>
        <v>0</v>
      </c>
      <c r="O8" s="1673"/>
      <c r="P8" s="1674">
        <f t="shared" si="7"/>
        <v>0</v>
      </c>
      <c r="Q8" s="1674"/>
      <c r="R8" s="1674">
        <f t="shared" si="8"/>
        <v>0</v>
      </c>
      <c r="S8" s="1673"/>
      <c r="T8" s="1673">
        <f t="shared" si="9"/>
        <v>0</v>
      </c>
      <c r="U8" s="1673"/>
      <c r="V8" s="1673">
        <f t="shared" si="10"/>
        <v>0</v>
      </c>
      <c r="W8" s="1673"/>
      <c r="X8" s="19">
        <f t="shared" si="11"/>
        <v>0</v>
      </c>
      <c r="Y8" s="20">
        <f t="shared" si="1"/>
        <v>31142.3675</v>
      </c>
    </row>
    <row r="9" spans="1:25" ht="38.25" customHeight="1" x14ac:dyDescent="0.25">
      <c r="A9" s="12">
        <v>1984225580</v>
      </c>
      <c r="B9" s="1670" t="s">
        <v>75</v>
      </c>
      <c r="C9" s="1673">
        <v>24824</v>
      </c>
      <c r="D9" s="1674">
        <f t="shared" si="0"/>
        <v>24141.34</v>
      </c>
      <c r="E9" s="1673"/>
      <c r="F9" s="1673">
        <f t="shared" si="2"/>
        <v>0</v>
      </c>
      <c r="G9" s="1673"/>
      <c r="H9" s="1673">
        <f t="shared" si="3"/>
        <v>0</v>
      </c>
      <c r="I9" s="1673"/>
      <c r="J9" s="1673">
        <f t="shared" si="4"/>
        <v>0</v>
      </c>
      <c r="K9" s="1673"/>
      <c r="L9" s="1674">
        <f t="shared" si="5"/>
        <v>0</v>
      </c>
      <c r="M9" s="1673"/>
      <c r="N9" s="1674">
        <f t="shared" si="6"/>
        <v>0</v>
      </c>
      <c r="O9" s="1673"/>
      <c r="P9" s="1674">
        <f t="shared" si="7"/>
        <v>0</v>
      </c>
      <c r="Q9" s="1674"/>
      <c r="R9" s="1674">
        <f t="shared" si="8"/>
        <v>0</v>
      </c>
      <c r="S9" s="1673"/>
      <c r="T9" s="1673">
        <f t="shared" si="9"/>
        <v>0</v>
      </c>
      <c r="U9" s="1673"/>
      <c r="V9" s="1673">
        <f t="shared" si="10"/>
        <v>0</v>
      </c>
      <c r="W9" s="1673"/>
      <c r="X9" s="19">
        <f t="shared" si="11"/>
        <v>0</v>
      </c>
      <c r="Y9" s="20">
        <f t="shared" si="1"/>
        <v>24141.34</v>
      </c>
    </row>
    <row r="10" spans="1:25" ht="35.25" customHeight="1" x14ac:dyDescent="0.25">
      <c r="A10" s="12">
        <v>1409935199</v>
      </c>
      <c r="C10" s="1673"/>
      <c r="D10" s="1674">
        <f t="shared" si="0"/>
        <v>0</v>
      </c>
      <c r="E10" s="1673"/>
      <c r="F10" s="1673">
        <f t="shared" si="2"/>
        <v>0</v>
      </c>
      <c r="G10" s="1673"/>
      <c r="H10" s="1673">
        <f t="shared" si="3"/>
        <v>0</v>
      </c>
      <c r="I10" s="1673"/>
      <c r="J10" s="1673">
        <f t="shared" si="4"/>
        <v>0</v>
      </c>
      <c r="K10" s="1673"/>
      <c r="L10" s="1674">
        <f t="shared" si="5"/>
        <v>0</v>
      </c>
      <c r="M10" s="1673"/>
      <c r="N10" s="1674">
        <f t="shared" si="6"/>
        <v>0</v>
      </c>
      <c r="O10" s="1673"/>
      <c r="P10" s="1674">
        <f t="shared" si="7"/>
        <v>0</v>
      </c>
      <c r="Q10" s="1674"/>
      <c r="R10" s="1674">
        <f t="shared" si="8"/>
        <v>0</v>
      </c>
      <c r="S10" s="1673"/>
      <c r="T10" s="1673">
        <f t="shared" si="9"/>
        <v>0</v>
      </c>
      <c r="U10" s="1673"/>
      <c r="V10" s="1673">
        <f t="shared" si="10"/>
        <v>0</v>
      </c>
      <c r="W10" s="16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72"/>
      <c r="C11" s="1673"/>
      <c r="D11" s="1674">
        <f t="shared" si="0"/>
        <v>0</v>
      </c>
      <c r="E11" s="1673"/>
      <c r="F11" s="1673">
        <f t="shared" si="2"/>
        <v>0</v>
      </c>
      <c r="G11" s="1673"/>
      <c r="H11" s="1673">
        <f t="shared" si="3"/>
        <v>0</v>
      </c>
      <c r="I11" s="1673"/>
      <c r="J11" s="1673">
        <f t="shared" si="4"/>
        <v>0</v>
      </c>
      <c r="K11" s="1673"/>
      <c r="L11" s="1674">
        <f t="shared" si="5"/>
        <v>0</v>
      </c>
      <c r="M11" s="1673"/>
      <c r="N11" s="1674">
        <f t="shared" si="6"/>
        <v>0</v>
      </c>
      <c r="O11" s="1673"/>
      <c r="P11" s="1674">
        <f t="shared" si="7"/>
        <v>0</v>
      </c>
      <c r="Q11" s="1674"/>
      <c r="R11" s="1674">
        <f t="shared" si="8"/>
        <v>0</v>
      </c>
      <c r="S11" s="1673"/>
      <c r="T11" s="1673">
        <f>341*S11</f>
        <v>0</v>
      </c>
      <c r="U11" s="1673"/>
      <c r="V11" s="1673">
        <f t="shared" si="10"/>
        <v>0</v>
      </c>
      <c r="W11" s="16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155115</v>
      </c>
      <c r="D12" s="18">
        <f t="shared" si="12"/>
        <v>150849.33749999999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</v>
      </c>
      <c r="J12" s="18">
        <f t="shared" si="12"/>
        <v>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151689.33749999999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78" t="s">
        <v>174</v>
      </c>
      <c r="K14" s="30" t="s">
        <v>36</v>
      </c>
      <c r="L14" s="1678" t="s">
        <v>403</v>
      </c>
      <c r="M14" s="30" t="s">
        <v>429</v>
      </c>
      <c r="N14" s="30" t="s">
        <v>442</v>
      </c>
      <c r="O14" s="1678" t="s">
        <v>114</v>
      </c>
      <c r="P14" s="30" t="s">
        <v>70</v>
      </c>
      <c r="Q14" s="1958" t="s">
        <v>479</v>
      </c>
      <c r="R14" s="1959"/>
      <c r="S14" s="1678" t="s">
        <v>401</v>
      </c>
      <c r="T14" s="1893" t="s">
        <v>46</v>
      </c>
      <c r="U14" s="1670" t="s">
        <v>176</v>
      </c>
      <c r="V14" s="1918">
        <v>8253</v>
      </c>
      <c r="W14" s="1926"/>
      <c r="X14" s="1919"/>
    </row>
    <row r="15" spans="1:25" ht="22.5" customHeight="1" x14ac:dyDescent="0.25">
      <c r="A15" s="100" t="s">
        <v>38</v>
      </c>
      <c r="B15" s="1918">
        <v>315334</v>
      </c>
      <c r="C15" s="1919"/>
      <c r="D15" s="1675">
        <v>0</v>
      </c>
      <c r="E15" s="1675">
        <v>0</v>
      </c>
      <c r="F15" s="1675">
        <v>13300</v>
      </c>
      <c r="G15" s="1675">
        <v>0</v>
      </c>
      <c r="H15" s="1675">
        <v>72</v>
      </c>
      <c r="I15" s="1675">
        <v>12</v>
      </c>
      <c r="J15" s="1675">
        <v>4</v>
      </c>
      <c r="K15" s="1675">
        <v>69</v>
      </c>
      <c r="L15" s="1675">
        <v>0</v>
      </c>
      <c r="M15" s="1675">
        <v>0</v>
      </c>
      <c r="N15" s="1675">
        <v>0</v>
      </c>
      <c r="O15" s="1675">
        <v>0</v>
      </c>
      <c r="P15" s="1675">
        <v>100</v>
      </c>
      <c r="Q15" s="1918">
        <v>10</v>
      </c>
      <c r="R15" s="1919"/>
      <c r="S15" s="1670">
        <v>2</v>
      </c>
      <c r="T15" s="1893"/>
      <c r="U15" s="1670" t="s">
        <v>64</v>
      </c>
      <c r="V15" s="1920">
        <v>24727</v>
      </c>
      <c r="W15" s="1920"/>
      <c r="X15" s="1920"/>
    </row>
    <row r="16" spans="1:25" ht="24.75" customHeight="1" x14ac:dyDescent="0.25">
      <c r="A16" s="100" t="s">
        <v>39</v>
      </c>
      <c r="B16" s="1918">
        <v>363636</v>
      </c>
      <c r="C16" s="1919"/>
      <c r="D16" s="1675"/>
      <c r="E16" s="1675"/>
      <c r="F16" s="1675"/>
      <c r="G16" s="1675"/>
      <c r="H16" s="1675"/>
      <c r="I16" s="1675"/>
      <c r="J16" s="1675"/>
      <c r="K16" s="1675"/>
      <c r="L16" s="1675"/>
      <c r="M16" s="1675"/>
      <c r="N16" s="1675"/>
      <c r="O16" s="1675"/>
      <c r="P16" s="1675"/>
      <c r="Q16" s="1920"/>
      <c r="R16" s="1920"/>
      <c r="S16" s="1675"/>
      <c r="T16" s="1912" t="s">
        <v>55</v>
      </c>
      <c r="U16" s="1912"/>
      <c r="V16" s="1925">
        <f>Y12</f>
        <v>151689.33749999999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675"/>
      <c r="E17" s="1675"/>
      <c r="F17" s="1675"/>
      <c r="G17" s="1675"/>
      <c r="H17" s="1675"/>
      <c r="I17" s="1675"/>
      <c r="J17" s="1675"/>
      <c r="K17" s="1675"/>
      <c r="L17" s="1675"/>
      <c r="M17" s="1675"/>
      <c r="N17" s="1675"/>
      <c r="O17" s="1675"/>
      <c r="P17" s="1675"/>
      <c r="Q17" s="1883"/>
      <c r="R17" s="1883"/>
      <c r="S17" s="1672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155115</v>
      </c>
      <c r="C18" s="1919"/>
      <c r="D18" s="1676">
        <f>E12</f>
        <v>0</v>
      </c>
      <c r="E18" s="1676">
        <f>G12</f>
        <v>0</v>
      </c>
      <c r="F18" s="1676">
        <f>I12</f>
        <v>40</v>
      </c>
      <c r="G18" s="1676">
        <f>K12</f>
        <v>0</v>
      </c>
      <c r="H18" s="1675"/>
      <c r="I18" s="1676">
        <f>U12</f>
        <v>0</v>
      </c>
      <c r="J18" s="1675"/>
      <c r="K18" s="1676">
        <f>W12</f>
        <v>1</v>
      </c>
      <c r="L18" s="1675"/>
      <c r="M18" s="1676">
        <f>M12</f>
        <v>0</v>
      </c>
      <c r="N18" s="1676">
        <f>O12</f>
        <v>0</v>
      </c>
      <c r="O18" s="1677">
        <f>Q12</f>
        <v>0</v>
      </c>
      <c r="P18" s="1676"/>
      <c r="Q18" s="1920"/>
      <c r="R18" s="1920"/>
      <c r="S18" s="1670"/>
      <c r="T18" s="1912" t="s">
        <v>57</v>
      </c>
      <c r="U18" s="1912"/>
      <c r="V18" s="1920">
        <v>770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523855</v>
      </c>
      <c r="C19" s="1919"/>
      <c r="D19" s="1675">
        <f>D15+D16+D17-D18</f>
        <v>0</v>
      </c>
      <c r="E19" s="1675">
        <f t="shared" ref="E19:N19" si="13">E15+E16+E17-E18</f>
        <v>0</v>
      </c>
      <c r="F19" s="1675">
        <f t="shared" si="13"/>
        <v>13260</v>
      </c>
      <c r="G19" s="1675">
        <f t="shared" si="13"/>
        <v>0</v>
      </c>
      <c r="H19" s="1675">
        <f t="shared" si="13"/>
        <v>72</v>
      </c>
      <c r="I19" s="1675">
        <f t="shared" si="13"/>
        <v>12</v>
      </c>
      <c r="J19" s="1675">
        <f t="shared" si="13"/>
        <v>4</v>
      </c>
      <c r="K19" s="1675">
        <f t="shared" si="13"/>
        <v>68</v>
      </c>
      <c r="L19" s="1675">
        <f t="shared" si="13"/>
        <v>0</v>
      </c>
      <c r="M19" s="1675">
        <f t="shared" si="13"/>
        <v>0</v>
      </c>
      <c r="N19" s="1675">
        <f t="shared" si="13"/>
        <v>0</v>
      </c>
      <c r="O19" s="1675">
        <f>O15+O16+O17-O18</f>
        <v>0</v>
      </c>
      <c r="P19" s="1675">
        <f t="shared" ref="P19:Q19" si="14">P15+P16+P17-P18</f>
        <v>100</v>
      </c>
      <c r="Q19" s="1918">
        <f t="shared" si="14"/>
        <v>10</v>
      </c>
      <c r="R19" s="1919"/>
      <c r="S19" s="1670">
        <f>S15+S16-S17-S18</f>
        <v>2</v>
      </c>
      <c r="T19" s="1914" t="s">
        <v>48</v>
      </c>
      <c r="U19" s="49" t="s">
        <v>58</v>
      </c>
      <c r="V19" s="1920">
        <v>100000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504210.4375</v>
      </c>
      <c r="C20" s="1945"/>
      <c r="D20" s="290">
        <f>D19*66.41</f>
        <v>0</v>
      </c>
      <c r="E20" s="290">
        <f>27.9368*E19</f>
        <v>0</v>
      </c>
      <c r="F20" s="290">
        <f>18.31*F19</f>
        <v>242790.59999999998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786195.03749999998</v>
      </c>
      <c r="C21" s="1951"/>
      <c r="O21" s="1679"/>
      <c r="P21" s="1679"/>
      <c r="Q21" s="1679"/>
      <c r="R21" s="1679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100000</v>
      </c>
      <c r="D22" s="1949">
        <v>100000</v>
      </c>
      <c r="E22" s="1949">
        <v>350000</v>
      </c>
      <c r="F22" s="1949">
        <f>C22-D22+E22</f>
        <v>350000</v>
      </c>
      <c r="G22" s="1679"/>
      <c r="Q22" s="1679"/>
      <c r="R22" s="1679"/>
      <c r="T22" s="1909" t="s">
        <v>83</v>
      </c>
      <c r="U22" s="50" t="s">
        <v>60</v>
      </c>
      <c r="V22" s="1920">
        <v>89300</v>
      </c>
      <c r="W22" s="1920"/>
      <c r="X22" s="1920"/>
      <c r="Y22" s="1927"/>
    </row>
    <row r="23" spans="1:25" ht="39.75" customHeight="1" x14ac:dyDescent="0.25">
      <c r="A23" s="1679"/>
      <c r="B23" s="1947"/>
      <c r="C23" s="1950"/>
      <c r="D23" s="1950"/>
      <c r="E23" s="1950"/>
      <c r="F23" s="1950"/>
      <c r="G23" s="1679"/>
      <c r="Q23" s="1679"/>
      <c r="R23" s="1679"/>
      <c r="T23" s="1910"/>
      <c r="U23" s="50" t="s">
        <v>61</v>
      </c>
      <c r="V23" s="1920">
        <v>100000</v>
      </c>
      <c r="W23" s="1920"/>
      <c r="X23" s="1920"/>
      <c r="Y23" s="1927"/>
    </row>
    <row r="24" spans="1:25" ht="48" customHeight="1" x14ac:dyDescent="0.25">
      <c r="A24" s="1679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679"/>
      <c r="Q24" s="1679"/>
      <c r="R24" s="1679"/>
      <c r="T24" s="1893" t="s">
        <v>47</v>
      </c>
      <c r="U24" s="51" t="s">
        <v>62</v>
      </c>
      <c r="V24" s="1921">
        <f>V14+V16+V17-V18-V19-V20-V22+V23-V21</f>
        <v>69872.337499999994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14027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679"/>
      <c r="J33" s="1679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BDEA-41AB-4AF1-A63B-63E095D5EE9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685"/>
      <c r="B3" s="1685"/>
      <c r="C3" s="1685"/>
      <c r="D3" s="1685"/>
      <c r="E3" s="1685"/>
      <c r="F3" s="1685"/>
      <c r="G3" s="1685"/>
      <c r="H3" s="1685"/>
      <c r="I3" s="1685"/>
      <c r="J3" s="1685"/>
      <c r="K3" s="1685"/>
      <c r="L3" s="1685"/>
      <c r="M3" s="1685"/>
      <c r="N3" s="1685"/>
      <c r="O3" s="1685"/>
      <c r="P3" s="1685"/>
      <c r="Q3" s="1685"/>
      <c r="R3" s="1685"/>
      <c r="S3" s="1685"/>
      <c r="T3" s="1900" t="s">
        <v>524</v>
      </c>
      <c r="U3" s="1900"/>
      <c r="V3" s="1900"/>
      <c r="W3" s="1900"/>
      <c r="X3" s="1900"/>
      <c r="Y3" s="1900"/>
    </row>
    <row r="4" spans="1:25" s="168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685" customFormat="1" ht="25.5" customHeight="1" x14ac:dyDescent="0.25">
      <c r="A5" s="1901"/>
      <c r="B5" s="1901"/>
      <c r="C5" s="1684" t="s">
        <v>42</v>
      </c>
      <c r="D5" s="1684" t="s">
        <v>43</v>
      </c>
      <c r="E5" s="1684" t="s">
        <v>42</v>
      </c>
      <c r="F5" s="1684" t="s">
        <v>43</v>
      </c>
      <c r="G5" s="1684" t="s">
        <v>42</v>
      </c>
      <c r="H5" s="1684" t="s">
        <v>43</v>
      </c>
      <c r="I5" s="1684" t="s">
        <v>42</v>
      </c>
      <c r="J5" s="1684" t="s">
        <v>43</v>
      </c>
      <c r="K5" s="1684" t="s">
        <v>42</v>
      </c>
      <c r="L5" s="1684" t="s">
        <v>43</v>
      </c>
      <c r="M5" s="1684" t="s">
        <v>42</v>
      </c>
      <c r="N5" s="1684" t="s">
        <v>43</v>
      </c>
      <c r="O5" s="1684" t="s">
        <v>42</v>
      </c>
      <c r="P5" s="1684" t="s">
        <v>43</v>
      </c>
      <c r="Q5" s="1684" t="s">
        <v>42</v>
      </c>
      <c r="R5" s="16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683" t="s">
        <v>71</v>
      </c>
      <c r="C6" s="1681">
        <v>99892</v>
      </c>
      <c r="D6" s="1680">
        <f t="shared" ref="D6:D11" si="0">0.9725*C6</f>
        <v>97144.97</v>
      </c>
      <c r="E6" s="1681"/>
      <c r="F6" s="1680">
        <f>67.1*E6</f>
        <v>0</v>
      </c>
      <c r="G6" s="1681"/>
      <c r="H6" s="1681">
        <f>28.2*G6</f>
        <v>0</v>
      </c>
      <c r="I6" s="1681">
        <v>240</v>
      </c>
      <c r="J6" s="1681">
        <f>18.5*I6</f>
        <v>4440</v>
      </c>
      <c r="K6" s="1681"/>
      <c r="L6" s="1680">
        <f>28.2368*K6</f>
        <v>0</v>
      </c>
      <c r="M6" s="1681"/>
      <c r="N6" s="1680">
        <f>M6*47.6525</f>
        <v>0</v>
      </c>
      <c r="O6" s="1681"/>
      <c r="P6" s="1680">
        <f>O6*8.9</f>
        <v>0</v>
      </c>
      <c r="Q6" s="1680"/>
      <c r="R6" s="1680">
        <f>241*Q6</f>
        <v>0</v>
      </c>
      <c r="S6" s="1681"/>
      <c r="T6" s="1681">
        <f>241*S6</f>
        <v>0</v>
      </c>
      <c r="U6" s="1681">
        <v>2</v>
      </c>
      <c r="V6" s="1681">
        <f>332*U6</f>
        <v>664</v>
      </c>
      <c r="W6" s="1681"/>
      <c r="X6" s="19">
        <f>W6*100</f>
        <v>0</v>
      </c>
      <c r="Y6" s="20">
        <f t="shared" ref="Y6:Y12" si="1">D6+F6+H6+J6+L6+N6+P6+R6+T6+V6+X6</f>
        <v>102248.97</v>
      </c>
    </row>
    <row r="7" spans="1:25" ht="31.5" customHeight="1" x14ac:dyDescent="0.25">
      <c r="A7" s="12">
        <v>1984225578</v>
      </c>
      <c r="B7" s="1683" t="s">
        <v>509</v>
      </c>
      <c r="C7" s="1681">
        <v>85200</v>
      </c>
      <c r="D7" s="1680">
        <f t="shared" si="0"/>
        <v>82857</v>
      </c>
      <c r="E7" s="1681"/>
      <c r="F7" s="1681">
        <f t="shared" ref="F7:F11" si="2">67.1*E7</f>
        <v>0</v>
      </c>
      <c r="G7" s="1681"/>
      <c r="H7" s="1681">
        <f t="shared" ref="H7:H11" si="3">28.2*G7</f>
        <v>0</v>
      </c>
      <c r="I7" s="1681">
        <v>500</v>
      </c>
      <c r="J7" s="1681">
        <f t="shared" ref="J7:J11" si="4">18.5*I7</f>
        <v>9250</v>
      </c>
      <c r="K7" s="1681"/>
      <c r="L7" s="1680">
        <f t="shared" ref="L7:L11" si="5">28.2368*K7</f>
        <v>0</v>
      </c>
      <c r="M7" s="1681"/>
      <c r="N7" s="1680">
        <f t="shared" ref="N7:N11" si="6">M7*47.6525</f>
        <v>0</v>
      </c>
      <c r="O7" s="1681"/>
      <c r="P7" s="1680">
        <f t="shared" ref="P7:P11" si="7">O7*8.9</f>
        <v>0</v>
      </c>
      <c r="Q7" s="1680"/>
      <c r="R7" s="1680">
        <f t="shared" ref="R7:R11" si="8">241*Q7</f>
        <v>0</v>
      </c>
      <c r="S7" s="1681"/>
      <c r="T7" s="1681">
        <f t="shared" ref="T7:T10" si="9">241*S7</f>
        <v>0</v>
      </c>
      <c r="U7" s="1681"/>
      <c r="V7" s="1681">
        <f t="shared" ref="V7:V11" si="10">332*U7</f>
        <v>0</v>
      </c>
      <c r="W7" s="1681">
        <v>1</v>
      </c>
      <c r="X7" s="19">
        <f t="shared" ref="X7:X11" si="11">W7*100</f>
        <v>100</v>
      </c>
      <c r="Y7" s="20">
        <f t="shared" si="1"/>
        <v>92207</v>
      </c>
    </row>
    <row r="8" spans="1:25" ht="35.25" customHeight="1" x14ac:dyDescent="0.25">
      <c r="A8" s="12">
        <v>1967020280</v>
      </c>
      <c r="B8" s="1683" t="s">
        <v>427</v>
      </c>
      <c r="C8" s="1681">
        <v>95179</v>
      </c>
      <c r="D8" s="1680">
        <f t="shared" si="0"/>
        <v>92561.577499999999</v>
      </c>
      <c r="E8" s="1681"/>
      <c r="F8" s="1681">
        <f t="shared" si="2"/>
        <v>0</v>
      </c>
      <c r="G8" s="1681"/>
      <c r="H8" s="1680">
        <f t="shared" si="3"/>
        <v>0</v>
      </c>
      <c r="I8" s="1681">
        <v>200</v>
      </c>
      <c r="J8" s="1681">
        <f t="shared" si="4"/>
        <v>3700</v>
      </c>
      <c r="K8" s="1681"/>
      <c r="L8" s="1680">
        <f t="shared" si="5"/>
        <v>0</v>
      </c>
      <c r="M8" s="1681"/>
      <c r="N8" s="1680">
        <f t="shared" si="6"/>
        <v>0</v>
      </c>
      <c r="O8" s="1681"/>
      <c r="P8" s="1680">
        <f t="shared" si="7"/>
        <v>0</v>
      </c>
      <c r="Q8" s="1680"/>
      <c r="R8" s="1680">
        <f t="shared" si="8"/>
        <v>0</v>
      </c>
      <c r="S8" s="1681"/>
      <c r="T8" s="1681">
        <f t="shared" si="9"/>
        <v>0</v>
      </c>
      <c r="U8" s="1681"/>
      <c r="V8" s="1681">
        <f t="shared" si="10"/>
        <v>0</v>
      </c>
      <c r="W8" s="1681"/>
      <c r="X8" s="19">
        <f t="shared" si="11"/>
        <v>0</v>
      </c>
      <c r="Y8" s="20">
        <f t="shared" si="1"/>
        <v>96261.577499999999</v>
      </c>
    </row>
    <row r="9" spans="1:25" ht="38.25" customHeight="1" x14ac:dyDescent="0.25">
      <c r="A9" s="12">
        <v>1984225580</v>
      </c>
      <c r="B9" s="1683" t="s">
        <v>75</v>
      </c>
      <c r="C9" s="1681">
        <v>96095</v>
      </c>
      <c r="D9" s="1680">
        <f t="shared" si="0"/>
        <v>93452.387499999997</v>
      </c>
      <c r="E9" s="1681"/>
      <c r="F9" s="1681">
        <f t="shared" si="2"/>
        <v>0</v>
      </c>
      <c r="G9" s="1681"/>
      <c r="H9" s="1681">
        <f t="shared" si="3"/>
        <v>0</v>
      </c>
      <c r="I9" s="1681">
        <v>750</v>
      </c>
      <c r="J9" s="1681">
        <f t="shared" si="4"/>
        <v>13875</v>
      </c>
      <c r="K9" s="1681"/>
      <c r="L9" s="1680">
        <f t="shared" si="5"/>
        <v>0</v>
      </c>
      <c r="M9" s="1681"/>
      <c r="N9" s="1680">
        <f t="shared" si="6"/>
        <v>0</v>
      </c>
      <c r="O9" s="1681"/>
      <c r="P9" s="1680">
        <f t="shared" si="7"/>
        <v>0</v>
      </c>
      <c r="Q9" s="1680"/>
      <c r="R9" s="1680">
        <f t="shared" si="8"/>
        <v>0</v>
      </c>
      <c r="S9" s="1681"/>
      <c r="T9" s="1681">
        <f t="shared" si="9"/>
        <v>0</v>
      </c>
      <c r="U9" s="1681"/>
      <c r="V9" s="1681">
        <f t="shared" si="10"/>
        <v>0</v>
      </c>
      <c r="W9" s="1681"/>
      <c r="X9" s="19">
        <f t="shared" si="11"/>
        <v>0</v>
      </c>
      <c r="Y9" s="20">
        <f t="shared" si="1"/>
        <v>107327.3875</v>
      </c>
    </row>
    <row r="10" spans="1:25" ht="35.25" customHeight="1" x14ac:dyDescent="0.25">
      <c r="A10" s="12">
        <v>1409935199</v>
      </c>
      <c r="C10" s="1681"/>
      <c r="D10" s="1680">
        <f t="shared" si="0"/>
        <v>0</v>
      </c>
      <c r="E10" s="1681"/>
      <c r="F10" s="1681">
        <f t="shared" si="2"/>
        <v>0</v>
      </c>
      <c r="G10" s="1681"/>
      <c r="H10" s="1681">
        <f t="shared" si="3"/>
        <v>0</v>
      </c>
      <c r="I10" s="1681"/>
      <c r="J10" s="1681">
        <f t="shared" si="4"/>
        <v>0</v>
      </c>
      <c r="K10" s="1681"/>
      <c r="L10" s="1680">
        <f t="shared" si="5"/>
        <v>0</v>
      </c>
      <c r="M10" s="1681"/>
      <c r="N10" s="1680">
        <f t="shared" si="6"/>
        <v>0</v>
      </c>
      <c r="O10" s="1681"/>
      <c r="P10" s="1680">
        <f t="shared" si="7"/>
        <v>0</v>
      </c>
      <c r="Q10" s="1680"/>
      <c r="R10" s="1680">
        <f t="shared" si="8"/>
        <v>0</v>
      </c>
      <c r="S10" s="1681"/>
      <c r="T10" s="1681">
        <f t="shared" si="9"/>
        <v>0</v>
      </c>
      <c r="U10" s="1681"/>
      <c r="V10" s="1681">
        <f t="shared" si="10"/>
        <v>0</v>
      </c>
      <c r="W10" s="168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82"/>
      <c r="C11" s="1681"/>
      <c r="D11" s="1680">
        <f t="shared" si="0"/>
        <v>0</v>
      </c>
      <c r="E11" s="1681"/>
      <c r="F11" s="1681">
        <f t="shared" si="2"/>
        <v>0</v>
      </c>
      <c r="G11" s="1681"/>
      <c r="H11" s="1681">
        <f t="shared" si="3"/>
        <v>0</v>
      </c>
      <c r="I11" s="1681"/>
      <c r="J11" s="1681">
        <f t="shared" si="4"/>
        <v>0</v>
      </c>
      <c r="K11" s="1681"/>
      <c r="L11" s="1680">
        <f t="shared" si="5"/>
        <v>0</v>
      </c>
      <c r="M11" s="1681"/>
      <c r="N11" s="1680">
        <f t="shared" si="6"/>
        <v>0</v>
      </c>
      <c r="O11" s="1681"/>
      <c r="P11" s="1680">
        <f t="shared" si="7"/>
        <v>0</v>
      </c>
      <c r="Q11" s="1680"/>
      <c r="R11" s="1680">
        <f t="shared" si="8"/>
        <v>0</v>
      </c>
      <c r="S11" s="1681"/>
      <c r="T11" s="1681">
        <f>341*S11</f>
        <v>0</v>
      </c>
      <c r="U11" s="1681"/>
      <c r="V11" s="1681">
        <f t="shared" si="10"/>
        <v>0</v>
      </c>
      <c r="W11" s="168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376366</v>
      </c>
      <c r="D12" s="18">
        <f t="shared" si="12"/>
        <v>366015.935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1690</v>
      </c>
      <c r="J12" s="18">
        <f t="shared" si="12"/>
        <v>31265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1"/>
        <v>398044.935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89" t="s">
        <v>174</v>
      </c>
      <c r="K14" s="30" t="s">
        <v>36</v>
      </c>
      <c r="L14" s="1689" t="s">
        <v>403</v>
      </c>
      <c r="M14" s="30" t="s">
        <v>429</v>
      </c>
      <c r="N14" s="30" t="s">
        <v>442</v>
      </c>
      <c r="O14" s="1689" t="s">
        <v>114</v>
      </c>
      <c r="P14" s="30" t="s">
        <v>70</v>
      </c>
      <c r="Q14" s="1958" t="s">
        <v>479</v>
      </c>
      <c r="R14" s="1959"/>
      <c r="S14" s="1689" t="s">
        <v>401</v>
      </c>
      <c r="T14" s="1893" t="s">
        <v>46</v>
      </c>
      <c r="U14" s="1683" t="s">
        <v>176</v>
      </c>
      <c r="V14" s="1918">
        <v>69872</v>
      </c>
      <c r="W14" s="1926"/>
      <c r="X14" s="1919"/>
    </row>
    <row r="15" spans="1:25" ht="22.5" customHeight="1" x14ac:dyDescent="0.25">
      <c r="A15" s="100" t="s">
        <v>38</v>
      </c>
      <c r="B15" s="1918">
        <v>523855</v>
      </c>
      <c r="C15" s="1919"/>
      <c r="D15" s="1686">
        <v>0</v>
      </c>
      <c r="E15" s="1686">
        <v>0</v>
      </c>
      <c r="F15" s="1686">
        <v>13260</v>
      </c>
      <c r="G15" s="1686">
        <v>0</v>
      </c>
      <c r="H15" s="1686">
        <v>72</v>
      </c>
      <c r="I15" s="1686">
        <v>12</v>
      </c>
      <c r="J15" s="1686">
        <v>4</v>
      </c>
      <c r="K15" s="1686">
        <v>68</v>
      </c>
      <c r="L15" s="1686">
        <v>0</v>
      </c>
      <c r="M15" s="1686">
        <v>0</v>
      </c>
      <c r="N15" s="1686">
        <v>0</v>
      </c>
      <c r="O15" s="1686">
        <v>0</v>
      </c>
      <c r="P15" s="1686">
        <v>100</v>
      </c>
      <c r="Q15" s="1918">
        <v>10</v>
      </c>
      <c r="R15" s="1919"/>
      <c r="S15" s="1683">
        <v>2</v>
      </c>
      <c r="T15" s="1893"/>
      <c r="U15" s="1683" t="s">
        <v>64</v>
      </c>
      <c r="V15" s="1920">
        <v>14027</v>
      </c>
      <c r="W15" s="1920"/>
      <c r="X15" s="1920"/>
    </row>
    <row r="16" spans="1:25" ht="24.75" customHeight="1" x14ac:dyDescent="0.25">
      <c r="A16" s="100" t="s">
        <v>39</v>
      </c>
      <c r="B16" s="1918">
        <v>480072</v>
      </c>
      <c r="C16" s="1919"/>
      <c r="D16" s="1686"/>
      <c r="E16" s="1686"/>
      <c r="F16" s="1686">
        <v>2000</v>
      </c>
      <c r="G16" s="1686"/>
      <c r="H16" s="1686"/>
      <c r="I16" s="1686"/>
      <c r="J16" s="1686"/>
      <c r="K16" s="1686"/>
      <c r="L16" s="1686"/>
      <c r="M16" s="1686"/>
      <c r="N16" s="1686"/>
      <c r="O16" s="1686"/>
      <c r="P16" s="1686"/>
      <c r="Q16" s="1920"/>
      <c r="R16" s="1920"/>
      <c r="S16" s="1686"/>
      <c r="T16" s="1912" t="s">
        <v>55</v>
      </c>
      <c r="U16" s="1912"/>
      <c r="V16" s="1925">
        <f>Y12</f>
        <v>398044.935</v>
      </c>
      <c r="W16" s="1925"/>
      <c r="X16" s="1920"/>
    </row>
    <row r="17" spans="1:25" ht="28.5" customHeight="1" x14ac:dyDescent="0.25">
      <c r="A17" s="101" t="s">
        <v>44</v>
      </c>
      <c r="B17" s="1918">
        <v>2029</v>
      </c>
      <c r="C17" s="1919"/>
      <c r="D17" s="1686"/>
      <c r="E17" s="1686"/>
      <c r="F17" s="1686"/>
      <c r="G17" s="1686"/>
      <c r="H17" s="1686"/>
      <c r="I17" s="1686"/>
      <c r="J17" s="1686"/>
      <c r="K17" s="1686"/>
      <c r="L17" s="1686"/>
      <c r="M17" s="1686"/>
      <c r="N17" s="1686"/>
      <c r="O17" s="1686"/>
      <c r="P17" s="1686"/>
      <c r="Q17" s="1883"/>
      <c r="R17" s="1883"/>
      <c r="S17" s="1682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376366</v>
      </c>
      <c r="C18" s="1919"/>
      <c r="D18" s="1688">
        <f>E12</f>
        <v>0</v>
      </c>
      <c r="E18" s="1688">
        <f>G12</f>
        <v>0</v>
      </c>
      <c r="F18" s="1688">
        <f>I12</f>
        <v>1690</v>
      </c>
      <c r="G18" s="1688">
        <f>K12</f>
        <v>0</v>
      </c>
      <c r="H18" s="1686"/>
      <c r="I18" s="1688">
        <f>U12</f>
        <v>2</v>
      </c>
      <c r="J18" s="1686"/>
      <c r="K18" s="1688">
        <f>W12</f>
        <v>1</v>
      </c>
      <c r="L18" s="1686"/>
      <c r="M18" s="1688">
        <f>M12</f>
        <v>0</v>
      </c>
      <c r="N18" s="1688">
        <f>O12</f>
        <v>0</v>
      </c>
      <c r="O18" s="1687">
        <f>Q12</f>
        <v>0</v>
      </c>
      <c r="P18" s="1688"/>
      <c r="Q18" s="1920"/>
      <c r="R18" s="1920"/>
      <c r="S18" s="1683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629590</v>
      </c>
      <c r="C19" s="1919"/>
      <c r="D19" s="1686">
        <f>D15+D16+D17-D18</f>
        <v>0</v>
      </c>
      <c r="E19" s="1686">
        <f t="shared" ref="E19:N19" si="13">E15+E16+E17-E18</f>
        <v>0</v>
      </c>
      <c r="F19" s="1686">
        <f t="shared" si="13"/>
        <v>13570</v>
      </c>
      <c r="G19" s="1686">
        <f t="shared" si="13"/>
        <v>0</v>
      </c>
      <c r="H19" s="1686">
        <f t="shared" si="13"/>
        <v>72</v>
      </c>
      <c r="I19" s="1686">
        <f t="shared" si="13"/>
        <v>10</v>
      </c>
      <c r="J19" s="1686">
        <f t="shared" si="13"/>
        <v>4</v>
      </c>
      <c r="K19" s="1686">
        <f t="shared" si="13"/>
        <v>67</v>
      </c>
      <c r="L19" s="1686">
        <f t="shared" si="13"/>
        <v>0</v>
      </c>
      <c r="M19" s="1686">
        <f t="shared" si="13"/>
        <v>0</v>
      </c>
      <c r="N19" s="1686">
        <f t="shared" si="13"/>
        <v>0</v>
      </c>
      <c r="O19" s="1686">
        <f>O15+O16+O17-O18</f>
        <v>0</v>
      </c>
      <c r="P19" s="1686">
        <f t="shared" ref="P19:Q19" si="14">P15+P16+P17-P18</f>
        <v>100</v>
      </c>
      <c r="Q19" s="1918">
        <f t="shared" si="14"/>
        <v>10</v>
      </c>
      <c r="R19" s="1919"/>
      <c r="S19" s="1683">
        <f>S15+S16-S17-S18</f>
        <v>2</v>
      </c>
      <c r="T19" s="1914" t="s">
        <v>48</v>
      </c>
      <c r="U19" s="49" t="s">
        <v>58</v>
      </c>
      <c r="V19" s="1920">
        <v>350000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605980.375</v>
      </c>
      <c r="C20" s="1945"/>
      <c r="D20" s="290">
        <f>D19*66.41</f>
        <v>0</v>
      </c>
      <c r="E20" s="290">
        <f>27.9368*E19</f>
        <v>0</v>
      </c>
      <c r="F20" s="290">
        <f>18.31*F19</f>
        <v>248466.69999999998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>
        <v>98710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892895.07499999995</v>
      </c>
      <c r="C21" s="1951"/>
      <c r="O21" s="1690"/>
      <c r="P21" s="1690"/>
      <c r="Q21" s="1690"/>
      <c r="R21" s="1690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350000</v>
      </c>
      <c r="D22" s="1949">
        <v>350000</v>
      </c>
      <c r="E22" s="1949">
        <v>400000</v>
      </c>
      <c r="F22" s="1949">
        <f>C22-D22+E22</f>
        <v>400000</v>
      </c>
      <c r="G22" s="1690"/>
      <c r="Q22" s="1690"/>
      <c r="R22" s="1690"/>
      <c r="T22" s="1909" t="s">
        <v>83</v>
      </c>
      <c r="U22" s="50" t="s">
        <v>60</v>
      </c>
      <c r="V22" s="1920">
        <v>445060</v>
      </c>
      <c r="W22" s="1920"/>
      <c r="X22" s="1920"/>
      <c r="Y22" s="1927"/>
    </row>
    <row r="23" spans="1:25" ht="39.75" customHeight="1" x14ac:dyDescent="0.25">
      <c r="A23" s="1690"/>
      <c r="B23" s="1947"/>
      <c r="C23" s="1950"/>
      <c r="D23" s="1950"/>
      <c r="E23" s="1950"/>
      <c r="F23" s="1950"/>
      <c r="G23" s="1690"/>
      <c r="Q23" s="1690"/>
      <c r="R23" s="1690"/>
      <c r="T23" s="1910"/>
      <c r="U23" s="50" t="s">
        <v>61</v>
      </c>
      <c r="V23" s="1920">
        <v>448710</v>
      </c>
      <c r="W23" s="1920"/>
      <c r="X23" s="1920"/>
      <c r="Y23" s="1927"/>
    </row>
    <row r="24" spans="1:25" ht="48" customHeight="1" x14ac:dyDescent="0.25">
      <c r="A24" s="1690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690"/>
      <c r="Q24" s="1690"/>
      <c r="R24" s="1690"/>
      <c r="T24" s="1893" t="s">
        <v>47</v>
      </c>
      <c r="U24" s="51" t="s">
        <v>62</v>
      </c>
      <c r="V24" s="1921">
        <f>V14+V16+V17-V18-V19-V20-V22+V23-V21</f>
        <v>22336.934999999998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10377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690"/>
      <c r="J33" s="1690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6E095-AC56-4A76-82B0-9876C596CEAF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691"/>
      <c r="B3" s="1691"/>
      <c r="C3" s="1691"/>
      <c r="D3" s="1691"/>
      <c r="E3" s="1691"/>
      <c r="F3" s="1691"/>
      <c r="G3" s="1691"/>
      <c r="H3" s="1691"/>
      <c r="I3" s="1691"/>
      <c r="J3" s="1691"/>
      <c r="K3" s="1691"/>
      <c r="L3" s="1691"/>
      <c r="M3" s="1691"/>
      <c r="N3" s="1691"/>
      <c r="O3" s="1691"/>
      <c r="P3" s="1691"/>
      <c r="Q3" s="1691"/>
      <c r="R3" s="1691"/>
      <c r="S3" s="1691"/>
      <c r="T3" s="1900" t="s">
        <v>525</v>
      </c>
      <c r="U3" s="1900"/>
      <c r="V3" s="1900"/>
      <c r="W3" s="1900"/>
      <c r="X3" s="1900"/>
      <c r="Y3" s="1900"/>
    </row>
    <row r="4" spans="1:25" s="1691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691" customFormat="1" ht="25.5" customHeight="1" x14ac:dyDescent="0.25">
      <c r="A5" s="1901"/>
      <c r="B5" s="1901"/>
      <c r="C5" s="1693" t="s">
        <v>42</v>
      </c>
      <c r="D5" s="1693" t="s">
        <v>43</v>
      </c>
      <c r="E5" s="1693" t="s">
        <v>42</v>
      </c>
      <c r="F5" s="1693" t="s">
        <v>43</v>
      </c>
      <c r="G5" s="1693" t="s">
        <v>42</v>
      </c>
      <c r="H5" s="1693" t="s">
        <v>43</v>
      </c>
      <c r="I5" s="1693" t="s">
        <v>42</v>
      </c>
      <c r="J5" s="1693" t="s">
        <v>43</v>
      </c>
      <c r="K5" s="1693" t="s">
        <v>42</v>
      </c>
      <c r="L5" s="1693" t="s">
        <v>43</v>
      </c>
      <c r="M5" s="1693" t="s">
        <v>42</v>
      </c>
      <c r="N5" s="1693" t="s">
        <v>43</v>
      </c>
      <c r="O5" s="1693" t="s">
        <v>42</v>
      </c>
      <c r="P5" s="1693" t="s">
        <v>43</v>
      </c>
      <c r="Q5" s="1693" t="s">
        <v>42</v>
      </c>
      <c r="R5" s="16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692" t="s">
        <v>71</v>
      </c>
      <c r="C6" s="1695">
        <v>85642</v>
      </c>
      <c r="D6" s="1696">
        <f t="shared" ref="D6:D11" si="0">0.9725*C6</f>
        <v>83286.845000000001</v>
      </c>
      <c r="E6" s="1695"/>
      <c r="F6" s="1696">
        <f>67.1*E6</f>
        <v>0</v>
      </c>
      <c r="G6" s="1695"/>
      <c r="H6" s="1695">
        <f>28.2*G6</f>
        <v>0</v>
      </c>
      <c r="I6" s="1695">
        <v>260</v>
      </c>
      <c r="J6" s="1695">
        <f>18.5*I6</f>
        <v>4810</v>
      </c>
      <c r="K6" s="1695"/>
      <c r="L6" s="1696">
        <f>28.2368*K6</f>
        <v>0</v>
      </c>
      <c r="M6" s="1695"/>
      <c r="N6" s="1696">
        <f>M6*47.6525</f>
        <v>0</v>
      </c>
      <c r="O6" s="1695"/>
      <c r="P6" s="1696">
        <f>O6*8.9</f>
        <v>0</v>
      </c>
      <c r="Q6" s="1696"/>
      <c r="R6" s="1696">
        <f>241*Q6</f>
        <v>0</v>
      </c>
      <c r="S6" s="1695"/>
      <c r="T6" s="1695">
        <f>241*S6</f>
        <v>0</v>
      </c>
      <c r="U6" s="1695"/>
      <c r="V6" s="1695">
        <f>332*U6</f>
        <v>0</v>
      </c>
      <c r="W6" s="1695"/>
      <c r="X6" s="19">
        <f>W6*100</f>
        <v>0</v>
      </c>
      <c r="Y6" s="20">
        <f t="shared" ref="Y6:Y12" si="1">D6+F6+H6+J6+L6+N6+P6+R6+T6+V6+X6</f>
        <v>88096.845000000001</v>
      </c>
    </row>
    <row r="7" spans="1:25" ht="31.5" customHeight="1" x14ac:dyDescent="0.25">
      <c r="A7" s="12">
        <v>1984225578</v>
      </c>
      <c r="B7" s="1692" t="s">
        <v>509</v>
      </c>
      <c r="C7" s="1695">
        <v>103523</v>
      </c>
      <c r="D7" s="1696">
        <f t="shared" si="0"/>
        <v>100676.11750000001</v>
      </c>
      <c r="E7" s="1695"/>
      <c r="F7" s="1695">
        <f t="shared" ref="F7:F11" si="2">67.1*E7</f>
        <v>0</v>
      </c>
      <c r="G7" s="1695"/>
      <c r="H7" s="1695">
        <f t="shared" ref="H7:H11" si="3">28.2*G7</f>
        <v>0</v>
      </c>
      <c r="I7" s="1695"/>
      <c r="J7" s="1695">
        <f t="shared" ref="J7:J11" si="4">18.5*I7</f>
        <v>0</v>
      </c>
      <c r="K7" s="1695"/>
      <c r="L7" s="1696">
        <f t="shared" ref="L7:L11" si="5">28.2368*K7</f>
        <v>0</v>
      </c>
      <c r="M7" s="1695"/>
      <c r="N7" s="1696">
        <f t="shared" ref="N7:N11" si="6">M7*47.6525</f>
        <v>0</v>
      </c>
      <c r="O7" s="1695"/>
      <c r="P7" s="1696">
        <f t="shared" ref="P7:P11" si="7">O7*8.9</f>
        <v>0</v>
      </c>
      <c r="Q7" s="1696"/>
      <c r="R7" s="1696">
        <f t="shared" ref="R7:R11" si="8">241*Q7</f>
        <v>0</v>
      </c>
      <c r="S7" s="1695"/>
      <c r="T7" s="1695">
        <f t="shared" ref="T7:T10" si="9">241*S7</f>
        <v>0</v>
      </c>
      <c r="U7" s="1695"/>
      <c r="V7" s="1695">
        <f t="shared" ref="V7:V11" si="10">332*U7</f>
        <v>0</v>
      </c>
      <c r="W7" s="1695"/>
      <c r="X7" s="19">
        <f t="shared" ref="X7:X11" si="11">W7*100</f>
        <v>0</v>
      </c>
      <c r="Y7" s="20">
        <f t="shared" si="1"/>
        <v>100676.11750000001</v>
      </c>
    </row>
    <row r="8" spans="1:25" ht="35.25" customHeight="1" x14ac:dyDescent="0.25">
      <c r="A8" s="12">
        <v>1967020280</v>
      </c>
      <c r="B8" s="1692" t="s">
        <v>427</v>
      </c>
      <c r="C8" s="1695">
        <v>93245</v>
      </c>
      <c r="D8" s="1696">
        <f t="shared" si="0"/>
        <v>90680.762499999997</v>
      </c>
      <c r="E8" s="1695"/>
      <c r="F8" s="1695">
        <f t="shared" si="2"/>
        <v>0</v>
      </c>
      <c r="G8" s="1695"/>
      <c r="H8" s="1696">
        <f t="shared" si="3"/>
        <v>0</v>
      </c>
      <c r="I8" s="1695">
        <v>550</v>
      </c>
      <c r="J8" s="1695">
        <f t="shared" si="4"/>
        <v>10175</v>
      </c>
      <c r="K8" s="1695"/>
      <c r="L8" s="1696">
        <f t="shared" si="5"/>
        <v>0</v>
      </c>
      <c r="M8" s="1695"/>
      <c r="N8" s="1696">
        <f t="shared" si="6"/>
        <v>0</v>
      </c>
      <c r="O8" s="1695"/>
      <c r="P8" s="1696">
        <f t="shared" si="7"/>
        <v>0</v>
      </c>
      <c r="Q8" s="1696"/>
      <c r="R8" s="1696">
        <f t="shared" si="8"/>
        <v>0</v>
      </c>
      <c r="S8" s="1695"/>
      <c r="T8" s="1695">
        <f t="shared" si="9"/>
        <v>0</v>
      </c>
      <c r="U8" s="1695"/>
      <c r="V8" s="1695">
        <f t="shared" si="10"/>
        <v>0</v>
      </c>
      <c r="W8" s="1695"/>
      <c r="X8" s="19">
        <f t="shared" si="11"/>
        <v>0</v>
      </c>
      <c r="Y8" s="20">
        <f t="shared" si="1"/>
        <v>100855.7625</v>
      </c>
    </row>
    <row r="9" spans="1:25" ht="38.25" customHeight="1" x14ac:dyDescent="0.25">
      <c r="A9" s="12">
        <v>1984225580</v>
      </c>
      <c r="B9" s="1692" t="s">
        <v>75</v>
      </c>
      <c r="C9" s="1695">
        <v>21269</v>
      </c>
      <c r="D9" s="1696">
        <f t="shared" si="0"/>
        <v>20684.102500000001</v>
      </c>
      <c r="E9" s="1695"/>
      <c r="F9" s="1695">
        <f t="shared" si="2"/>
        <v>0</v>
      </c>
      <c r="G9" s="1695"/>
      <c r="H9" s="1695">
        <f t="shared" si="3"/>
        <v>0</v>
      </c>
      <c r="I9" s="1695">
        <v>1150</v>
      </c>
      <c r="J9" s="1695">
        <f t="shared" si="4"/>
        <v>21275</v>
      </c>
      <c r="K9" s="1695"/>
      <c r="L9" s="1696">
        <f t="shared" si="5"/>
        <v>0</v>
      </c>
      <c r="M9" s="1695"/>
      <c r="N9" s="1696">
        <f t="shared" si="6"/>
        <v>0</v>
      </c>
      <c r="O9" s="1695"/>
      <c r="P9" s="1696">
        <f t="shared" si="7"/>
        <v>0</v>
      </c>
      <c r="Q9" s="1696"/>
      <c r="R9" s="1696">
        <f t="shared" si="8"/>
        <v>0</v>
      </c>
      <c r="S9" s="1695"/>
      <c r="T9" s="1695">
        <f t="shared" si="9"/>
        <v>0</v>
      </c>
      <c r="U9" s="1695"/>
      <c r="V9" s="1695">
        <f t="shared" si="10"/>
        <v>0</v>
      </c>
      <c r="W9" s="1695"/>
      <c r="X9" s="19">
        <f t="shared" si="11"/>
        <v>0</v>
      </c>
      <c r="Y9" s="20">
        <f t="shared" si="1"/>
        <v>41959.102500000001</v>
      </c>
    </row>
    <row r="10" spans="1:25" ht="35.25" customHeight="1" x14ac:dyDescent="0.25">
      <c r="A10" s="12">
        <v>1409935199</v>
      </c>
      <c r="C10" s="1695"/>
      <c r="D10" s="1696">
        <f t="shared" si="0"/>
        <v>0</v>
      </c>
      <c r="E10" s="1695"/>
      <c r="F10" s="1695">
        <f t="shared" si="2"/>
        <v>0</v>
      </c>
      <c r="G10" s="1695"/>
      <c r="H10" s="1695">
        <f t="shared" si="3"/>
        <v>0</v>
      </c>
      <c r="I10" s="1695"/>
      <c r="J10" s="1695">
        <f t="shared" si="4"/>
        <v>0</v>
      </c>
      <c r="K10" s="1695"/>
      <c r="L10" s="1696">
        <f t="shared" si="5"/>
        <v>0</v>
      </c>
      <c r="M10" s="1695"/>
      <c r="N10" s="1696">
        <f t="shared" si="6"/>
        <v>0</v>
      </c>
      <c r="O10" s="1695"/>
      <c r="P10" s="1696">
        <f t="shared" si="7"/>
        <v>0</v>
      </c>
      <c r="Q10" s="1696"/>
      <c r="R10" s="1696">
        <f t="shared" si="8"/>
        <v>0</v>
      </c>
      <c r="S10" s="1695"/>
      <c r="T10" s="1695">
        <f t="shared" si="9"/>
        <v>0</v>
      </c>
      <c r="U10" s="1695"/>
      <c r="V10" s="1695">
        <f t="shared" si="10"/>
        <v>0</v>
      </c>
      <c r="W10" s="16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94"/>
      <c r="C11" s="1695"/>
      <c r="D11" s="1696">
        <f t="shared" si="0"/>
        <v>0</v>
      </c>
      <c r="E11" s="1695"/>
      <c r="F11" s="1695">
        <f t="shared" si="2"/>
        <v>0</v>
      </c>
      <c r="G11" s="1695"/>
      <c r="H11" s="1695">
        <f t="shared" si="3"/>
        <v>0</v>
      </c>
      <c r="I11" s="1695"/>
      <c r="J11" s="1695">
        <f t="shared" si="4"/>
        <v>0</v>
      </c>
      <c r="K11" s="1695"/>
      <c r="L11" s="1696">
        <f t="shared" si="5"/>
        <v>0</v>
      </c>
      <c r="M11" s="1695"/>
      <c r="N11" s="1696">
        <f t="shared" si="6"/>
        <v>0</v>
      </c>
      <c r="O11" s="1695"/>
      <c r="P11" s="1696">
        <f t="shared" si="7"/>
        <v>0</v>
      </c>
      <c r="Q11" s="1696"/>
      <c r="R11" s="1696">
        <f t="shared" si="8"/>
        <v>0</v>
      </c>
      <c r="S11" s="1695"/>
      <c r="T11" s="1695">
        <f>341*S11</f>
        <v>0</v>
      </c>
      <c r="U11" s="1695"/>
      <c r="V11" s="1695">
        <f t="shared" si="10"/>
        <v>0</v>
      </c>
      <c r="W11" s="16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303679</v>
      </c>
      <c r="D12" s="18">
        <f t="shared" si="12"/>
        <v>295327.82750000001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331587.82750000001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00" t="s">
        <v>174</v>
      </c>
      <c r="K14" s="30" t="s">
        <v>36</v>
      </c>
      <c r="L14" s="1700" t="s">
        <v>403</v>
      </c>
      <c r="M14" s="30" t="s">
        <v>429</v>
      </c>
      <c r="N14" s="30" t="s">
        <v>442</v>
      </c>
      <c r="O14" s="1700" t="s">
        <v>114</v>
      </c>
      <c r="P14" s="30" t="s">
        <v>70</v>
      </c>
      <c r="Q14" s="1958" t="s">
        <v>479</v>
      </c>
      <c r="R14" s="1959"/>
      <c r="S14" s="1700" t="s">
        <v>401</v>
      </c>
      <c r="T14" s="1893" t="s">
        <v>46</v>
      </c>
      <c r="U14" s="1692" t="s">
        <v>176</v>
      </c>
      <c r="V14" s="1918">
        <v>22337</v>
      </c>
      <c r="W14" s="1926"/>
      <c r="X14" s="1919"/>
    </row>
    <row r="15" spans="1:25" ht="22.5" customHeight="1" x14ac:dyDescent="0.25">
      <c r="A15" s="100" t="s">
        <v>38</v>
      </c>
      <c r="B15" s="1918">
        <v>629590</v>
      </c>
      <c r="C15" s="1919"/>
      <c r="D15" s="1697">
        <v>0</v>
      </c>
      <c r="E15" s="1697">
        <v>0</v>
      </c>
      <c r="F15" s="1697">
        <v>13570</v>
      </c>
      <c r="G15" s="1697">
        <v>0</v>
      </c>
      <c r="H15" s="1697">
        <v>72</v>
      </c>
      <c r="I15" s="1697">
        <v>10</v>
      </c>
      <c r="J15" s="1697">
        <v>4</v>
      </c>
      <c r="K15" s="1697">
        <v>67</v>
      </c>
      <c r="L15" s="1697">
        <v>0</v>
      </c>
      <c r="M15" s="1697">
        <v>0</v>
      </c>
      <c r="N15" s="1697">
        <v>0</v>
      </c>
      <c r="O15" s="1697">
        <v>0</v>
      </c>
      <c r="P15" s="1697">
        <v>100</v>
      </c>
      <c r="Q15" s="1918">
        <v>10</v>
      </c>
      <c r="R15" s="1919"/>
      <c r="S15" s="1692">
        <v>2</v>
      </c>
      <c r="T15" s="1893"/>
      <c r="U15" s="1692" t="s">
        <v>64</v>
      </c>
      <c r="V15" s="1920">
        <v>10377</v>
      </c>
      <c r="W15" s="1920"/>
      <c r="X15" s="1920"/>
    </row>
    <row r="16" spans="1:25" ht="24.75" customHeight="1" x14ac:dyDescent="0.25">
      <c r="A16" s="100" t="s">
        <v>39</v>
      </c>
      <c r="B16" s="1918">
        <v>335064</v>
      </c>
      <c r="C16" s="1919"/>
      <c r="D16" s="1697"/>
      <c r="E16" s="1697"/>
      <c r="F16" s="1697"/>
      <c r="G16" s="1697"/>
      <c r="H16" s="1697"/>
      <c r="I16" s="1697"/>
      <c r="J16" s="1697"/>
      <c r="K16" s="1697"/>
      <c r="L16" s="1697"/>
      <c r="M16" s="1697"/>
      <c r="N16" s="1697"/>
      <c r="O16" s="1697"/>
      <c r="P16" s="1697"/>
      <c r="Q16" s="1920"/>
      <c r="R16" s="1920"/>
      <c r="S16" s="1697"/>
      <c r="T16" s="1912" t="s">
        <v>55</v>
      </c>
      <c r="U16" s="1912"/>
      <c r="V16" s="1925">
        <f>Y12</f>
        <v>331587.82750000001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697"/>
      <c r="E17" s="1697"/>
      <c r="F17" s="1697"/>
      <c r="G17" s="1697"/>
      <c r="H17" s="1697"/>
      <c r="I17" s="1697"/>
      <c r="J17" s="1697"/>
      <c r="K17" s="1697"/>
      <c r="L17" s="1697"/>
      <c r="M17" s="1697"/>
      <c r="N17" s="1697"/>
      <c r="O17" s="1697"/>
      <c r="P17" s="1697"/>
      <c r="Q17" s="1883"/>
      <c r="R17" s="1883"/>
      <c r="S17" s="1694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303679</v>
      </c>
      <c r="C18" s="1919"/>
      <c r="D18" s="1698">
        <f>E12</f>
        <v>0</v>
      </c>
      <c r="E18" s="1698">
        <f>G12</f>
        <v>0</v>
      </c>
      <c r="F18" s="1698">
        <f>I12</f>
        <v>1960</v>
      </c>
      <c r="G18" s="1698">
        <f>K12</f>
        <v>0</v>
      </c>
      <c r="H18" s="1697"/>
      <c r="I18" s="1698">
        <f>U12</f>
        <v>0</v>
      </c>
      <c r="J18" s="1697"/>
      <c r="K18" s="1698">
        <f>W12</f>
        <v>0</v>
      </c>
      <c r="L18" s="1697"/>
      <c r="M18" s="1698">
        <f>M12</f>
        <v>0</v>
      </c>
      <c r="N18" s="1698">
        <f>O12</f>
        <v>0</v>
      </c>
      <c r="O18" s="1699">
        <f>Q12</f>
        <v>0</v>
      </c>
      <c r="P18" s="1698"/>
      <c r="Q18" s="1920"/>
      <c r="R18" s="1920"/>
      <c r="S18" s="1692"/>
      <c r="T18" s="1912" t="s">
        <v>57</v>
      </c>
      <c r="U18" s="1912"/>
      <c r="V18" s="1920">
        <v>11783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660975</v>
      </c>
      <c r="C19" s="1919"/>
      <c r="D19" s="1697">
        <f>D15+D16+D17-D18</f>
        <v>0</v>
      </c>
      <c r="E19" s="1697">
        <f t="shared" ref="E19:N19" si="13">E15+E16+E17-E18</f>
        <v>0</v>
      </c>
      <c r="F19" s="1697">
        <f t="shared" si="13"/>
        <v>11610</v>
      </c>
      <c r="G19" s="1697">
        <f t="shared" si="13"/>
        <v>0</v>
      </c>
      <c r="H19" s="1697">
        <f t="shared" si="13"/>
        <v>72</v>
      </c>
      <c r="I19" s="1697">
        <f t="shared" si="13"/>
        <v>10</v>
      </c>
      <c r="J19" s="1697">
        <f t="shared" si="13"/>
        <v>4</v>
      </c>
      <c r="K19" s="1697">
        <f t="shared" si="13"/>
        <v>67</v>
      </c>
      <c r="L19" s="1697">
        <f t="shared" si="13"/>
        <v>0</v>
      </c>
      <c r="M19" s="1697">
        <f t="shared" si="13"/>
        <v>0</v>
      </c>
      <c r="N19" s="1697">
        <f t="shared" si="13"/>
        <v>0</v>
      </c>
      <c r="O19" s="1697">
        <f>O15+O16+O17-O18</f>
        <v>0</v>
      </c>
      <c r="P19" s="1697">
        <f t="shared" ref="P19:Q19" si="14">P15+P16+P17-P18</f>
        <v>100</v>
      </c>
      <c r="Q19" s="1918">
        <f t="shared" si="14"/>
        <v>10</v>
      </c>
      <c r="R19" s="1919"/>
      <c r="S19" s="1692">
        <f>S15+S16-S17-S18</f>
        <v>2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636188.4375</v>
      </c>
      <c r="C20" s="1945"/>
      <c r="D20" s="290">
        <f>D19*66.41</f>
        <v>0</v>
      </c>
      <c r="E20" s="290">
        <f>27.9368*E19</f>
        <v>0</v>
      </c>
      <c r="F20" s="290">
        <f>18.31*F19</f>
        <v>212579.09999999998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>
        <v>322500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887215.53749999998</v>
      </c>
      <c r="C21" s="1951"/>
      <c r="O21" s="1701"/>
      <c r="P21" s="1701"/>
      <c r="Q21" s="1701"/>
      <c r="R21" s="1701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/>
      <c r="E22" s="1949"/>
      <c r="F22" s="1949">
        <f>C22-D22+E22</f>
        <v>400000</v>
      </c>
      <c r="G22" s="1701"/>
      <c r="Q22" s="1701"/>
      <c r="R22" s="1701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1701"/>
      <c r="B23" s="1947"/>
      <c r="C23" s="1950"/>
      <c r="D23" s="1950"/>
      <c r="E23" s="1950"/>
      <c r="F23" s="1950"/>
      <c r="G23" s="1701"/>
      <c r="Q23" s="1701"/>
      <c r="R23" s="1701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1701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701"/>
      <c r="Q24" s="1701"/>
      <c r="R24" s="1701"/>
      <c r="T24" s="1893" t="s">
        <v>47</v>
      </c>
      <c r="U24" s="51" t="s">
        <v>62</v>
      </c>
      <c r="V24" s="1921">
        <f>V14+V16+V17-V18-V19-V20-V22+V23-V21</f>
        <v>19641.827500000014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10377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701"/>
      <c r="J33" s="1701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C6137-E3F2-45D6-8BD9-8BA14B8A937A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1900" t="s">
        <v>526</v>
      </c>
      <c r="U3" s="1900"/>
      <c r="V3" s="1900"/>
      <c r="W3" s="1900"/>
      <c r="X3" s="1900"/>
      <c r="Y3" s="1900"/>
    </row>
    <row r="4" spans="1:25" s="170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707" customFormat="1" ht="25.5" customHeight="1" x14ac:dyDescent="0.25">
      <c r="A5" s="1901"/>
      <c r="B5" s="1901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705" t="s">
        <v>71</v>
      </c>
      <c r="C6" s="1703">
        <v>15212</v>
      </c>
      <c r="D6" s="1702">
        <f t="shared" ref="D6:D11" si="0">0.9725*C6</f>
        <v>14793.67</v>
      </c>
      <c r="E6" s="1703"/>
      <c r="F6" s="1702">
        <f>67.1*E6</f>
        <v>0</v>
      </c>
      <c r="G6" s="1703"/>
      <c r="H6" s="1703">
        <f>28.2*G6</f>
        <v>0</v>
      </c>
      <c r="I6" s="1703">
        <v>500</v>
      </c>
      <c r="J6" s="1703">
        <f>18.5*I6</f>
        <v>9250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24043.67</v>
      </c>
    </row>
    <row r="7" spans="1:25" ht="31.5" customHeight="1" x14ac:dyDescent="0.25">
      <c r="A7" s="12">
        <v>1984225578</v>
      </c>
      <c r="B7" s="1705" t="s">
        <v>509</v>
      </c>
      <c r="C7" s="1703">
        <v>28204</v>
      </c>
      <c r="D7" s="1702">
        <f t="shared" si="0"/>
        <v>27428.39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>
        <v>1270</v>
      </c>
      <c r="J7" s="1703">
        <f t="shared" ref="J7:J11" si="4">18.5*I7</f>
        <v>23495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50923.39</v>
      </c>
    </row>
    <row r="8" spans="1:25" ht="35.25" customHeight="1" x14ac:dyDescent="0.25">
      <c r="A8" s="12">
        <v>1967020280</v>
      </c>
      <c r="B8" s="1705" t="s">
        <v>427</v>
      </c>
      <c r="C8" s="1703">
        <v>8874</v>
      </c>
      <c r="D8" s="1702">
        <f t="shared" si="0"/>
        <v>8629.9650000000001</v>
      </c>
      <c r="E8" s="1703"/>
      <c r="F8" s="1703">
        <f t="shared" si="2"/>
        <v>0</v>
      </c>
      <c r="G8" s="1703"/>
      <c r="H8" s="1702">
        <f t="shared" si="3"/>
        <v>0</v>
      </c>
      <c r="I8" s="1703">
        <v>730</v>
      </c>
      <c r="J8" s="1703">
        <f t="shared" si="4"/>
        <v>13505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22134.965</v>
      </c>
    </row>
    <row r="9" spans="1:25" ht="38.25" customHeight="1" x14ac:dyDescent="0.25">
      <c r="A9" s="12">
        <v>1984225580</v>
      </c>
      <c r="B9" s="1705" t="s">
        <v>75</v>
      </c>
      <c r="C9" s="1703">
        <v>49835</v>
      </c>
      <c r="D9" s="1702">
        <f t="shared" si="0"/>
        <v>48464.537499999999</v>
      </c>
      <c r="E9" s="1703"/>
      <c r="F9" s="1703">
        <f t="shared" si="2"/>
        <v>0</v>
      </c>
      <c r="G9" s="1703"/>
      <c r="H9" s="1703">
        <f t="shared" si="3"/>
        <v>0</v>
      </c>
      <c r="I9" s="1703">
        <v>470</v>
      </c>
      <c r="J9" s="1703">
        <f t="shared" si="4"/>
        <v>8695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57159.537499999999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>
        <v>5000</v>
      </c>
      <c r="J10" s="1703">
        <f t="shared" si="4"/>
        <v>92500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>
        <v>4</v>
      </c>
      <c r="T11" s="1703">
        <f>341*S11</f>
        <v>1364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102125</v>
      </c>
      <c r="D12" s="18">
        <f t="shared" si="12"/>
        <v>99316.5625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7970</v>
      </c>
      <c r="J12" s="18">
        <f t="shared" si="12"/>
        <v>147445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248125.5625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1958" t="s">
        <v>479</v>
      </c>
      <c r="R14" s="1959"/>
      <c r="S14" s="1711" t="s">
        <v>401</v>
      </c>
      <c r="T14" s="1893" t="s">
        <v>46</v>
      </c>
      <c r="U14" s="1705" t="s">
        <v>176</v>
      </c>
      <c r="V14" s="1918">
        <v>19642</v>
      </c>
      <c r="W14" s="1926"/>
      <c r="X14" s="1919"/>
    </row>
    <row r="15" spans="1:25" ht="22.5" customHeight="1" x14ac:dyDescent="0.25">
      <c r="A15" s="100" t="s">
        <v>38</v>
      </c>
      <c r="B15" s="1918">
        <v>660975</v>
      </c>
      <c r="C15" s="1919"/>
      <c r="D15" s="1708">
        <v>0</v>
      </c>
      <c r="E15" s="1708">
        <v>0</v>
      </c>
      <c r="F15" s="1708">
        <v>11610</v>
      </c>
      <c r="G15" s="1708">
        <v>0</v>
      </c>
      <c r="H15" s="1708">
        <v>72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1918">
        <v>10</v>
      </c>
      <c r="R15" s="1919"/>
      <c r="S15" s="1705">
        <v>2</v>
      </c>
      <c r="T15" s="1893"/>
      <c r="U15" s="1705" t="s">
        <v>64</v>
      </c>
      <c r="V15" s="1920">
        <v>10377</v>
      </c>
      <c r="W15" s="1920"/>
      <c r="X15" s="1920"/>
    </row>
    <row r="16" spans="1:25" ht="24.75" customHeight="1" x14ac:dyDescent="0.25">
      <c r="A16" s="100" t="s">
        <v>39</v>
      </c>
      <c r="B16" s="1918">
        <v>267012</v>
      </c>
      <c r="C16" s="1919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1920"/>
      <c r="R16" s="1920"/>
      <c r="S16" s="1708"/>
      <c r="T16" s="1912" t="s">
        <v>55</v>
      </c>
      <c r="U16" s="1912"/>
      <c r="V16" s="1925">
        <f>Y12</f>
        <v>248125.5625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1883"/>
      <c r="R17" s="1883"/>
      <c r="S17" s="1704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102125</v>
      </c>
      <c r="C18" s="1919"/>
      <c r="D18" s="1710">
        <f>E12</f>
        <v>0</v>
      </c>
      <c r="E18" s="1710">
        <f>G12</f>
        <v>0</v>
      </c>
      <c r="F18" s="1710">
        <f>I12</f>
        <v>7970</v>
      </c>
      <c r="G18" s="1710">
        <f>K12</f>
        <v>0</v>
      </c>
      <c r="H18" s="1708">
        <v>4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1920"/>
      <c r="R18" s="1920"/>
      <c r="S18" s="1705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825862</v>
      </c>
      <c r="C19" s="1919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3640</v>
      </c>
      <c r="G19" s="1708">
        <f t="shared" si="13"/>
        <v>0</v>
      </c>
      <c r="H19" s="1708">
        <f t="shared" si="13"/>
        <v>68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1918">
        <f t="shared" si="14"/>
        <v>10</v>
      </c>
      <c r="R19" s="1919"/>
      <c r="S19" s="1705">
        <f>S15+S16-S17-S18</f>
        <v>2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794892.17500000005</v>
      </c>
      <c r="C20" s="1945"/>
      <c r="D20" s="290">
        <f>D19*66.41</f>
        <v>0</v>
      </c>
      <c r="E20" s="290">
        <f>27.9368*E19</f>
        <v>0</v>
      </c>
      <c r="F20" s="290">
        <f>18.31*F19</f>
        <v>66648.399999999994</v>
      </c>
      <c r="G20" s="290">
        <f>27.9368*G19</f>
        <v>0</v>
      </c>
      <c r="H20" s="290">
        <f>241*H19</f>
        <v>16388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>
        <v>257000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899024.57500000007</v>
      </c>
      <c r="C21" s="1951"/>
      <c r="O21" s="1712"/>
      <c r="P21" s="1712"/>
      <c r="Q21" s="1712"/>
      <c r="R21" s="1712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/>
      <c r="E22" s="1949"/>
      <c r="F22" s="1949">
        <f>C22-D22+E22</f>
        <v>400000</v>
      </c>
      <c r="G22" s="1712"/>
      <c r="Q22" s="1712"/>
      <c r="R22" s="1712"/>
      <c r="T22" s="1909" t="s">
        <v>83</v>
      </c>
      <c r="U22" s="50" t="s">
        <v>60</v>
      </c>
      <c r="V22" s="1920">
        <v>257600</v>
      </c>
      <c r="W22" s="1920"/>
      <c r="X22" s="1920"/>
      <c r="Y22" s="1927"/>
    </row>
    <row r="23" spans="1:25" ht="39.75" customHeight="1" x14ac:dyDescent="0.25">
      <c r="A23" s="1712"/>
      <c r="B23" s="1947"/>
      <c r="C23" s="1950"/>
      <c r="D23" s="1950"/>
      <c r="E23" s="1950"/>
      <c r="F23" s="1950"/>
      <c r="G23" s="1712"/>
      <c r="Q23" s="1712"/>
      <c r="R23" s="1712"/>
      <c r="T23" s="1910"/>
      <c r="U23" s="50" t="s">
        <v>61</v>
      </c>
      <c r="V23" s="1920">
        <v>257000</v>
      </c>
      <c r="W23" s="1920"/>
      <c r="X23" s="1920"/>
      <c r="Y23" s="1927"/>
    </row>
    <row r="24" spans="1:25" ht="48" customHeight="1" x14ac:dyDescent="0.25">
      <c r="A24" s="1712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1893" t="s">
        <v>47</v>
      </c>
      <c r="U24" s="51" t="s">
        <v>62</v>
      </c>
      <c r="V24" s="1921">
        <f>V14+V16+V17-V18-V19-V20-V22+V23-V21</f>
        <v>9647.5625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10977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712"/>
      <c r="J33" s="1712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1616E-3C43-447E-912B-EE16225A86E0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1900" t="s">
        <v>527</v>
      </c>
      <c r="U3" s="1900"/>
      <c r="V3" s="1900"/>
      <c r="W3" s="1900"/>
      <c r="X3" s="1900"/>
      <c r="Y3" s="1900"/>
    </row>
    <row r="4" spans="1:25" s="170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707" customFormat="1" ht="25.5" customHeight="1" x14ac:dyDescent="0.25">
      <c r="A5" s="1901"/>
      <c r="B5" s="1901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705" t="s">
        <v>71</v>
      </c>
      <c r="C6" s="1703">
        <v>11998</v>
      </c>
      <c r="D6" s="1702">
        <f t="shared" ref="D6:D11" si="0">0.9725*C6</f>
        <v>11668.055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11668.055</v>
      </c>
    </row>
    <row r="7" spans="1:25" ht="31.5" customHeight="1" x14ac:dyDescent="0.25">
      <c r="A7" s="12">
        <v>1984225578</v>
      </c>
      <c r="B7" s="1705" t="s">
        <v>509</v>
      </c>
      <c r="C7" s="1703">
        <v>9856</v>
      </c>
      <c r="D7" s="1702">
        <f t="shared" si="0"/>
        <v>9584.9600000000009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9584.9600000000009</v>
      </c>
    </row>
    <row r="8" spans="1:25" ht="35.25" customHeight="1" x14ac:dyDescent="0.25">
      <c r="A8" s="12">
        <v>1967020280</v>
      </c>
      <c r="B8" s="1705" t="s">
        <v>427</v>
      </c>
      <c r="C8" s="1703">
        <v>11948</v>
      </c>
      <c r="D8" s="1702">
        <f t="shared" si="0"/>
        <v>11619.43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11619.43</v>
      </c>
    </row>
    <row r="9" spans="1:25" ht="38.25" customHeight="1" x14ac:dyDescent="0.25">
      <c r="A9" s="12">
        <v>1984225580</v>
      </c>
      <c r="B9" s="1705" t="s">
        <v>75</v>
      </c>
      <c r="C9" s="1703">
        <v>12919</v>
      </c>
      <c r="D9" s="1702">
        <f t="shared" si="0"/>
        <v>12563.727500000001</v>
      </c>
      <c r="E9" s="1703"/>
      <c r="F9" s="1703">
        <f t="shared" si="2"/>
        <v>0</v>
      </c>
      <c r="G9" s="1703"/>
      <c r="H9" s="1703">
        <f t="shared" si="3"/>
        <v>0</v>
      </c>
      <c r="I9" s="1703">
        <v>30</v>
      </c>
      <c r="J9" s="1703">
        <f t="shared" si="4"/>
        <v>555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13118.727500000001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>
        <v>30</v>
      </c>
      <c r="T10" s="1703">
        <f t="shared" si="9"/>
        <v>7230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7230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46721</v>
      </c>
      <c r="D12" s="18">
        <f t="shared" si="12"/>
        <v>45436.172500000001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53221.172500000001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1958" t="s">
        <v>479</v>
      </c>
      <c r="R14" s="1959"/>
      <c r="S14" s="1711" t="s">
        <v>401</v>
      </c>
      <c r="T14" s="1893" t="s">
        <v>46</v>
      </c>
      <c r="U14" s="1705" t="s">
        <v>176</v>
      </c>
      <c r="V14" s="1918">
        <v>9648</v>
      </c>
      <c r="W14" s="1926"/>
      <c r="X14" s="1919"/>
    </row>
    <row r="15" spans="1:25" ht="22.5" customHeight="1" x14ac:dyDescent="0.25">
      <c r="A15" s="100" t="s">
        <v>38</v>
      </c>
      <c r="B15" s="1918">
        <v>825862</v>
      </c>
      <c r="C15" s="1919"/>
      <c r="D15" s="1708">
        <v>0</v>
      </c>
      <c r="E15" s="1708">
        <v>0</v>
      </c>
      <c r="F15" s="1708">
        <v>3640</v>
      </c>
      <c r="G15" s="1708">
        <v>0</v>
      </c>
      <c r="H15" s="1708">
        <v>68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1918">
        <v>10</v>
      </c>
      <c r="R15" s="1919"/>
      <c r="S15" s="1705">
        <v>2</v>
      </c>
      <c r="T15" s="1893"/>
      <c r="U15" s="1705" t="s">
        <v>64</v>
      </c>
      <c r="V15" s="1920">
        <v>10977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1920"/>
      <c r="R16" s="1920"/>
      <c r="S16" s="1708"/>
      <c r="T16" s="1912" t="s">
        <v>55</v>
      </c>
      <c r="U16" s="1912"/>
      <c r="V16" s="1925">
        <f>Y12</f>
        <v>53221.172500000001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1883"/>
      <c r="R17" s="1883"/>
      <c r="S17" s="1704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46721</v>
      </c>
      <c r="C18" s="1919"/>
      <c r="D18" s="1710">
        <f>E12</f>
        <v>0</v>
      </c>
      <c r="E18" s="1710">
        <f>G12</f>
        <v>0</v>
      </c>
      <c r="F18" s="1710">
        <f>I12</f>
        <v>30</v>
      </c>
      <c r="G18" s="1710">
        <f>K12</f>
        <v>0</v>
      </c>
      <c r="H18" s="1708">
        <v>30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1920"/>
      <c r="R18" s="1920"/>
      <c r="S18" s="1705"/>
      <c r="T18" s="1912" t="s">
        <v>57</v>
      </c>
      <c r="U18" s="1912"/>
      <c r="V18" s="1920">
        <v>995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779141</v>
      </c>
      <c r="C19" s="1919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1918">
        <f t="shared" si="14"/>
        <v>10</v>
      </c>
      <c r="R19" s="1919"/>
      <c r="S19" s="1705">
        <f>S15+S16-S17-S18</f>
        <v>2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749923.21250000002</v>
      </c>
      <c r="C20" s="1945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846276.3125</v>
      </c>
      <c r="C21" s="1951"/>
      <c r="O21" s="1712"/>
      <c r="P21" s="1712"/>
      <c r="Q21" s="1712"/>
      <c r="R21" s="1712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/>
      <c r="E22" s="1949"/>
      <c r="F22" s="1949">
        <f>C22-D22+E22</f>
        <v>400000</v>
      </c>
      <c r="G22" s="1712"/>
      <c r="Q22" s="1712"/>
      <c r="R22" s="1712"/>
      <c r="T22" s="1909" t="s">
        <v>83</v>
      </c>
      <c r="U22" s="50" t="s">
        <v>60</v>
      </c>
      <c r="V22" s="1920">
        <v>1000</v>
      </c>
      <c r="W22" s="1920"/>
      <c r="X22" s="1920"/>
      <c r="Y22" s="1927"/>
    </row>
    <row r="23" spans="1:25" ht="39.75" customHeight="1" x14ac:dyDescent="0.25">
      <c r="A23" s="1712"/>
      <c r="B23" s="1947"/>
      <c r="C23" s="1950"/>
      <c r="D23" s="1950"/>
      <c r="E23" s="1950"/>
      <c r="F23" s="1950"/>
      <c r="G23" s="1712"/>
      <c r="Q23" s="1712"/>
      <c r="R23" s="1712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1712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1893" t="s">
        <v>47</v>
      </c>
      <c r="U24" s="51" t="s">
        <v>62</v>
      </c>
      <c r="V24" s="1921">
        <f>V14+V16+V17-V18-V19-V20-V22+V23-V21</f>
        <v>60874.172500000001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11977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712"/>
      <c r="J33" s="1712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5FE2C-CDB3-4B7D-A15D-533133C91000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1900" t="s">
        <v>528</v>
      </c>
      <c r="U3" s="1900"/>
      <c r="V3" s="1900"/>
      <c r="W3" s="1900"/>
      <c r="X3" s="1900"/>
      <c r="Y3" s="1900"/>
    </row>
    <row r="4" spans="1:25" s="170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707" customFormat="1" ht="25.5" customHeight="1" x14ac:dyDescent="0.25">
      <c r="A5" s="1901"/>
      <c r="B5" s="1901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705" t="s">
        <v>71</v>
      </c>
      <c r="C6" s="1703">
        <v>14113</v>
      </c>
      <c r="D6" s="1702">
        <f t="shared" ref="D6:D11" si="0">0.9725*C6</f>
        <v>13724.8925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13724.8925</v>
      </c>
    </row>
    <row r="7" spans="1:25" ht="31.5" customHeight="1" x14ac:dyDescent="0.25">
      <c r="A7" s="12">
        <v>1984225578</v>
      </c>
      <c r="B7" s="1705" t="s">
        <v>509</v>
      </c>
      <c r="C7" s="1703">
        <v>19982</v>
      </c>
      <c r="D7" s="1702">
        <f t="shared" si="0"/>
        <v>19432.494999999999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>
        <v>1</v>
      </c>
      <c r="X7" s="19">
        <f t="shared" ref="X7:X11" si="11">W7*100</f>
        <v>100</v>
      </c>
      <c r="Y7" s="20">
        <f t="shared" si="1"/>
        <v>19532.494999999999</v>
      </c>
    </row>
    <row r="8" spans="1:25" ht="35.25" customHeight="1" x14ac:dyDescent="0.25">
      <c r="A8" s="12">
        <v>1967020280</v>
      </c>
      <c r="B8" s="1705" t="s">
        <v>427</v>
      </c>
      <c r="C8" s="1703">
        <v>14827</v>
      </c>
      <c r="D8" s="1702">
        <f t="shared" si="0"/>
        <v>14419.2575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14419.2575</v>
      </c>
    </row>
    <row r="9" spans="1:25" ht="38.25" customHeight="1" x14ac:dyDescent="0.25">
      <c r="A9" s="12">
        <v>1984225580</v>
      </c>
      <c r="B9" s="1705" t="s">
        <v>75</v>
      </c>
      <c r="C9" s="1703">
        <v>16227</v>
      </c>
      <c r="D9" s="1702">
        <f t="shared" si="0"/>
        <v>15780.7575</v>
      </c>
      <c r="E9" s="1703"/>
      <c r="F9" s="1703">
        <f t="shared" si="2"/>
        <v>0</v>
      </c>
      <c r="G9" s="1703"/>
      <c r="H9" s="1703">
        <f t="shared" si="3"/>
        <v>0</v>
      </c>
      <c r="I9" s="1703"/>
      <c r="J9" s="1703">
        <f t="shared" si="4"/>
        <v>0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15780.7575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65149</v>
      </c>
      <c r="D12" s="18">
        <f t="shared" si="12"/>
        <v>63357.402499999997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63457.402499999997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1958" t="s">
        <v>479</v>
      </c>
      <c r="R14" s="1959"/>
      <c r="S14" s="1711" t="s">
        <v>401</v>
      </c>
      <c r="T14" s="1893" t="s">
        <v>46</v>
      </c>
      <c r="U14" s="1705" t="s">
        <v>176</v>
      </c>
      <c r="V14" s="1918">
        <v>60874</v>
      </c>
      <c r="W14" s="1926"/>
      <c r="X14" s="1919"/>
    </row>
    <row r="15" spans="1:25" ht="22.5" customHeight="1" x14ac:dyDescent="0.25">
      <c r="A15" s="100" t="s">
        <v>38</v>
      </c>
      <c r="B15" s="1918">
        <v>779141</v>
      </c>
      <c r="C15" s="1919"/>
      <c r="D15" s="1708">
        <v>0</v>
      </c>
      <c r="E15" s="1708">
        <v>0</v>
      </c>
      <c r="F15" s="1708">
        <v>3610</v>
      </c>
      <c r="G15" s="1708">
        <v>0</v>
      </c>
      <c r="H15" s="1708">
        <v>38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1918">
        <v>10</v>
      </c>
      <c r="R15" s="1919"/>
      <c r="S15" s="1705">
        <v>2</v>
      </c>
      <c r="T15" s="1893"/>
      <c r="U15" s="1705" t="s">
        <v>64</v>
      </c>
      <c r="V15" s="1920">
        <v>11977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1920"/>
      <c r="R16" s="1920"/>
      <c r="S16" s="1708"/>
      <c r="T16" s="1912" t="s">
        <v>55</v>
      </c>
      <c r="U16" s="1912"/>
      <c r="V16" s="1925">
        <f>Y12</f>
        <v>63457.402499999997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1883"/>
      <c r="R17" s="1883"/>
      <c r="S17" s="1704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65149</v>
      </c>
      <c r="C18" s="1919"/>
      <c r="D18" s="1710">
        <f>E12</f>
        <v>0</v>
      </c>
      <c r="E18" s="1710">
        <f>G12</f>
        <v>0</v>
      </c>
      <c r="F18" s="1710">
        <f>I12</f>
        <v>0</v>
      </c>
      <c r="G18" s="1710">
        <f>K12</f>
        <v>0</v>
      </c>
      <c r="H18" s="1708"/>
      <c r="I18" s="1710">
        <f>U12</f>
        <v>0</v>
      </c>
      <c r="J18" s="1708"/>
      <c r="K18" s="1710">
        <f>W12</f>
        <v>1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1920"/>
      <c r="R18" s="1920"/>
      <c r="S18" s="1705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713992</v>
      </c>
      <c r="C19" s="1919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66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1918">
        <f t="shared" si="14"/>
        <v>10</v>
      </c>
      <c r="R19" s="1919"/>
      <c r="S19" s="1705">
        <f>S15+S16-S17-S18</f>
        <v>2</v>
      </c>
      <c r="T19" s="1914" t="s">
        <v>48</v>
      </c>
      <c r="U19" s="49" t="s">
        <v>58</v>
      </c>
      <c r="V19" s="1920">
        <v>100000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687217.3</v>
      </c>
      <c r="C20" s="1945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783470.4</v>
      </c>
      <c r="C21" s="1951"/>
      <c r="O21" s="1712"/>
      <c r="P21" s="1712"/>
      <c r="Q21" s="1712"/>
      <c r="R21" s="1712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400000</v>
      </c>
      <c r="D22" s="1949">
        <v>100000</v>
      </c>
      <c r="E22" s="1949"/>
      <c r="F22" s="1949">
        <f>C22-D22+E22</f>
        <v>300000</v>
      </c>
      <c r="G22" s="1712"/>
      <c r="Q22" s="1712"/>
      <c r="R22" s="1712"/>
      <c r="T22" s="1909" t="s">
        <v>83</v>
      </c>
      <c r="U22" s="50" t="s">
        <v>60</v>
      </c>
      <c r="V22" s="1920">
        <v>99700</v>
      </c>
      <c r="W22" s="1920"/>
      <c r="X22" s="1920"/>
      <c r="Y22" s="1927"/>
    </row>
    <row r="23" spans="1:25" ht="39.75" customHeight="1" x14ac:dyDescent="0.25">
      <c r="A23" s="1712"/>
      <c r="B23" s="1947"/>
      <c r="C23" s="1950"/>
      <c r="D23" s="1950"/>
      <c r="E23" s="1950"/>
      <c r="F23" s="1950"/>
      <c r="G23" s="1712"/>
      <c r="Q23" s="1712"/>
      <c r="R23" s="1712"/>
      <c r="T23" s="1910"/>
      <c r="U23" s="50" t="s">
        <v>61</v>
      </c>
      <c r="V23" s="1920">
        <v>100000</v>
      </c>
      <c r="W23" s="1920"/>
      <c r="X23" s="1920"/>
      <c r="Y23" s="1927"/>
    </row>
    <row r="24" spans="1:25" ht="48" customHeight="1" x14ac:dyDescent="0.25">
      <c r="A24" s="1712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1893" t="s">
        <v>47</v>
      </c>
      <c r="U24" s="51" t="s">
        <v>62</v>
      </c>
      <c r="V24" s="1921">
        <f>V14+V16+V17-V18-V19-V20-V22+V23-V21</f>
        <v>24111.402499999997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11677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712"/>
      <c r="J33" s="1712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90793-7BE4-4AC9-B0BF-31DC483649F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713"/>
      <c r="B3" s="1713"/>
      <c r="C3" s="1713"/>
      <c r="D3" s="1713"/>
      <c r="E3" s="1713"/>
      <c r="F3" s="1713"/>
      <c r="G3" s="1713"/>
      <c r="H3" s="1713"/>
      <c r="I3" s="1713"/>
      <c r="J3" s="1713"/>
      <c r="K3" s="1713"/>
      <c r="L3" s="1713"/>
      <c r="M3" s="1713"/>
      <c r="N3" s="1713"/>
      <c r="O3" s="1713"/>
      <c r="P3" s="1713"/>
      <c r="Q3" s="1713"/>
      <c r="R3" s="1713"/>
      <c r="S3" s="1713"/>
      <c r="T3" s="1900" t="s">
        <v>529</v>
      </c>
      <c r="U3" s="1900"/>
      <c r="V3" s="1900"/>
      <c r="W3" s="1900"/>
      <c r="X3" s="1900"/>
      <c r="Y3" s="1900"/>
    </row>
    <row r="4" spans="1:25" s="171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713" customFormat="1" ht="25.5" customHeight="1" x14ac:dyDescent="0.25">
      <c r="A5" s="1901"/>
      <c r="B5" s="1901"/>
      <c r="C5" s="1715" t="s">
        <v>42</v>
      </c>
      <c r="D5" s="1715" t="s">
        <v>43</v>
      </c>
      <c r="E5" s="1715" t="s">
        <v>42</v>
      </c>
      <c r="F5" s="1715" t="s">
        <v>43</v>
      </c>
      <c r="G5" s="1715" t="s">
        <v>42</v>
      </c>
      <c r="H5" s="1715" t="s">
        <v>43</v>
      </c>
      <c r="I5" s="1715" t="s">
        <v>42</v>
      </c>
      <c r="J5" s="1715" t="s">
        <v>43</v>
      </c>
      <c r="K5" s="1715" t="s">
        <v>42</v>
      </c>
      <c r="L5" s="1715" t="s">
        <v>43</v>
      </c>
      <c r="M5" s="1715" t="s">
        <v>42</v>
      </c>
      <c r="N5" s="1715" t="s">
        <v>43</v>
      </c>
      <c r="O5" s="1715" t="s">
        <v>42</v>
      </c>
      <c r="P5" s="1715" t="s">
        <v>43</v>
      </c>
      <c r="Q5" s="1715" t="s">
        <v>42</v>
      </c>
      <c r="R5" s="17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714" t="s">
        <v>71</v>
      </c>
      <c r="C6" s="1717">
        <v>34360</v>
      </c>
      <c r="D6" s="1718">
        <f t="shared" ref="D6:D11" si="0">0.9725*C6</f>
        <v>33415.1</v>
      </c>
      <c r="E6" s="1717"/>
      <c r="F6" s="1718">
        <f>67.1*E6</f>
        <v>0</v>
      </c>
      <c r="G6" s="1717"/>
      <c r="H6" s="1717">
        <f>28.2*G6</f>
        <v>0</v>
      </c>
      <c r="I6" s="1717">
        <v>390</v>
      </c>
      <c r="J6" s="1717">
        <f>18.5*I6</f>
        <v>7215</v>
      </c>
      <c r="K6" s="1717"/>
      <c r="L6" s="1718">
        <f>28.2368*K6</f>
        <v>0</v>
      </c>
      <c r="M6" s="1717"/>
      <c r="N6" s="1718">
        <f>M6*47.6525</f>
        <v>0</v>
      </c>
      <c r="O6" s="1717"/>
      <c r="P6" s="1718">
        <f>O6*8.9</f>
        <v>0</v>
      </c>
      <c r="Q6" s="1718"/>
      <c r="R6" s="1718">
        <f>241*Q6</f>
        <v>0</v>
      </c>
      <c r="S6" s="1717"/>
      <c r="T6" s="1717">
        <f>241*S6</f>
        <v>0</v>
      </c>
      <c r="U6" s="1717"/>
      <c r="V6" s="1717">
        <f>332*U6</f>
        <v>0</v>
      </c>
      <c r="W6" s="1717"/>
      <c r="X6" s="19">
        <f>W6*100</f>
        <v>0</v>
      </c>
      <c r="Y6" s="20">
        <f t="shared" ref="Y6:Y12" si="1">D6+F6+H6+J6+L6+N6+P6+R6+T6+V6+X6</f>
        <v>40630.1</v>
      </c>
    </row>
    <row r="7" spans="1:25" ht="31.5" customHeight="1" x14ac:dyDescent="0.25">
      <c r="A7" s="12">
        <v>1984225578</v>
      </c>
      <c r="B7" s="1714" t="s">
        <v>509</v>
      </c>
      <c r="C7" s="1717">
        <v>26911</v>
      </c>
      <c r="D7" s="1718">
        <f t="shared" si="0"/>
        <v>26170.947500000002</v>
      </c>
      <c r="E7" s="1717"/>
      <c r="F7" s="1717">
        <f t="shared" ref="F7:F11" si="2">67.1*E7</f>
        <v>0</v>
      </c>
      <c r="G7" s="1717"/>
      <c r="H7" s="1717">
        <f t="shared" ref="H7:H11" si="3">28.2*G7</f>
        <v>0</v>
      </c>
      <c r="I7" s="1717">
        <v>90</v>
      </c>
      <c r="J7" s="1717">
        <f t="shared" ref="J7:J11" si="4">18.5*I7</f>
        <v>1665</v>
      </c>
      <c r="K7" s="1717"/>
      <c r="L7" s="1718">
        <f t="shared" ref="L7:L11" si="5">28.2368*K7</f>
        <v>0</v>
      </c>
      <c r="M7" s="1717"/>
      <c r="N7" s="1718">
        <f t="shared" ref="N7:N11" si="6">M7*47.6525</f>
        <v>0</v>
      </c>
      <c r="O7" s="1717"/>
      <c r="P7" s="1718">
        <f t="shared" ref="P7:P11" si="7">O7*8.9</f>
        <v>0</v>
      </c>
      <c r="Q7" s="1718"/>
      <c r="R7" s="1718">
        <f t="shared" ref="R7:R11" si="8">241*Q7</f>
        <v>0</v>
      </c>
      <c r="S7" s="1717"/>
      <c r="T7" s="1717">
        <f t="shared" ref="T7:T10" si="9">241*S7</f>
        <v>0</v>
      </c>
      <c r="U7" s="1717">
        <v>5</v>
      </c>
      <c r="V7" s="1717">
        <f t="shared" ref="V7:V11" si="10">332*U7</f>
        <v>1660</v>
      </c>
      <c r="W7" s="1717"/>
      <c r="X7" s="19">
        <f t="shared" ref="X7:X11" si="11">W7*100</f>
        <v>0</v>
      </c>
      <c r="Y7" s="20">
        <f t="shared" si="1"/>
        <v>29495.947500000002</v>
      </c>
    </row>
    <row r="8" spans="1:25" ht="35.25" customHeight="1" x14ac:dyDescent="0.25">
      <c r="A8" s="12">
        <v>1967020280</v>
      </c>
      <c r="B8" s="1714" t="s">
        <v>427</v>
      </c>
      <c r="C8" s="1717">
        <v>27657</v>
      </c>
      <c r="D8" s="1718">
        <f t="shared" si="0"/>
        <v>26896.432500000003</v>
      </c>
      <c r="E8" s="1717"/>
      <c r="F8" s="1717">
        <f t="shared" si="2"/>
        <v>0</v>
      </c>
      <c r="G8" s="1717"/>
      <c r="H8" s="1718">
        <f t="shared" si="3"/>
        <v>0</v>
      </c>
      <c r="I8" s="1717">
        <v>410</v>
      </c>
      <c r="J8" s="1717">
        <f t="shared" si="4"/>
        <v>7585</v>
      </c>
      <c r="K8" s="1717"/>
      <c r="L8" s="1718">
        <f t="shared" si="5"/>
        <v>0</v>
      </c>
      <c r="M8" s="1717"/>
      <c r="N8" s="1718">
        <f t="shared" si="6"/>
        <v>0</v>
      </c>
      <c r="O8" s="1717"/>
      <c r="P8" s="1718">
        <f t="shared" si="7"/>
        <v>0</v>
      </c>
      <c r="Q8" s="1718"/>
      <c r="R8" s="1718">
        <f t="shared" si="8"/>
        <v>0</v>
      </c>
      <c r="S8" s="1717"/>
      <c r="T8" s="1717">
        <f t="shared" si="9"/>
        <v>0</v>
      </c>
      <c r="U8" s="1717"/>
      <c r="V8" s="1717">
        <f t="shared" si="10"/>
        <v>0</v>
      </c>
      <c r="W8" s="1717"/>
      <c r="X8" s="19">
        <f t="shared" si="11"/>
        <v>0</v>
      </c>
      <c r="Y8" s="20">
        <f t="shared" si="1"/>
        <v>34481.432500000003</v>
      </c>
    </row>
    <row r="9" spans="1:25" ht="38.25" customHeight="1" x14ac:dyDescent="0.25">
      <c r="A9" s="12">
        <v>1984225580</v>
      </c>
      <c r="B9" s="1714" t="s">
        <v>75</v>
      </c>
      <c r="C9" s="1717">
        <v>23069</v>
      </c>
      <c r="D9" s="1718">
        <f t="shared" si="0"/>
        <v>22434.602500000001</v>
      </c>
      <c r="E9" s="1717"/>
      <c r="F9" s="1717">
        <f t="shared" si="2"/>
        <v>0</v>
      </c>
      <c r="G9" s="1717"/>
      <c r="H9" s="1717">
        <f t="shared" si="3"/>
        <v>0</v>
      </c>
      <c r="I9" s="1717">
        <v>270</v>
      </c>
      <c r="J9" s="1717">
        <f t="shared" si="4"/>
        <v>4995</v>
      </c>
      <c r="K9" s="1717"/>
      <c r="L9" s="1718">
        <f t="shared" si="5"/>
        <v>0</v>
      </c>
      <c r="M9" s="1717"/>
      <c r="N9" s="1718">
        <f t="shared" si="6"/>
        <v>0</v>
      </c>
      <c r="O9" s="1717"/>
      <c r="P9" s="1718">
        <f t="shared" si="7"/>
        <v>0</v>
      </c>
      <c r="Q9" s="1718"/>
      <c r="R9" s="1718">
        <f t="shared" si="8"/>
        <v>0</v>
      </c>
      <c r="S9" s="1717"/>
      <c r="T9" s="1717">
        <f t="shared" si="9"/>
        <v>0</v>
      </c>
      <c r="U9" s="1717"/>
      <c r="V9" s="1717">
        <f t="shared" si="10"/>
        <v>0</v>
      </c>
      <c r="W9" s="1717"/>
      <c r="X9" s="19">
        <f t="shared" si="11"/>
        <v>0</v>
      </c>
      <c r="Y9" s="20">
        <f t="shared" si="1"/>
        <v>27429.602500000001</v>
      </c>
    </row>
    <row r="10" spans="1:25" ht="35.25" customHeight="1" x14ac:dyDescent="0.25">
      <c r="A10" s="12">
        <v>1409935199</v>
      </c>
      <c r="C10" s="1717"/>
      <c r="D10" s="1718">
        <f t="shared" si="0"/>
        <v>0</v>
      </c>
      <c r="E10" s="1717"/>
      <c r="F10" s="1717">
        <f t="shared" si="2"/>
        <v>0</v>
      </c>
      <c r="G10" s="1717"/>
      <c r="H10" s="1717">
        <f t="shared" si="3"/>
        <v>0</v>
      </c>
      <c r="I10" s="1717"/>
      <c r="J10" s="1717">
        <f t="shared" si="4"/>
        <v>0</v>
      </c>
      <c r="K10" s="1717"/>
      <c r="L10" s="1718">
        <f t="shared" si="5"/>
        <v>0</v>
      </c>
      <c r="M10" s="1717"/>
      <c r="N10" s="1718">
        <f t="shared" si="6"/>
        <v>0</v>
      </c>
      <c r="O10" s="1717"/>
      <c r="P10" s="1718">
        <f t="shared" si="7"/>
        <v>0</v>
      </c>
      <c r="Q10" s="1718"/>
      <c r="R10" s="1718">
        <f t="shared" si="8"/>
        <v>0</v>
      </c>
      <c r="S10" s="1717"/>
      <c r="T10" s="1717">
        <f t="shared" si="9"/>
        <v>0</v>
      </c>
      <c r="U10" s="1717"/>
      <c r="V10" s="1717">
        <f t="shared" si="10"/>
        <v>0</v>
      </c>
      <c r="W10" s="17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16"/>
      <c r="C11" s="1717"/>
      <c r="D11" s="1718">
        <f t="shared" si="0"/>
        <v>0</v>
      </c>
      <c r="E11" s="1717"/>
      <c r="F11" s="1717">
        <f t="shared" si="2"/>
        <v>0</v>
      </c>
      <c r="G11" s="1717"/>
      <c r="H11" s="1717">
        <f t="shared" si="3"/>
        <v>0</v>
      </c>
      <c r="I11" s="1717"/>
      <c r="J11" s="1717">
        <f t="shared" si="4"/>
        <v>0</v>
      </c>
      <c r="K11" s="1717"/>
      <c r="L11" s="1718">
        <f t="shared" si="5"/>
        <v>0</v>
      </c>
      <c r="M11" s="1717"/>
      <c r="N11" s="1718">
        <f t="shared" si="6"/>
        <v>0</v>
      </c>
      <c r="O11" s="1717"/>
      <c r="P11" s="1718">
        <f t="shared" si="7"/>
        <v>0</v>
      </c>
      <c r="Q11" s="1718"/>
      <c r="R11" s="1718">
        <f t="shared" si="8"/>
        <v>0</v>
      </c>
      <c r="S11" s="1717"/>
      <c r="T11" s="1717">
        <f>341*S11</f>
        <v>0</v>
      </c>
      <c r="U11" s="1717"/>
      <c r="V11" s="1717">
        <f t="shared" si="10"/>
        <v>0</v>
      </c>
      <c r="W11" s="17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111997</v>
      </c>
      <c r="D12" s="18">
        <f t="shared" si="12"/>
        <v>108917.08250000002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1160</v>
      </c>
      <c r="J12" s="18">
        <f t="shared" si="12"/>
        <v>21460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132037.08250000002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22" t="s">
        <v>174</v>
      </c>
      <c r="K14" s="30" t="s">
        <v>36</v>
      </c>
      <c r="L14" s="1722" t="s">
        <v>403</v>
      </c>
      <c r="M14" s="30" t="s">
        <v>429</v>
      </c>
      <c r="N14" s="30" t="s">
        <v>442</v>
      </c>
      <c r="O14" s="1722" t="s">
        <v>114</v>
      </c>
      <c r="P14" s="30" t="s">
        <v>70</v>
      </c>
      <c r="Q14" s="1958" t="s">
        <v>479</v>
      </c>
      <c r="R14" s="1959"/>
      <c r="S14" s="1722" t="s">
        <v>401</v>
      </c>
      <c r="T14" s="1893" t="s">
        <v>46</v>
      </c>
      <c r="U14" s="1714" t="s">
        <v>176</v>
      </c>
      <c r="V14" s="1918">
        <v>24111</v>
      </c>
      <c r="W14" s="1926"/>
      <c r="X14" s="1919"/>
    </row>
    <row r="15" spans="1:25" ht="22.5" customHeight="1" x14ac:dyDescent="0.25">
      <c r="A15" s="100" t="s">
        <v>38</v>
      </c>
      <c r="B15" s="1918">
        <v>713992</v>
      </c>
      <c r="C15" s="1919"/>
      <c r="D15" s="1719">
        <v>0</v>
      </c>
      <c r="E15" s="1719">
        <v>0</v>
      </c>
      <c r="F15" s="1719">
        <v>3610</v>
      </c>
      <c r="G15" s="1719">
        <v>0</v>
      </c>
      <c r="H15" s="1719">
        <v>38</v>
      </c>
      <c r="I15" s="1719">
        <v>10</v>
      </c>
      <c r="J15" s="1719">
        <v>4</v>
      </c>
      <c r="K15" s="1719">
        <v>66</v>
      </c>
      <c r="L15" s="1719">
        <v>0</v>
      </c>
      <c r="M15" s="1719">
        <v>0</v>
      </c>
      <c r="N15" s="1719">
        <v>0</v>
      </c>
      <c r="O15" s="1719">
        <v>0</v>
      </c>
      <c r="P15" s="1719">
        <v>100</v>
      </c>
      <c r="Q15" s="1918">
        <v>10</v>
      </c>
      <c r="R15" s="1919"/>
      <c r="S15" s="1714">
        <v>2</v>
      </c>
      <c r="T15" s="1893"/>
      <c r="U15" s="1714" t="s">
        <v>64</v>
      </c>
      <c r="V15" s="1920">
        <v>11677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719"/>
      <c r="E16" s="1719"/>
      <c r="F16" s="1719"/>
      <c r="G16" s="1719"/>
      <c r="H16" s="1719"/>
      <c r="I16" s="1719"/>
      <c r="J16" s="1719"/>
      <c r="K16" s="1719"/>
      <c r="L16" s="1719"/>
      <c r="M16" s="1719"/>
      <c r="N16" s="1719"/>
      <c r="O16" s="1719"/>
      <c r="P16" s="1719"/>
      <c r="Q16" s="1920"/>
      <c r="R16" s="1920"/>
      <c r="S16" s="1719"/>
      <c r="T16" s="1912" t="s">
        <v>55</v>
      </c>
      <c r="U16" s="1912"/>
      <c r="V16" s="1925">
        <f>Y12</f>
        <v>132037.08250000002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719"/>
      <c r="E17" s="1719"/>
      <c r="F17" s="1719"/>
      <c r="G17" s="1719"/>
      <c r="H17" s="1719"/>
      <c r="I17" s="1719"/>
      <c r="J17" s="1719"/>
      <c r="K17" s="1719"/>
      <c r="L17" s="1719"/>
      <c r="M17" s="1719"/>
      <c r="N17" s="1719"/>
      <c r="O17" s="1719"/>
      <c r="P17" s="1719"/>
      <c r="Q17" s="1883"/>
      <c r="R17" s="1883"/>
      <c r="S17" s="1716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111997</v>
      </c>
      <c r="C18" s="1919"/>
      <c r="D18" s="1720">
        <f>E12</f>
        <v>0</v>
      </c>
      <c r="E18" s="1720">
        <f>G12</f>
        <v>0</v>
      </c>
      <c r="F18" s="1720">
        <f>I12</f>
        <v>1160</v>
      </c>
      <c r="G18" s="1720">
        <f>K12</f>
        <v>0</v>
      </c>
      <c r="H18" s="1719"/>
      <c r="I18" s="1720">
        <f>U12</f>
        <v>5</v>
      </c>
      <c r="J18" s="1719"/>
      <c r="K18" s="1720">
        <f>W12</f>
        <v>0</v>
      </c>
      <c r="L18" s="1719"/>
      <c r="M18" s="1720">
        <f>M12</f>
        <v>0</v>
      </c>
      <c r="N18" s="1720">
        <f>O12</f>
        <v>0</v>
      </c>
      <c r="O18" s="1721">
        <f>Q12</f>
        <v>0</v>
      </c>
      <c r="P18" s="1720"/>
      <c r="Q18" s="1920"/>
      <c r="R18" s="1920"/>
      <c r="S18" s="1714"/>
      <c r="T18" s="1912" t="s">
        <v>57</v>
      </c>
      <c r="U18" s="1912"/>
      <c r="V18" s="1920">
        <v>5020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601995</v>
      </c>
      <c r="C19" s="1919"/>
      <c r="D19" s="1719">
        <f>D15+D16+D17-D18</f>
        <v>0</v>
      </c>
      <c r="E19" s="1719">
        <f t="shared" ref="E19:N19" si="13">E15+E16+E17-E18</f>
        <v>0</v>
      </c>
      <c r="F19" s="1719">
        <f t="shared" si="13"/>
        <v>2450</v>
      </c>
      <c r="G19" s="1719">
        <f t="shared" si="13"/>
        <v>0</v>
      </c>
      <c r="H19" s="1719">
        <f t="shared" si="13"/>
        <v>38</v>
      </c>
      <c r="I19" s="1719">
        <f t="shared" si="13"/>
        <v>5</v>
      </c>
      <c r="J19" s="1719">
        <f t="shared" si="13"/>
        <v>4</v>
      </c>
      <c r="K19" s="1719">
        <f t="shared" si="13"/>
        <v>66</v>
      </c>
      <c r="L19" s="1719">
        <f t="shared" si="13"/>
        <v>0</v>
      </c>
      <c r="M19" s="1719">
        <f t="shared" si="13"/>
        <v>0</v>
      </c>
      <c r="N19" s="1719">
        <f t="shared" si="13"/>
        <v>0</v>
      </c>
      <c r="O19" s="1719">
        <f>O15+O16+O17-O18</f>
        <v>0</v>
      </c>
      <c r="P19" s="1719">
        <f t="shared" ref="P19:Q19" si="14">P15+P16+P17-P18</f>
        <v>100</v>
      </c>
      <c r="Q19" s="1918">
        <f t="shared" si="14"/>
        <v>10</v>
      </c>
      <c r="R19" s="1919"/>
      <c r="S19" s="1714">
        <f>S15+S16-S17-S18</f>
        <v>2</v>
      </c>
      <c r="T19" s="1914" t="s">
        <v>48</v>
      </c>
      <c r="U19" s="49" t="s">
        <v>58</v>
      </c>
      <c r="V19" s="1920">
        <v>135000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579420.1875</v>
      </c>
      <c r="C20" s="1945"/>
      <c r="D20" s="290">
        <f>D19*66.41</f>
        <v>0</v>
      </c>
      <c r="E20" s="290">
        <f>27.9368*E19</f>
        <v>0</v>
      </c>
      <c r="F20" s="290">
        <f>18.31*F19</f>
        <v>44859.5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652818.6875</v>
      </c>
      <c r="C21" s="1951"/>
      <c r="O21" s="1723"/>
      <c r="P21" s="1723"/>
      <c r="Q21" s="1723"/>
      <c r="R21" s="1723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300000</v>
      </c>
      <c r="D22" s="1949">
        <v>135000</v>
      </c>
      <c r="E22" s="1949"/>
      <c r="F22" s="1949">
        <f>C22-D22+E22</f>
        <v>165000</v>
      </c>
      <c r="G22" s="1723"/>
      <c r="Q22" s="1723"/>
      <c r="R22" s="1723"/>
      <c r="T22" s="1909" t="s">
        <v>83</v>
      </c>
      <c r="U22" s="50" t="s">
        <v>60</v>
      </c>
      <c r="V22" s="1920">
        <v>136020</v>
      </c>
      <c r="W22" s="1920"/>
      <c r="X22" s="1920"/>
      <c r="Y22" s="1927"/>
    </row>
    <row r="23" spans="1:25" ht="39.75" customHeight="1" x14ac:dyDescent="0.25">
      <c r="A23" s="1723"/>
      <c r="B23" s="1947"/>
      <c r="C23" s="1950"/>
      <c r="D23" s="1950"/>
      <c r="E23" s="1950"/>
      <c r="F23" s="1950"/>
      <c r="G23" s="1723"/>
      <c r="Q23" s="1723"/>
      <c r="R23" s="1723"/>
      <c r="T23" s="1910"/>
      <c r="U23" s="50" t="s">
        <v>61</v>
      </c>
      <c r="V23" s="1920">
        <v>135000</v>
      </c>
      <c r="W23" s="1920"/>
      <c r="X23" s="1920"/>
      <c r="Y23" s="1927"/>
    </row>
    <row r="24" spans="1:25" ht="48" customHeight="1" x14ac:dyDescent="0.25">
      <c r="A24" s="1723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723"/>
      <c r="Q24" s="1723"/>
      <c r="R24" s="1723"/>
      <c r="T24" s="1893" t="s">
        <v>47</v>
      </c>
      <c r="U24" s="51" t="s">
        <v>62</v>
      </c>
      <c r="V24" s="1921">
        <f>V14+V16+V17-V18-V19-V20-V22+V23-V21</f>
        <v>15108.082500000019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12697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723"/>
      <c r="J33" s="1723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6DFA7-D097-48B3-AED9-833208769BE3}">
  <sheetPr>
    <pageSetUpPr fitToPage="1"/>
  </sheetPr>
  <dimension ref="A1:Y33"/>
  <sheetViews>
    <sheetView topLeftCell="A13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729"/>
      <c r="B3" s="1729"/>
      <c r="C3" s="1729"/>
      <c r="D3" s="1729"/>
      <c r="E3" s="1729"/>
      <c r="F3" s="1729"/>
      <c r="G3" s="1729"/>
      <c r="H3" s="1729"/>
      <c r="I3" s="1729"/>
      <c r="J3" s="1729"/>
      <c r="K3" s="1729"/>
      <c r="L3" s="1729"/>
      <c r="M3" s="1729"/>
      <c r="N3" s="1729"/>
      <c r="O3" s="1729"/>
      <c r="P3" s="1729"/>
      <c r="Q3" s="1729"/>
      <c r="R3" s="1729"/>
      <c r="S3" s="1729"/>
      <c r="T3" s="1900" t="s">
        <v>530</v>
      </c>
      <c r="U3" s="1900"/>
      <c r="V3" s="1900"/>
      <c r="W3" s="1900"/>
      <c r="X3" s="1900"/>
      <c r="Y3" s="1900"/>
    </row>
    <row r="4" spans="1:25" s="172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729" customFormat="1" ht="25.5" customHeight="1" x14ac:dyDescent="0.25">
      <c r="A5" s="1901"/>
      <c r="B5" s="1901"/>
      <c r="C5" s="1728" t="s">
        <v>42</v>
      </c>
      <c r="D5" s="1728" t="s">
        <v>43</v>
      </c>
      <c r="E5" s="1728" t="s">
        <v>42</v>
      </c>
      <c r="F5" s="1728" t="s">
        <v>43</v>
      </c>
      <c r="G5" s="1728" t="s">
        <v>42</v>
      </c>
      <c r="H5" s="1728" t="s">
        <v>43</v>
      </c>
      <c r="I5" s="1728" t="s">
        <v>42</v>
      </c>
      <c r="J5" s="1728" t="s">
        <v>43</v>
      </c>
      <c r="K5" s="1728" t="s">
        <v>42</v>
      </c>
      <c r="L5" s="1728" t="s">
        <v>43</v>
      </c>
      <c r="M5" s="1728" t="s">
        <v>42</v>
      </c>
      <c r="N5" s="1728" t="s">
        <v>43</v>
      </c>
      <c r="O5" s="1728" t="s">
        <v>42</v>
      </c>
      <c r="P5" s="1728" t="s">
        <v>43</v>
      </c>
      <c r="Q5" s="1728" t="s">
        <v>42</v>
      </c>
      <c r="R5" s="17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727" t="s">
        <v>71</v>
      </c>
      <c r="C6" s="1725">
        <v>24324</v>
      </c>
      <c r="D6" s="1724">
        <f t="shared" ref="D6:D11" si="0">0.9725*C6</f>
        <v>23655.09</v>
      </c>
      <c r="E6" s="1725"/>
      <c r="F6" s="1724">
        <f>67.1*E6</f>
        <v>0</v>
      </c>
      <c r="G6" s="1725"/>
      <c r="H6" s="1725">
        <f>28.2*G6</f>
        <v>0</v>
      </c>
      <c r="I6" s="1725">
        <v>297</v>
      </c>
      <c r="J6" s="1725">
        <f>18.5*I6</f>
        <v>5494.5</v>
      </c>
      <c r="K6" s="1725"/>
      <c r="L6" s="1724">
        <f>28.2368*K6</f>
        <v>0</v>
      </c>
      <c r="M6" s="1725"/>
      <c r="N6" s="1724">
        <f>M6*47.6525</f>
        <v>0</v>
      </c>
      <c r="O6" s="1725"/>
      <c r="P6" s="1724">
        <f>O6*8.9</f>
        <v>0</v>
      </c>
      <c r="Q6" s="1724"/>
      <c r="R6" s="1724">
        <f>241*Q6</f>
        <v>0</v>
      </c>
      <c r="S6" s="1725"/>
      <c r="T6" s="1725">
        <f>241*S6</f>
        <v>0</v>
      </c>
      <c r="U6" s="1725"/>
      <c r="V6" s="1725">
        <f>332*U6</f>
        <v>0</v>
      </c>
      <c r="W6" s="1725"/>
      <c r="X6" s="19">
        <f>W6*100</f>
        <v>0</v>
      </c>
      <c r="Y6" s="20">
        <f t="shared" ref="Y6:Y12" si="1">D6+F6+H6+J6+L6+N6+P6+R6+T6+V6+X6</f>
        <v>29149.59</v>
      </c>
    </row>
    <row r="7" spans="1:25" ht="31.5" customHeight="1" x14ac:dyDescent="0.25">
      <c r="A7" s="12">
        <v>1984225578</v>
      </c>
      <c r="B7" s="1727" t="s">
        <v>509</v>
      </c>
      <c r="C7" s="1725">
        <v>20248</v>
      </c>
      <c r="D7" s="1724">
        <f t="shared" si="0"/>
        <v>19691.18</v>
      </c>
      <c r="E7" s="1725"/>
      <c r="F7" s="1725">
        <f t="shared" ref="F7:F11" si="2">67.1*E7</f>
        <v>0</v>
      </c>
      <c r="G7" s="1725"/>
      <c r="H7" s="1725">
        <f t="shared" ref="H7:H11" si="3">28.2*G7</f>
        <v>0</v>
      </c>
      <c r="I7" s="1725">
        <v>340</v>
      </c>
      <c r="J7" s="1725">
        <f t="shared" ref="J7:J11" si="4">18.5*I7</f>
        <v>6290</v>
      </c>
      <c r="K7" s="1725"/>
      <c r="L7" s="1724">
        <f t="shared" ref="L7:L11" si="5">28.2368*K7</f>
        <v>0</v>
      </c>
      <c r="M7" s="1725"/>
      <c r="N7" s="1724">
        <f t="shared" ref="N7:N11" si="6">M7*47.6525</f>
        <v>0</v>
      </c>
      <c r="O7" s="1725"/>
      <c r="P7" s="1724">
        <f t="shared" ref="P7:P11" si="7">O7*8.9</f>
        <v>0</v>
      </c>
      <c r="Q7" s="1724"/>
      <c r="R7" s="1724">
        <f t="shared" ref="R7:R11" si="8">241*Q7</f>
        <v>0</v>
      </c>
      <c r="S7" s="1725"/>
      <c r="T7" s="1725">
        <f t="shared" ref="T7:T10" si="9">241*S7</f>
        <v>0</v>
      </c>
      <c r="U7" s="1725"/>
      <c r="V7" s="1725">
        <f t="shared" ref="V7:V11" si="10">332*U7</f>
        <v>0</v>
      </c>
      <c r="W7" s="1725"/>
      <c r="X7" s="19">
        <f t="shared" ref="X7:X11" si="11">W7*100</f>
        <v>0</v>
      </c>
      <c r="Y7" s="20">
        <f t="shared" si="1"/>
        <v>25981.18</v>
      </c>
    </row>
    <row r="8" spans="1:25" ht="35.25" customHeight="1" x14ac:dyDescent="0.25">
      <c r="A8" s="12">
        <v>1967020280</v>
      </c>
      <c r="B8" s="1727" t="s">
        <v>427</v>
      </c>
      <c r="C8" s="1725">
        <v>115727</v>
      </c>
      <c r="D8" s="1724">
        <f t="shared" si="0"/>
        <v>112544.50750000001</v>
      </c>
      <c r="E8" s="1725"/>
      <c r="F8" s="1725">
        <f t="shared" si="2"/>
        <v>0</v>
      </c>
      <c r="G8" s="1725"/>
      <c r="H8" s="1724">
        <f t="shared" si="3"/>
        <v>0</v>
      </c>
      <c r="I8" s="1725">
        <v>170</v>
      </c>
      <c r="J8" s="1725">
        <f t="shared" si="4"/>
        <v>3145</v>
      </c>
      <c r="K8" s="1725"/>
      <c r="L8" s="1724">
        <f t="shared" si="5"/>
        <v>0</v>
      </c>
      <c r="M8" s="1725"/>
      <c r="N8" s="1724">
        <f t="shared" si="6"/>
        <v>0</v>
      </c>
      <c r="O8" s="1725"/>
      <c r="P8" s="1724">
        <f t="shared" si="7"/>
        <v>0</v>
      </c>
      <c r="Q8" s="1724"/>
      <c r="R8" s="1724">
        <f t="shared" si="8"/>
        <v>0</v>
      </c>
      <c r="S8" s="1725"/>
      <c r="T8" s="1725">
        <f t="shared" si="9"/>
        <v>0</v>
      </c>
      <c r="U8" s="1725"/>
      <c r="V8" s="1725">
        <f t="shared" si="10"/>
        <v>0</v>
      </c>
      <c r="W8" s="1725"/>
      <c r="X8" s="19">
        <f t="shared" si="11"/>
        <v>0</v>
      </c>
      <c r="Y8" s="20">
        <f t="shared" si="1"/>
        <v>115689.50750000001</v>
      </c>
    </row>
    <row r="9" spans="1:25" ht="38.25" customHeight="1" x14ac:dyDescent="0.25">
      <c r="A9" s="12">
        <v>1984225580</v>
      </c>
      <c r="B9" s="1727" t="s">
        <v>75</v>
      </c>
      <c r="C9" s="1725">
        <v>37008</v>
      </c>
      <c r="D9" s="1724">
        <f t="shared" si="0"/>
        <v>35990.28</v>
      </c>
      <c r="E9" s="1725"/>
      <c r="F9" s="1725">
        <f t="shared" si="2"/>
        <v>0</v>
      </c>
      <c r="G9" s="1725"/>
      <c r="H9" s="1725">
        <f t="shared" si="3"/>
        <v>0</v>
      </c>
      <c r="I9" s="1725">
        <v>1000</v>
      </c>
      <c r="J9" s="1725">
        <f t="shared" si="4"/>
        <v>18500</v>
      </c>
      <c r="K9" s="1725"/>
      <c r="L9" s="1724">
        <f t="shared" si="5"/>
        <v>0</v>
      </c>
      <c r="M9" s="1725"/>
      <c r="N9" s="1724">
        <f t="shared" si="6"/>
        <v>0</v>
      </c>
      <c r="O9" s="1725"/>
      <c r="P9" s="1724">
        <f t="shared" si="7"/>
        <v>0</v>
      </c>
      <c r="Q9" s="1724"/>
      <c r="R9" s="1724">
        <f t="shared" si="8"/>
        <v>0</v>
      </c>
      <c r="S9" s="1725"/>
      <c r="T9" s="1725">
        <f t="shared" si="9"/>
        <v>0</v>
      </c>
      <c r="U9" s="1725"/>
      <c r="V9" s="1725">
        <f t="shared" si="10"/>
        <v>0</v>
      </c>
      <c r="W9" s="1725"/>
      <c r="X9" s="19">
        <f t="shared" si="11"/>
        <v>0</v>
      </c>
      <c r="Y9" s="20">
        <f t="shared" si="1"/>
        <v>54490.28</v>
      </c>
    </row>
    <row r="10" spans="1:25" ht="35.25" customHeight="1" x14ac:dyDescent="0.25">
      <c r="A10" s="12">
        <v>1409935199</v>
      </c>
      <c r="C10" s="1725"/>
      <c r="D10" s="1724">
        <f t="shared" si="0"/>
        <v>0</v>
      </c>
      <c r="E10" s="1725"/>
      <c r="F10" s="1725">
        <f t="shared" si="2"/>
        <v>0</v>
      </c>
      <c r="G10" s="1725"/>
      <c r="H10" s="1725">
        <f t="shared" si="3"/>
        <v>0</v>
      </c>
      <c r="I10" s="1725"/>
      <c r="J10" s="1725">
        <f t="shared" si="4"/>
        <v>0</v>
      </c>
      <c r="K10" s="1725"/>
      <c r="L10" s="1724">
        <f t="shared" si="5"/>
        <v>0</v>
      </c>
      <c r="M10" s="1725"/>
      <c r="N10" s="1724">
        <f t="shared" si="6"/>
        <v>0</v>
      </c>
      <c r="O10" s="1725"/>
      <c r="P10" s="1724">
        <f t="shared" si="7"/>
        <v>0</v>
      </c>
      <c r="Q10" s="1724"/>
      <c r="R10" s="1724">
        <f t="shared" si="8"/>
        <v>0</v>
      </c>
      <c r="S10" s="1725"/>
      <c r="T10" s="1725">
        <f t="shared" si="9"/>
        <v>0</v>
      </c>
      <c r="U10" s="1725"/>
      <c r="V10" s="1725">
        <f t="shared" si="10"/>
        <v>0</v>
      </c>
      <c r="W10" s="172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26"/>
      <c r="C11" s="1725"/>
      <c r="D11" s="1724">
        <f t="shared" si="0"/>
        <v>0</v>
      </c>
      <c r="E11" s="1725"/>
      <c r="F11" s="1725">
        <f t="shared" si="2"/>
        <v>0</v>
      </c>
      <c r="G11" s="1725"/>
      <c r="H11" s="1725">
        <f t="shared" si="3"/>
        <v>0</v>
      </c>
      <c r="I11" s="1725"/>
      <c r="J11" s="1725">
        <f t="shared" si="4"/>
        <v>0</v>
      </c>
      <c r="K11" s="1725"/>
      <c r="L11" s="1724">
        <f t="shared" si="5"/>
        <v>0</v>
      </c>
      <c r="M11" s="1725"/>
      <c r="N11" s="1724">
        <f t="shared" si="6"/>
        <v>0</v>
      </c>
      <c r="O11" s="1725"/>
      <c r="P11" s="1724">
        <f t="shared" si="7"/>
        <v>0</v>
      </c>
      <c r="Q11" s="1724"/>
      <c r="R11" s="1724">
        <f t="shared" si="8"/>
        <v>0</v>
      </c>
      <c r="S11" s="1725"/>
      <c r="T11" s="1725">
        <f>341*S11</f>
        <v>0</v>
      </c>
      <c r="U11" s="1725"/>
      <c r="V11" s="1725">
        <f t="shared" si="10"/>
        <v>0</v>
      </c>
      <c r="W11" s="172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197307</v>
      </c>
      <c r="D12" s="18">
        <f t="shared" si="12"/>
        <v>191881.05750000002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1807</v>
      </c>
      <c r="J12" s="18">
        <f t="shared" si="12"/>
        <v>33429.5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225310.55750000002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33" t="s">
        <v>174</v>
      </c>
      <c r="K14" s="30" t="s">
        <v>36</v>
      </c>
      <c r="L14" s="1733" t="s">
        <v>403</v>
      </c>
      <c r="M14" s="30" t="s">
        <v>429</v>
      </c>
      <c r="N14" s="30" t="s">
        <v>442</v>
      </c>
      <c r="O14" s="1733" t="s">
        <v>114</v>
      </c>
      <c r="P14" s="30" t="s">
        <v>70</v>
      </c>
      <c r="Q14" s="1958" t="s">
        <v>479</v>
      </c>
      <c r="R14" s="1959"/>
      <c r="S14" s="1733" t="s">
        <v>401</v>
      </c>
      <c r="T14" s="1893" t="s">
        <v>46</v>
      </c>
      <c r="U14" s="1727" t="s">
        <v>176</v>
      </c>
      <c r="V14" s="1918">
        <v>15108</v>
      </c>
      <c r="W14" s="1926"/>
      <c r="X14" s="1919"/>
    </row>
    <row r="15" spans="1:25" ht="22.5" customHeight="1" x14ac:dyDescent="0.25">
      <c r="A15" s="100" t="s">
        <v>38</v>
      </c>
      <c r="B15" s="1918">
        <v>601995</v>
      </c>
      <c r="C15" s="1919"/>
      <c r="D15" s="1730">
        <v>0</v>
      </c>
      <c r="E15" s="1730">
        <v>0</v>
      </c>
      <c r="F15" s="1730">
        <v>2450</v>
      </c>
      <c r="G15" s="1730">
        <v>0</v>
      </c>
      <c r="H15" s="1730">
        <v>38</v>
      </c>
      <c r="I15" s="1730">
        <v>5</v>
      </c>
      <c r="J15" s="1730">
        <v>4</v>
      </c>
      <c r="K15" s="1730">
        <v>66</v>
      </c>
      <c r="L15" s="1730">
        <v>0</v>
      </c>
      <c r="M15" s="1730">
        <v>0</v>
      </c>
      <c r="N15" s="1730">
        <v>0</v>
      </c>
      <c r="O15" s="1730">
        <v>0</v>
      </c>
      <c r="P15" s="1730">
        <v>100</v>
      </c>
      <c r="Q15" s="1918">
        <v>10</v>
      </c>
      <c r="R15" s="1919"/>
      <c r="S15" s="1727">
        <v>2</v>
      </c>
      <c r="T15" s="1893"/>
      <c r="U15" s="1727" t="s">
        <v>64</v>
      </c>
      <c r="V15" s="1920">
        <v>12697</v>
      </c>
      <c r="W15" s="1920"/>
      <c r="X15" s="1920"/>
    </row>
    <row r="16" spans="1:25" ht="24.75" customHeight="1" x14ac:dyDescent="0.25">
      <c r="A16" s="100" t="s">
        <v>39</v>
      </c>
      <c r="B16" s="1918">
        <v>332467</v>
      </c>
      <c r="C16" s="1919"/>
      <c r="D16" s="1730"/>
      <c r="E16" s="1730"/>
      <c r="F16" s="1730"/>
      <c r="G16" s="1730"/>
      <c r="H16" s="1730"/>
      <c r="I16" s="1730"/>
      <c r="J16" s="1730"/>
      <c r="K16" s="1730"/>
      <c r="L16" s="1730"/>
      <c r="M16" s="1730"/>
      <c r="N16" s="1730"/>
      <c r="O16" s="1730"/>
      <c r="P16" s="1730"/>
      <c r="Q16" s="1920"/>
      <c r="R16" s="1920"/>
      <c r="S16" s="1730"/>
      <c r="T16" s="1912" t="s">
        <v>55</v>
      </c>
      <c r="U16" s="1912"/>
      <c r="V16" s="1925">
        <f>Y12</f>
        <v>225310.55750000002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730"/>
      <c r="E17" s="1730"/>
      <c r="F17" s="1730"/>
      <c r="G17" s="1730"/>
      <c r="H17" s="1730"/>
      <c r="I17" s="1730"/>
      <c r="J17" s="1730"/>
      <c r="K17" s="1730"/>
      <c r="L17" s="1730"/>
      <c r="M17" s="1730"/>
      <c r="N17" s="1730"/>
      <c r="O17" s="1730"/>
      <c r="P17" s="1730"/>
      <c r="Q17" s="1883"/>
      <c r="R17" s="1883"/>
      <c r="S17" s="1726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197307</v>
      </c>
      <c r="C18" s="1919"/>
      <c r="D18" s="1732">
        <f>E12</f>
        <v>0</v>
      </c>
      <c r="E18" s="1732">
        <f>G12</f>
        <v>0</v>
      </c>
      <c r="F18" s="1732">
        <f>I12</f>
        <v>1807</v>
      </c>
      <c r="G18" s="1732">
        <f>K12</f>
        <v>0</v>
      </c>
      <c r="H18" s="1730"/>
      <c r="I18" s="1732">
        <f>U12</f>
        <v>0</v>
      </c>
      <c r="J18" s="1730"/>
      <c r="K18" s="1732">
        <f>W12</f>
        <v>0</v>
      </c>
      <c r="L18" s="1730"/>
      <c r="M18" s="1732">
        <f>M12</f>
        <v>0</v>
      </c>
      <c r="N18" s="1732">
        <f>O12</f>
        <v>0</v>
      </c>
      <c r="O18" s="1731">
        <f>Q12</f>
        <v>0</v>
      </c>
      <c r="P18" s="1732"/>
      <c r="Q18" s="1920"/>
      <c r="R18" s="1920"/>
      <c r="S18" s="1727"/>
      <c r="T18" s="1912" t="s">
        <v>57</v>
      </c>
      <c r="U18" s="1912"/>
      <c r="V18" s="1920">
        <v>900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737155</v>
      </c>
      <c r="C19" s="1919"/>
      <c r="D19" s="1730">
        <f>D15+D16+D17-D18</f>
        <v>0</v>
      </c>
      <c r="E19" s="1730">
        <f t="shared" ref="E19:N19" si="13">E15+E16+E17-E18</f>
        <v>0</v>
      </c>
      <c r="F19" s="1730">
        <f t="shared" si="13"/>
        <v>643</v>
      </c>
      <c r="G19" s="1730">
        <f t="shared" si="13"/>
        <v>0</v>
      </c>
      <c r="H19" s="1730">
        <f t="shared" si="13"/>
        <v>38</v>
      </c>
      <c r="I19" s="1730">
        <f t="shared" si="13"/>
        <v>5</v>
      </c>
      <c r="J19" s="1730">
        <f t="shared" si="13"/>
        <v>4</v>
      </c>
      <c r="K19" s="1730">
        <f t="shared" si="13"/>
        <v>66</v>
      </c>
      <c r="L19" s="1730">
        <f t="shared" si="13"/>
        <v>0</v>
      </c>
      <c r="M19" s="1730">
        <f t="shared" si="13"/>
        <v>0</v>
      </c>
      <c r="N19" s="1730">
        <f t="shared" si="13"/>
        <v>0</v>
      </c>
      <c r="O19" s="1730">
        <f>O15+O16+O17-O18</f>
        <v>0</v>
      </c>
      <c r="P19" s="1730">
        <f t="shared" ref="P19:Q19" si="14">P15+P16+P17-P18</f>
        <v>100</v>
      </c>
      <c r="Q19" s="1918">
        <f t="shared" si="14"/>
        <v>10</v>
      </c>
      <c r="R19" s="1919"/>
      <c r="S19" s="1727">
        <f>S15+S16-S17-S18</f>
        <v>2</v>
      </c>
      <c r="T19" s="1914" t="s">
        <v>48</v>
      </c>
      <c r="U19" s="49" t="s">
        <v>58</v>
      </c>
      <c r="V19" s="1920">
        <v>165000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709511.6875</v>
      </c>
      <c r="C20" s="1945"/>
      <c r="D20" s="290">
        <f>D19*66.41</f>
        <v>0</v>
      </c>
      <c r="E20" s="290">
        <f>27.9368*E19</f>
        <v>0</v>
      </c>
      <c r="F20" s="290">
        <f>18.31*F19</f>
        <v>11773.33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>
        <v>60000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749824.01749999996</v>
      </c>
      <c r="C21" s="1951"/>
      <c r="O21" s="1734"/>
      <c r="P21" s="1734"/>
      <c r="Q21" s="1734"/>
      <c r="R21" s="1734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165000</v>
      </c>
      <c r="D22" s="1949">
        <v>165000</v>
      </c>
      <c r="E22" s="1949">
        <v>260000</v>
      </c>
      <c r="F22" s="1949">
        <f>C22-D22+E22</f>
        <v>260000</v>
      </c>
      <c r="G22" s="1734"/>
      <c r="Q22" s="1734"/>
      <c r="R22" s="1734"/>
      <c r="T22" s="1909" t="s">
        <v>83</v>
      </c>
      <c r="U22" s="50" t="s">
        <v>60</v>
      </c>
      <c r="V22" s="1920">
        <v>224430</v>
      </c>
      <c r="W22" s="1920"/>
      <c r="X22" s="1920"/>
      <c r="Y22" s="1927"/>
    </row>
    <row r="23" spans="1:25" ht="39.75" customHeight="1" x14ac:dyDescent="0.25">
      <c r="A23" s="1734"/>
      <c r="B23" s="1947"/>
      <c r="C23" s="1950"/>
      <c r="D23" s="1950"/>
      <c r="E23" s="1950"/>
      <c r="F23" s="1950"/>
      <c r="G23" s="1734"/>
      <c r="Q23" s="1734"/>
      <c r="R23" s="1734"/>
      <c r="T23" s="1910"/>
      <c r="U23" s="50" t="s">
        <v>61</v>
      </c>
      <c r="V23" s="1920">
        <v>225000</v>
      </c>
      <c r="W23" s="1920"/>
      <c r="X23" s="1920"/>
      <c r="Y23" s="1927"/>
    </row>
    <row r="24" spans="1:25" ht="48" customHeight="1" x14ac:dyDescent="0.25">
      <c r="A24" s="1734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734"/>
      <c r="Q24" s="1734"/>
      <c r="R24" s="1734"/>
      <c r="T24" s="1893" t="s">
        <v>47</v>
      </c>
      <c r="U24" s="51" t="s">
        <v>62</v>
      </c>
      <c r="V24" s="1921">
        <f>V14+V16+V17-V18-V19-V20-V22+V23-V21</f>
        <v>15088.557500000024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12127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734"/>
      <c r="J33" s="1734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7BDC8-974E-424F-A191-8599A71EFA8D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735"/>
      <c r="B3" s="1735"/>
      <c r="C3" s="1735"/>
      <c r="D3" s="1735"/>
      <c r="E3" s="1735"/>
      <c r="F3" s="1735"/>
      <c r="G3" s="1735"/>
      <c r="H3" s="1735"/>
      <c r="I3" s="1735"/>
      <c r="J3" s="1735"/>
      <c r="K3" s="1735"/>
      <c r="L3" s="1735"/>
      <c r="M3" s="1735"/>
      <c r="N3" s="1735"/>
      <c r="O3" s="1735"/>
      <c r="P3" s="1735"/>
      <c r="Q3" s="1735"/>
      <c r="R3" s="1735"/>
      <c r="S3" s="1735"/>
      <c r="T3" s="1900" t="s">
        <v>531</v>
      </c>
      <c r="U3" s="1900"/>
      <c r="V3" s="1900"/>
      <c r="W3" s="1900"/>
      <c r="X3" s="1900"/>
      <c r="Y3" s="1900"/>
    </row>
    <row r="4" spans="1:25" s="173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735" customFormat="1" ht="25.5" customHeight="1" x14ac:dyDescent="0.25">
      <c r="A5" s="1901"/>
      <c r="B5" s="1901"/>
      <c r="C5" s="1737" t="s">
        <v>42</v>
      </c>
      <c r="D5" s="1737" t="s">
        <v>43</v>
      </c>
      <c r="E5" s="1737" t="s">
        <v>42</v>
      </c>
      <c r="F5" s="1737" t="s">
        <v>43</v>
      </c>
      <c r="G5" s="1737" t="s">
        <v>42</v>
      </c>
      <c r="H5" s="1737" t="s">
        <v>43</v>
      </c>
      <c r="I5" s="1737" t="s">
        <v>42</v>
      </c>
      <c r="J5" s="1737" t="s">
        <v>43</v>
      </c>
      <c r="K5" s="1737" t="s">
        <v>42</v>
      </c>
      <c r="L5" s="1737" t="s">
        <v>43</v>
      </c>
      <c r="M5" s="1737" t="s">
        <v>42</v>
      </c>
      <c r="N5" s="1737" t="s">
        <v>43</v>
      </c>
      <c r="O5" s="1737" t="s">
        <v>42</v>
      </c>
      <c r="P5" s="1737" t="s">
        <v>43</v>
      </c>
      <c r="Q5" s="1737" t="s">
        <v>42</v>
      </c>
      <c r="R5" s="17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736" t="s">
        <v>71</v>
      </c>
      <c r="C6" s="1739">
        <v>51604</v>
      </c>
      <c r="D6" s="1740">
        <f t="shared" ref="D6:D11" si="0">0.9725*C6</f>
        <v>50184.89</v>
      </c>
      <c r="E6" s="1739"/>
      <c r="F6" s="1740">
        <f>67.1*E6</f>
        <v>0</v>
      </c>
      <c r="G6" s="1739"/>
      <c r="H6" s="1739">
        <f>28.2*G6</f>
        <v>0</v>
      </c>
      <c r="I6" s="1739">
        <v>333</v>
      </c>
      <c r="J6" s="1739">
        <f>18.5*I6</f>
        <v>6160.5</v>
      </c>
      <c r="K6" s="1739"/>
      <c r="L6" s="1740">
        <f>28.2368*K6</f>
        <v>0</v>
      </c>
      <c r="M6" s="1739"/>
      <c r="N6" s="1740">
        <f>M6*47.6525</f>
        <v>0</v>
      </c>
      <c r="O6" s="1739"/>
      <c r="P6" s="1740">
        <f>O6*8.9</f>
        <v>0</v>
      </c>
      <c r="Q6" s="1740"/>
      <c r="R6" s="1740">
        <f>241*Q6</f>
        <v>0</v>
      </c>
      <c r="S6" s="1739"/>
      <c r="T6" s="1739">
        <f>241*S6</f>
        <v>0</v>
      </c>
      <c r="U6" s="1739"/>
      <c r="V6" s="1739">
        <f>332*U6</f>
        <v>0</v>
      </c>
      <c r="W6" s="1739"/>
      <c r="X6" s="19">
        <f>W6*100</f>
        <v>0</v>
      </c>
      <c r="Y6" s="20">
        <f t="shared" ref="Y6:Y12" si="1">D6+F6+H6+J6+L6+N6+P6+R6+T6+V6+X6</f>
        <v>56345.39</v>
      </c>
    </row>
    <row r="7" spans="1:25" ht="31.5" customHeight="1" x14ac:dyDescent="0.25">
      <c r="A7" s="12">
        <v>1984225578</v>
      </c>
      <c r="B7" s="1736" t="s">
        <v>509</v>
      </c>
      <c r="C7" s="1739">
        <v>39980</v>
      </c>
      <c r="D7" s="1740">
        <f t="shared" si="0"/>
        <v>38880.550000000003</v>
      </c>
      <c r="E7" s="1739"/>
      <c r="F7" s="1739">
        <f t="shared" ref="F7:F11" si="2">67.1*E7</f>
        <v>0</v>
      </c>
      <c r="G7" s="1739"/>
      <c r="H7" s="1739">
        <f t="shared" ref="H7:H11" si="3">28.2*G7</f>
        <v>0</v>
      </c>
      <c r="I7" s="1739"/>
      <c r="J7" s="1739">
        <f t="shared" ref="J7:J11" si="4">18.5*I7</f>
        <v>0</v>
      </c>
      <c r="K7" s="1739"/>
      <c r="L7" s="1740">
        <f t="shared" ref="L7:L11" si="5">28.2368*K7</f>
        <v>0</v>
      </c>
      <c r="M7" s="1739"/>
      <c r="N7" s="1740">
        <f t="shared" ref="N7:N11" si="6">M7*47.6525</f>
        <v>0</v>
      </c>
      <c r="O7" s="1739"/>
      <c r="P7" s="1740">
        <f t="shared" ref="P7:P11" si="7">O7*8.9</f>
        <v>0</v>
      </c>
      <c r="Q7" s="1740"/>
      <c r="R7" s="1740">
        <f t="shared" ref="R7:R11" si="8">241*Q7</f>
        <v>0</v>
      </c>
      <c r="S7" s="1739"/>
      <c r="T7" s="1739">
        <f t="shared" ref="T7:T10" si="9">241*S7</f>
        <v>0</v>
      </c>
      <c r="U7" s="1739"/>
      <c r="V7" s="1739">
        <f t="shared" ref="V7:V11" si="10">332*U7</f>
        <v>0</v>
      </c>
      <c r="W7" s="1739"/>
      <c r="X7" s="19">
        <f t="shared" ref="X7:X11" si="11">W7*100</f>
        <v>0</v>
      </c>
      <c r="Y7" s="20">
        <f t="shared" si="1"/>
        <v>38880.550000000003</v>
      </c>
    </row>
    <row r="8" spans="1:25" ht="35.25" customHeight="1" x14ac:dyDescent="0.25">
      <c r="A8" s="12">
        <v>1967020280</v>
      </c>
      <c r="B8" s="1736" t="s">
        <v>427</v>
      </c>
      <c r="C8" s="1739">
        <v>14670</v>
      </c>
      <c r="D8" s="1740">
        <f t="shared" si="0"/>
        <v>14266.575000000001</v>
      </c>
      <c r="E8" s="1739"/>
      <c r="F8" s="1739">
        <f t="shared" si="2"/>
        <v>0</v>
      </c>
      <c r="G8" s="1739"/>
      <c r="H8" s="1740">
        <f t="shared" si="3"/>
        <v>0</v>
      </c>
      <c r="I8" s="1739">
        <v>310</v>
      </c>
      <c r="J8" s="1739">
        <f t="shared" si="4"/>
        <v>5735</v>
      </c>
      <c r="K8" s="1739"/>
      <c r="L8" s="1740">
        <f t="shared" si="5"/>
        <v>0</v>
      </c>
      <c r="M8" s="1739"/>
      <c r="N8" s="1740">
        <f t="shared" si="6"/>
        <v>0</v>
      </c>
      <c r="O8" s="1739"/>
      <c r="P8" s="1740">
        <f t="shared" si="7"/>
        <v>0</v>
      </c>
      <c r="Q8" s="1740"/>
      <c r="R8" s="1740">
        <f t="shared" si="8"/>
        <v>0</v>
      </c>
      <c r="S8" s="1739"/>
      <c r="T8" s="1739">
        <f t="shared" si="9"/>
        <v>0</v>
      </c>
      <c r="U8" s="1739"/>
      <c r="V8" s="1739">
        <f t="shared" si="10"/>
        <v>0</v>
      </c>
      <c r="W8" s="1739"/>
      <c r="X8" s="19">
        <f t="shared" si="11"/>
        <v>0</v>
      </c>
      <c r="Y8" s="20">
        <f t="shared" si="1"/>
        <v>20001.575000000001</v>
      </c>
    </row>
    <row r="9" spans="1:25" ht="38.25" customHeight="1" x14ac:dyDescent="0.25">
      <c r="A9" s="12">
        <v>1984225580</v>
      </c>
      <c r="B9" s="1736" t="s">
        <v>75</v>
      </c>
      <c r="C9" s="1739">
        <v>5000</v>
      </c>
      <c r="D9" s="1740">
        <f t="shared" si="0"/>
        <v>4862.5</v>
      </c>
      <c r="E9" s="1739"/>
      <c r="F9" s="1739">
        <f t="shared" si="2"/>
        <v>0</v>
      </c>
      <c r="G9" s="1739"/>
      <c r="H9" s="1739">
        <f t="shared" si="3"/>
        <v>0</v>
      </c>
      <c r="I9" s="1739"/>
      <c r="J9" s="1739">
        <f t="shared" si="4"/>
        <v>0</v>
      </c>
      <c r="K9" s="1739"/>
      <c r="L9" s="1740">
        <f t="shared" si="5"/>
        <v>0</v>
      </c>
      <c r="M9" s="1739"/>
      <c r="N9" s="1740">
        <f t="shared" si="6"/>
        <v>0</v>
      </c>
      <c r="O9" s="1739"/>
      <c r="P9" s="1740">
        <f t="shared" si="7"/>
        <v>0</v>
      </c>
      <c r="Q9" s="1740"/>
      <c r="R9" s="1740">
        <f t="shared" si="8"/>
        <v>0</v>
      </c>
      <c r="S9" s="1739"/>
      <c r="T9" s="1739">
        <f t="shared" si="9"/>
        <v>0</v>
      </c>
      <c r="U9" s="1739"/>
      <c r="V9" s="1739">
        <f t="shared" si="10"/>
        <v>0</v>
      </c>
      <c r="W9" s="1739"/>
      <c r="X9" s="19">
        <f t="shared" si="11"/>
        <v>0</v>
      </c>
      <c r="Y9" s="20">
        <f t="shared" si="1"/>
        <v>4862.5</v>
      </c>
    </row>
    <row r="10" spans="1:25" ht="35.25" customHeight="1" x14ac:dyDescent="0.25">
      <c r="A10" s="12">
        <v>1409935199</v>
      </c>
      <c r="C10" s="1739"/>
      <c r="D10" s="1740">
        <f t="shared" si="0"/>
        <v>0</v>
      </c>
      <c r="E10" s="1739"/>
      <c r="F10" s="1739">
        <f t="shared" si="2"/>
        <v>0</v>
      </c>
      <c r="G10" s="1739"/>
      <c r="H10" s="1739">
        <f t="shared" si="3"/>
        <v>0</v>
      </c>
      <c r="I10" s="1739"/>
      <c r="J10" s="1739">
        <f t="shared" si="4"/>
        <v>0</v>
      </c>
      <c r="K10" s="1739"/>
      <c r="L10" s="1740">
        <f t="shared" si="5"/>
        <v>0</v>
      </c>
      <c r="M10" s="1739"/>
      <c r="N10" s="1740">
        <f t="shared" si="6"/>
        <v>0</v>
      </c>
      <c r="O10" s="1739"/>
      <c r="P10" s="1740">
        <f t="shared" si="7"/>
        <v>0</v>
      </c>
      <c r="Q10" s="1740"/>
      <c r="R10" s="1740">
        <f t="shared" si="8"/>
        <v>0</v>
      </c>
      <c r="S10" s="1739"/>
      <c r="T10" s="1739">
        <f t="shared" si="9"/>
        <v>0</v>
      </c>
      <c r="U10" s="1739"/>
      <c r="V10" s="1739">
        <f t="shared" si="10"/>
        <v>0</v>
      </c>
      <c r="W10" s="17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38"/>
      <c r="C11" s="1739"/>
      <c r="D11" s="1740">
        <f t="shared" si="0"/>
        <v>0</v>
      </c>
      <c r="E11" s="1739"/>
      <c r="F11" s="1739">
        <f t="shared" si="2"/>
        <v>0</v>
      </c>
      <c r="G11" s="1739"/>
      <c r="H11" s="1739">
        <f t="shared" si="3"/>
        <v>0</v>
      </c>
      <c r="I11" s="1739"/>
      <c r="J11" s="1739">
        <f t="shared" si="4"/>
        <v>0</v>
      </c>
      <c r="K11" s="1739"/>
      <c r="L11" s="1740">
        <f t="shared" si="5"/>
        <v>0</v>
      </c>
      <c r="M11" s="1739"/>
      <c r="N11" s="1740">
        <f t="shared" si="6"/>
        <v>0</v>
      </c>
      <c r="O11" s="1739"/>
      <c r="P11" s="1740">
        <f t="shared" si="7"/>
        <v>0</v>
      </c>
      <c r="Q11" s="1740"/>
      <c r="R11" s="1740">
        <f t="shared" si="8"/>
        <v>0</v>
      </c>
      <c r="S11" s="1739"/>
      <c r="T11" s="1739">
        <f>341*S11</f>
        <v>0</v>
      </c>
      <c r="U11" s="1739"/>
      <c r="V11" s="1739">
        <f t="shared" si="10"/>
        <v>0</v>
      </c>
      <c r="W11" s="17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111254</v>
      </c>
      <c r="D12" s="18">
        <f t="shared" si="12"/>
        <v>108194.515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643</v>
      </c>
      <c r="J12" s="18">
        <f t="shared" si="12"/>
        <v>11895.5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120090.015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44" t="s">
        <v>174</v>
      </c>
      <c r="K14" s="30" t="s">
        <v>36</v>
      </c>
      <c r="L14" s="1744" t="s">
        <v>403</v>
      </c>
      <c r="M14" s="30" t="s">
        <v>429</v>
      </c>
      <c r="N14" s="30" t="s">
        <v>442</v>
      </c>
      <c r="O14" s="1744" t="s">
        <v>114</v>
      </c>
      <c r="P14" s="30" t="s">
        <v>70</v>
      </c>
      <c r="Q14" s="1958" t="s">
        <v>479</v>
      </c>
      <c r="R14" s="1959"/>
      <c r="S14" s="1744" t="s">
        <v>401</v>
      </c>
      <c r="T14" s="1893" t="s">
        <v>46</v>
      </c>
      <c r="U14" s="1736" t="s">
        <v>176</v>
      </c>
      <c r="V14" s="1918">
        <v>15089</v>
      </c>
      <c r="W14" s="1926"/>
      <c r="X14" s="1919"/>
    </row>
    <row r="15" spans="1:25" ht="22.5" customHeight="1" x14ac:dyDescent="0.25">
      <c r="A15" s="100" t="s">
        <v>38</v>
      </c>
      <c r="B15" s="1918">
        <v>737155</v>
      </c>
      <c r="C15" s="1919"/>
      <c r="D15" s="1741">
        <v>0</v>
      </c>
      <c r="E15" s="1741">
        <v>0</v>
      </c>
      <c r="F15" s="1741">
        <v>643</v>
      </c>
      <c r="G15" s="1741">
        <v>0</v>
      </c>
      <c r="H15" s="1741">
        <v>38</v>
      </c>
      <c r="I15" s="1741">
        <v>5</v>
      </c>
      <c r="J15" s="1741">
        <v>4</v>
      </c>
      <c r="K15" s="1741">
        <v>66</v>
      </c>
      <c r="L15" s="1741">
        <v>0</v>
      </c>
      <c r="M15" s="1741">
        <v>0</v>
      </c>
      <c r="N15" s="1741">
        <v>0</v>
      </c>
      <c r="O15" s="1741">
        <v>0</v>
      </c>
      <c r="P15" s="1741">
        <v>100</v>
      </c>
      <c r="Q15" s="1918">
        <v>10</v>
      </c>
      <c r="R15" s="1919"/>
      <c r="S15" s="1736">
        <v>2</v>
      </c>
      <c r="T15" s="1893"/>
      <c r="U15" s="1736" t="s">
        <v>64</v>
      </c>
      <c r="V15" s="1920">
        <v>12127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741"/>
      <c r="E16" s="1741"/>
      <c r="F16" s="1741"/>
      <c r="G16" s="1741"/>
      <c r="H16" s="1741"/>
      <c r="I16" s="1741"/>
      <c r="J16" s="1741"/>
      <c r="K16" s="1741"/>
      <c r="L16" s="1741"/>
      <c r="M16" s="1741"/>
      <c r="N16" s="1741"/>
      <c r="O16" s="1741"/>
      <c r="P16" s="1741"/>
      <c r="Q16" s="1920"/>
      <c r="R16" s="1920"/>
      <c r="S16" s="1741"/>
      <c r="T16" s="1912" t="s">
        <v>55</v>
      </c>
      <c r="U16" s="1912"/>
      <c r="V16" s="1925">
        <f>Y12</f>
        <v>120090.015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741"/>
      <c r="E17" s="1741"/>
      <c r="F17" s="1741"/>
      <c r="G17" s="1741"/>
      <c r="H17" s="1741"/>
      <c r="I17" s="1741"/>
      <c r="J17" s="1741"/>
      <c r="K17" s="1741"/>
      <c r="L17" s="1741"/>
      <c r="M17" s="1741"/>
      <c r="N17" s="1741"/>
      <c r="O17" s="1741"/>
      <c r="P17" s="1741"/>
      <c r="Q17" s="1883"/>
      <c r="R17" s="1883"/>
      <c r="S17" s="1738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111254</v>
      </c>
      <c r="C18" s="1919"/>
      <c r="D18" s="1742">
        <f>E12</f>
        <v>0</v>
      </c>
      <c r="E18" s="1742">
        <f>G12</f>
        <v>0</v>
      </c>
      <c r="F18" s="1742">
        <f>I12</f>
        <v>643</v>
      </c>
      <c r="G18" s="1742">
        <f>K12</f>
        <v>0</v>
      </c>
      <c r="H18" s="1741"/>
      <c r="I18" s="1742">
        <f>U12</f>
        <v>0</v>
      </c>
      <c r="J18" s="1741"/>
      <c r="K18" s="1742">
        <f>W12</f>
        <v>0</v>
      </c>
      <c r="L18" s="1741"/>
      <c r="M18" s="1742">
        <f>M12</f>
        <v>0</v>
      </c>
      <c r="N18" s="1742">
        <f>O12</f>
        <v>0</v>
      </c>
      <c r="O18" s="1743">
        <f>Q12</f>
        <v>0</v>
      </c>
      <c r="P18" s="1742"/>
      <c r="Q18" s="1920"/>
      <c r="R18" s="1920"/>
      <c r="S18" s="1736"/>
      <c r="T18" s="1912" t="s">
        <v>57</v>
      </c>
      <c r="U18" s="1912"/>
      <c r="V18" s="1920">
        <v>9670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625901</v>
      </c>
      <c r="C19" s="1919"/>
      <c r="D19" s="1741">
        <f>D15+D16+D17-D18</f>
        <v>0</v>
      </c>
      <c r="E19" s="1741">
        <f t="shared" ref="E19:N19" si="13">E15+E16+E17-E18</f>
        <v>0</v>
      </c>
      <c r="F19" s="1741">
        <f t="shared" si="13"/>
        <v>0</v>
      </c>
      <c r="G19" s="1741">
        <f t="shared" si="13"/>
        <v>0</v>
      </c>
      <c r="H19" s="1741">
        <f t="shared" si="13"/>
        <v>38</v>
      </c>
      <c r="I19" s="1741">
        <f t="shared" si="13"/>
        <v>5</v>
      </c>
      <c r="J19" s="1741">
        <f t="shared" si="13"/>
        <v>4</v>
      </c>
      <c r="K19" s="1741">
        <f t="shared" si="13"/>
        <v>66</v>
      </c>
      <c r="L19" s="1741">
        <f t="shared" si="13"/>
        <v>0</v>
      </c>
      <c r="M19" s="1741">
        <f t="shared" si="13"/>
        <v>0</v>
      </c>
      <c r="N19" s="1741">
        <f t="shared" si="13"/>
        <v>0</v>
      </c>
      <c r="O19" s="1741">
        <f>O15+O16+O17-O18</f>
        <v>0</v>
      </c>
      <c r="P19" s="1741">
        <f t="shared" ref="P19:Q19" si="14">P15+P16+P17-P18</f>
        <v>100</v>
      </c>
      <c r="Q19" s="1918">
        <f t="shared" si="14"/>
        <v>10</v>
      </c>
      <c r="R19" s="1919"/>
      <c r="S19" s="1736">
        <f>S15+S16-S17-S18</f>
        <v>2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602429.71250000002</v>
      </c>
      <c r="C20" s="1945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630968.71250000002</v>
      </c>
      <c r="C21" s="1951"/>
      <c r="O21" s="1745"/>
      <c r="P21" s="1745"/>
      <c r="Q21" s="1745"/>
      <c r="R21" s="1745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260000</v>
      </c>
      <c r="D22" s="1949"/>
      <c r="E22" s="1949"/>
      <c r="F22" s="1949">
        <f>C22-D22+E22</f>
        <v>260000</v>
      </c>
      <c r="G22" s="1745"/>
      <c r="Q22" s="1745"/>
      <c r="R22" s="1745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1745"/>
      <c r="B23" s="1947"/>
      <c r="C23" s="1950"/>
      <c r="D23" s="1950"/>
      <c r="E23" s="1950"/>
      <c r="F23" s="1950"/>
      <c r="G23" s="1745"/>
      <c r="Q23" s="1745"/>
      <c r="R23" s="1745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1745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745"/>
      <c r="Q24" s="1745"/>
      <c r="R24" s="1745"/>
      <c r="T24" s="1893" t="s">
        <v>47</v>
      </c>
      <c r="U24" s="51" t="s">
        <v>62</v>
      </c>
      <c r="V24" s="1921">
        <f>V14+V16+V17-V18-V19-V20-V22+V23-V21</f>
        <v>125509.01500000001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12127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745"/>
      <c r="J33" s="1745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20A1E-2D5E-44A9-B051-FA74A55BC83E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1900" t="s">
        <v>532</v>
      </c>
      <c r="U3" s="1900"/>
      <c r="V3" s="1900"/>
      <c r="W3" s="1900"/>
      <c r="X3" s="1900"/>
      <c r="Y3" s="1900"/>
    </row>
    <row r="4" spans="1:25" s="1751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751" customFormat="1" ht="25.5" customHeight="1" x14ac:dyDescent="0.25">
      <c r="A5" s="1901"/>
      <c r="B5" s="1901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749" t="s">
        <v>71</v>
      </c>
      <c r="C6" s="1747">
        <v>27532</v>
      </c>
      <c r="D6" s="1746">
        <f t="shared" ref="D6:D11" si="0">0.9725*C6</f>
        <v>26774.870000000003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26774.870000000003</v>
      </c>
    </row>
    <row r="7" spans="1:25" ht="31.5" customHeight="1" x14ac:dyDescent="0.25">
      <c r="A7" s="12">
        <v>1984225578</v>
      </c>
      <c r="B7" s="1749" t="s">
        <v>509</v>
      </c>
      <c r="C7" s="1747">
        <v>28361</v>
      </c>
      <c r="D7" s="1746">
        <f t="shared" si="0"/>
        <v>27581.072500000002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/>
      <c r="V7" s="1747">
        <f t="shared" ref="V7:V11" si="10">332*U7</f>
        <v>0</v>
      </c>
      <c r="W7" s="1747"/>
      <c r="X7" s="19">
        <f t="shared" ref="X7:X11" si="11">W7*100</f>
        <v>0</v>
      </c>
      <c r="Y7" s="20">
        <f t="shared" si="1"/>
        <v>27581.072500000002</v>
      </c>
    </row>
    <row r="8" spans="1:25" ht="35.25" customHeight="1" x14ac:dyDescent="0.25">
      <c r="A8" s="12">
        <v>1967020280</v>
      </c>
      <c r="B8" s="1749" t="s">
        <v>427</v>
      </c>
      <c r="C8" s="1747">
        <v>19392</v>
      </c>
      <c r="D8" s="1746">
        <f t="shared" si="0"/>
        <v>18858.72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18858.72</v>
      </c>
    </row>
    <row r="9" spans="1:25" ht="38.25" customHeight="1" x14ac:dyDescent="0.25">
      <c r="A9" s="12">
        <v>1984225580</v>
      </c>
      <c r="B9" s="1749" t="s">
        <v>75</v>
      </c>
      <c r="C9" s="1747">
        <v>66130</v>
      </c>
      <c r="D9" s="1746">
        <f t="shared" si="0"/>
        <v>64311.425000000003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64311.425000000003</v>
      </c>
    </row>
    <row r="10" spans="1:25" ht="35.25" customHeight="1" x14ac:dyDescent="0.25">
      <c r="A10" s="12">
        <v>1409935199</v>
      </c>
      <c r="C10" s="1747"/>
      <c r="D10" s="1746">
        <f t="shared" si="0"/>
        <v>0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141415</v>
      </c>
      <c r="D12" s="18">
        <f t="shared" si="12"/>
        <v>137526.08750000002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137526.08750000002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1958" t="s">
        <v>479</v>
      </c>
      <c r="R14" s="1959"/>
      <c r="S14" s="1755" t="s">
        <v>401</v>
      </c>
      <c r="T14" s="1893" t="s">
        <v>46</v>
      </c>
      <c r="U14" s="1749" t="s">
        <v>176</v>
      </c>
      <c r="V14" s="1918">
        <v>125509</v>
      </c>
      <c r="W14" s="1926"/>
      <c r="X14" s="1919"/>
    </row>
    <row r="15" spans="1:25" ht="22.5" customHeight="1" x14ac:dyDescent="0.25">
      <c r="A15" s="100" t="s">
        <v>38</v>
      </c>
      <c r="B15" s="1918">
        <v>625901</v>
      </c>
      <c r="C15" s="1919"/>
      <c r="D15" s="1752">
        <v>0</v>
      </c>
      <c r="E15" s="1752">
        <v>0</v>
      </c>
      <c r="F15" s="1752">
        <v>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1918">
        <v>10</v>
      </c>
      <c r="R15" s="1919"/>
      <c r="S15" s="1749">
        <v>2</v>
      </c>
      <c r="T15" s="1893"/>
      <c r="U15" s="1749" t="s">
        <v>64</v>
      </c>
      <c r="V15" s="1920">
        <v>12127</v>
      </c>
      <c r="W15" s="1920"/>
      <c r="X15" s="1920"/>
    </row>
    <row r="16" spans="1:25" ht="24.75" customHeight="1" x14ac:dyDescent="0.25">
      <c r="A16" s="100" t="s">
        <v>39</v>
      </c>
      <c r="B16" s="1918">
        <v>78155</v>
      </c>
      <c r="C16" s="1919"/>
      <c r="D16" s="1752"/>
      <c r="E16" s="1752"/>
      <c r="F16" s="1752">
        <v>2500</v>
      </c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1920"/>
      <c r="R16" s="1920"/>
      <c r="S16" s="1752"/>
      <c r="T16" s="1912" t="s">
        <v>55</v>
      </c>
      <c r="U16" s="1912"/>
      <c r="V16" s="1925">
        <f>Y12</f>
        <v>137526.08750000002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1883"/>
      <c r="R17" s="1883"/>
      <c r="S17" s="1748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141415</v>
      </c>
      <c r="C18" s="1919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0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1920"/>
      <c r="R18" s="1920"/>
      <c r="S18" s="1749"/>
      <c r="T18" s="1912" t="s">
        <v>57</v>
      </c>
      <c r="U18" s="1912"/>
      <c r="V18" s="1920">
        <v>2628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562641</v>
      </c>
      <c r="C19" s="1919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5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1918">
        <f t="shared" si="14"/>
        <v>10</v>
      </c>
      <c r="R19" s="1919"/>
      <c r="S19" s="1749">
        <f>S15+S16-S17-S18</f>
        <v>2</v>
      </c>
      <c r="T19" s="1914" t="s">
        <v>48</v>
      </c>
      <c r="U19" s="49" t="s">
        <v>58</v>
      </c>
      <c r="V19" s="1920">
        <v>260000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541541.96250000002</v>
      </c>
      <c r="C20" s="1945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615855.96250000002</v>
      </c>
      <c r="C21" s="1951"/>
      <c r="O21" s="1756"/>
      <c r="P21" s="1756"/>
      <c r="Q21" s="1756"/>
      <c r="R21" s="1756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260000</v>
      </c>
      <c r="D22" s="1949">
        <v>260000</v>
      </c>
      <c r="E22" s="1949">
        <v>121000</v>
      </c>
      <c r="F22" s="1949">
        <f>C22-D22+E22</f>
        <v>121000</v>
      </c>
      <c r="G22" s="1756"/>
      <c r="Q22" s="1756"/>
      <c r="R22" s="1756"/>
      <c r="T22" s="1909" t="s">
        <v>83</v>
      </c>
      <c r="U22" s="50" t="s">
        <v>60</v>
      </c>
      <c r="V22" s="1920">
        <v>259320</v>
      </c>
      <c r="W22" s="1920"/>
      <c r="X22" s="1920"/>
      <c r="Y22" s="1927"/>
    </row>
    <row r="23" spans="1:25" ht="39.75" customHeight="1" x14ac:dyDescent="0.25">
      <c r="A23" s="1756"/>
      <c r="B23" s="1947"/>
      <c r="C23" s="1950"/>
      <c r="D23" s="1950"/>
      <c r="E23" s="1950"/>
      <c r="F23" s="1950"/>
      <c r="G23" s="1756"/>
      <c r="Q23" s="1756"/>
      <c r="R23" s="1756"/>
      <c r="T23" s="1910"/>
      <c r="U23" s="50" t="s">
        <v>61</v>
      </c>
      <c r="V23" s="1920">
        <v>262108</v>
      </c>
      <c r="W23" s="1920"/>
      <c r="X23" s="1920"/>
      <c r="Y23" s="1927"/>
    </row>
    <row r="24" spans="1:25" ht="48" customHeight="1" x14ac:dyDescent="0.25">
      <c r="A24" s="1756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1893" t="s">
        <v>47</v>
      </c>
      <c r="U24" s="51" t="s">
        <v>62</v>
      </c>
      <c r="V24" s="1921">
        <f>V14+V16+V17-V18-V19-V20-V22+V23-V21</f>
        <v>3195.0875000000233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9339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756"/>
      <c r="J33" s="1756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B7423-B0DC-4C67-81D9-AE32AD75A40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1900" t="s">
        <v>533</v>
      </c>
      <c r="U3" s="1900"/>
      <c r="V3" s="1900"/>
      <c r="W3" s="1900"/>
      <c r="X3" s="1900"/>
      <c r="Y3" s="1900"/>
    </row>
    <row r="4" spans="1:25" s="1751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751" customFormat="1" ht="25.5" customHeight="1" x14ac:dyDescent="0.25">
      <c r="A5" s="1901"/>
      <c r="B5" s="1901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749" t="s">
        <v>71</v>
      </c>
      <c r="C6" s="1747">
        <v>55434</v>
      </c>
      <c r="D6" s="1746">
        <f t="shared" ref="D6:D11" si="0">0.9725*C6</f>
        <v>53909.565000000002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53909.565000000002</v>
      </c>
    </row>
    <row r="7" spans="1:25" ht="31.5" customHeight="1" x14ac:dyDescent="0.25">
      <c r="A7" s="12">
        <v>1984225578</v>
      </c>
      <c r="B7" s="1749" t="s">
        <v>509</v>
      </c>
      <c r="C7" s="1747">
        <v>34581</v>
      </c>
      <c r="D7" s="1746">
        <f t="shared" si="0"/>
        <v>33630.022499999999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>
        <v>5</v>
      </c>
      <c r="V7" s="1747">
        <f t="shared" ref="V7:V11" si="10">332*U7</f>
        <v>1660</v>
      </c>
      <c r="W7" s="1747"/>
      <c r="X7" s="19">
        <f t="shared" ref="X7:X11" si="11">W7*100</f>
        <v>0</v>
      </c>
      <c r="Y7" s="20">
        <f t="shared" si="1"/>
        <v>35290.022499999999</v>
      </c>
    </row>
    <row r="8" spans="1:25" ht="35.25" customHeight="1" x14ac:dyDescent="0.25">
      <c r="A8" s="12">
        <v>1967020280</v>
      </c>
      <c r="B8" s="1749" t="s">
        <v>427</v>
      </c>
      <c r="C8" s="1747">
        <v>22728</v>
      </c>
      <c r="D8" s="1746">
        <f t="shared" si="0"/>
        <v>22102.98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22102.98</v>
      </c>
    </row>
    <row r="9" spans="1:25" ht="38.25" customHeight="1" x14ac:dyDescent="0.25">
      <c r="A9" s="12">
        <v>1984225580</v>
      </c>
      <c r="B9" s="1749" t="s">
        <v>75</v>
      </c>
      <c r="C9" s="1747">
        <v>29614</v>
      </c>
      <c r="D9" s="1746">
        <f t="shared" si="0"/>
        <v>28799.615000000002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28799.615000000002</v>
      </c>
    </row>
    <row r="10" spans="1:25" ht="35.25" customHeight="1" x14ac:dyDescent="0.25">
      <c r="A10" s="12">
        <v>1409935199</v>
      </c>
      <c r="C10" s="1747">
        <v>24254</v>
      </c>
      <c r="D10" s="1746">
        <f t="shared" si="0"/>
        <v>23587.014999999999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23587.014999999999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166611</v>
      </c>
      <c r="D12" s="18">
        <f t="shared" si="12"/>
        <v>162029.19750000001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163689.19750000001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1958" t="s">
        <v>479</v>
      </c>
      <c r="R14" s="1959"/>
      <c r="S14" s="1755" t="s">
        <v>401</v>
      </c>
      <c r="T14" s="1893" t="s">
        <v>46</v>
      </c>
      <c r="U14" s="1749" t="s">
        <v>176</v>
      </c>
      <c r="V14" s="1918">
        <v>3195</v>
      </c>
      <c r="W14" s="1926"/>
      <c r="X14" s="1919"/>
    </row>
    <row r="15" spans="1:25" ht="22.5" customHeight="1" x14ac:dyDescent="0.25">
      <c r="A15" s="100" t="s">
        <v>38</v>
      </c>
      <c r="B15" s="1918">
        <v>562641</v>
      </c>
      <c r="C15" s="1919"/>
      <c r="D15" s="1752">
        <v>0</v>
      </c>
      <c r="E15" s="1752">
        <v>0</v>
      </c>
      <c r="F15" s="1752">
        <v>2500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1918">
        <v>10</v>
      </c>
      <c r="R15" s="1919"/>
      <c r="S15" s="1749">
        <v>2</v>
      </c>
      <c r="T15" s="1893"/>
      <c r="U15" s="1749" t="s">
        <v>64</v>
      </c>
      <c r="V15" s="1920">
        <v>9339</v>
      </c>
      <c r="W15" s="1920"/>
      <c r="X15" s="1920"/>
    </row>
    <row r="16" spans="1:25" ht="24.75" customHeight="1" x14ac:dyDescent="0.25">
      <c r="A16" s="100" t="s">
        <v>39</v>
      </c>
      <c r="B16" s="1918">
        <v>103896</v>
      </c>
      <c r="C16" s="1919"/>
      <c r="D16" s="1752"/>
      <c r="E16" s="1752"/>
      <c r="F16" s="1752"/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1920"/>
      <c r="R16" s="1920"/>
      <c r="S16" s="1752"/>
      <c r="T16" s="1912" t="s">
        <v>55</v>
      </c>
      <c r="U16" s="1912"/>
      <c r="V16" s="1925">
        <f>Y12</f>
        <v>163689.19750000001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1883"/>
      <c r="R17" s="1883"/>
      <c r="S17" s="1748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166611</v>
      </c>
      <c r="C18" s="1919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5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1920"/>
      <c r="R18" s="1920"/>
      <c r="S18" s="1749"/>
      <c r="T18" s="1912" t="s">
        <v>57</v>
      </c>
      <c r="U18" s="1912"/>
      <c r="V18" s="1920">
        <v>2780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499926</v>
      </c>
      <c r="C19" s="1919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0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1918">
        <f t="shared" si="14"/>
        <v>10</v>
      </c>
      <c r="R19" s="1919"/>
      <c r="S19" s="1749">
        <f>S15+S16-S17-S18</f>
        <v>2</v>
      </c>
      <c r="T19" s="1914" t="s">
        <v>48</v>
      </c>
      <c r="U19" s="49" t="s">
        <v>58</v>
      </c>
      <c r="V19" s="1920">
        <v>121000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481178.77500000002</v>
      </c>
      <c r="C20" s="1945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553877.77500000002</v>
      </c>
      <c r="C21" s="1951"/>
      <c r="O21" s="1756"/>
      <c r="P21" s="1756"/>
      <c r="Q21" s="1756"/>
      <c r="R21" s="1756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121000</v>
      </c>
      <c r="D22" s="1949">
        <v>121000</v>
      </c>
      <c r="E22" s="1949">
        <v>100000</v>
      </c>
      <c r="F22" s="1949">
        <f>C22-D22+E22</f>
        <v>100000</v>
      </c>
      <c r="G22" s="1756"/>
      <c r="Q22" s="1756"/>
      <c r="R22" s="1756"/>
      <c r="T22" s="1909" t="s">
        <v>83</v>
      </c>
      <c r="U22" s="50" t="s">
        <v>60</v>
      </c>
      <c r="V22" s="1920">
        <v>136750</v>
      </c>
      <c r="W22" s="1920"/>
      <c r="X22" s="1920"/>
      <c r="Y22" s="1927"/>
    </row>
    <row r="23" spans="1:25" ht="39.75" customHeight="1" x14ac:dyDescent="0.25">
      <c r="A23" s="1756"/>
      <c r="B23" s="1947"/>
      <c r="C23" s="1950"/>
      <c r="D23" s="1950"/>
      <c r="E23" s="1950"/>
      <c r="F23" s="1950"/>
      <c r="G23" s="1756"/>
      <c r="Q23" s="1756"/>
      <c r="R23" s="1756"/>
      <c r="T23" s="1910"/>
      <c r="U23" s="50" t="s">
        <v>61</v>
      </c>
      <c r="V23" s="1920">
        <v>121000</v>
      </c>
      <c r="W23" s="1920"/>
      <c r="X23" s="1920"/>
      <c r="Y23" s="1927"/>
    </row>
    <row r="24" spans="1:25" ht="48" customHeight="1" x14ac:dyDescent="0.25">
      <c r="A24" s="1756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1893" t="s">
        <v>47</v>
      </c>
      <c r="U24" s="51" t="s">
        <v>62</v>
      </c>
      <c r="V24" s="1921">
        <f>V14+V16+V17-V18-V19-V20-V22+V23-V21</f>
        <v>27354.197500000009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25089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756"/>
      <c r="J33" s="1756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268D6-8CCB-434C-93ED-FEBD316A695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757"/>
      <c r="B3" s="1757"/>
      <c r="C3" s="1757"/>
      <c r="D3" s="1757"/>
      <c r="E3" s="1757"/>
      <c r="F3" s="1757"/>
      <c r="G3" s="1757"/>
      <c r="H3" s="1757"/>
      <c r="I3" s="1757"/>
      <c r="J3" s="1757"/>
      <c r="K3" s="1757"/>
      <c r="L3" s="1757"/>
      <c r="M3" s="1757"/>
      <c r="N3" s="1757"/>
      <c r="O3" s="1757"/>
      <c r="P3" s="1757"/>
      <c r="Q3" s="1757"/>
      <c r="R3" s="1757"/>
      <c r="S3" s="1757"/>
      <c r="T3" s="1900" t="s">
        <v>534</v>
      </c>
      <c r="U3" s="1900"/>
      <c r="V3" s="1900"/>
      <c r="W3" s="1900"/>
      <c r="X3" s="1900"/>
      <c r="Y3" s="1900"/>
    </row>
    <row r="4" spans="1:25" s="175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757" customFormat="1" ht="25.5" customHeight="1" x14ac:dyDescent="0.25">
      <c r="A5" s="1901"/>
      <c r="B5" s="1901"/>
      <c r="C5" s="1759" t="s">
        <v>42</v>
      </c>
      <c r="D5" s="1759" t="s">
        <v>43</v>
      </c>
      <c r="E5" s="1759" t="s">
        <v>42</v>
      </c>
      <c r="F5" s="1759" t="s">
        <v>43</v>
      </c>
      <c r="G5" s="1759" t="s">
        <v>42</v>
      </c>
      <c r="H5" s="1759" t="s">
        <v>43</v>
      </c>
      <c r="I5" s="1759" t="s">
        <v>42</v>
      </c>
      <c r="J5" s="1759" t="s">
        <v>43</v>
      </c>
      <c r="K5" s="1759" t="s">
        <v>42</v>
      </c>
      <c r="L5" s="1759" t="s">
        <v>43</v>
      </c>
      <c r="M5" s="1759" t="s">
        <v>42</v>
      </c>
      <c r="N5" s="1759" t="s">
        <v>43</v>
      </c>
      <c r="O5" s="1759" t="s">
        <v>42</v>
      </c>
      <c r="P5" s="1759" t="s">
        <v>43</v>
      </c>
      <c r="Q5" s="1759" t="s">
        <v>42</v>
      </c>
      <c r="R5" s="17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758" t="s">
        <v>71</v>
      </c>
      <c r="C6" s="1761">
        <v>26927</v>
      </c>
      <c r="D6" s="1762">
        <f t="shared" ref="D6:D11" si="0">0.9725*C6</f>
        <v>26186.5075</v>
      </c>
      <c r="E6" s="1761"/>
      <c r="F6" s="1762">
        <f>67.1*E6</f>
        <v>0</v>
      </c>
      <c r="G6" s="1761"/>
      <c r="H6" s="1761">
        <f>28.2*G6</f>
        <v>0</v>
      </c>
      <c r="I6" s="1761"/>
      <c r="J6" s="1761">
        <f>18.5*I6</f>
        <v>0</v>
      </c>
      <c r="K6" s="1761"/>
      <c r="L6" s="1762">
        <f>28.2368*K6</f>
        <v>0</v>
      </c>
      <c r="M6" s="1761"/>
      <c r="N6" s="1762">
        <f>M6*47.6525</f>
        <v>0</v>
      </c>
      <c r="O6" s="1761"/>
      <c r="P6" s="1762">
        <f>O6*8.9</f>
        <v>0</v>
      </c>
      <c r="Q6" s="1762"/>
      <c r="R6" s="1762">
        <f>241*Q6</f>
        <v>0</v>
      </c>
      <c r="S6" s="1761"/>
      <c r="T6" s="1761">
        <f>241*S6</f>
        <v>0</v>
      </c>
      <c r="U6" s="1761"/>
      <c r="V6" s="1761">
        <f>332*U6</f>
        <v>0</v>
      </c>
      <c r="W6" s="1761"/>
      <c r="X6" s="19">
        <f>W6*100</f>
        <v>0</v>
      </c>
      <c r="Y6" s="20">
        <f t="shared" ref="Y6:Y12" si="1">D6+F6+H6+J6+L6+N6+P6+R6+T6+V6+X6</f>
        <v>26186.5075</v>
      </c>
    </row>
    <row r="7" spans="1:25" ht="31.5" customHeight="1" x14ac:dyDescent="0.25">
      <c r="A7" s="12">
        <v>1984225578</v>
      </c>
      <c r="B7" s="1758" t="s">
        <v>509</v>
      </c>
      <c r="C7" s="1761">
        <v>35847</v>
      </c>
      <c r="D7" s="1762">
        <f t="shared" si="0"/>
        <v>34861.207500000004</v>
      </c>
      <c r="E7" s="1761"/>
      <c r="F7" s="1761">
        <f t="shared" ref="F7:F11" si="2">67.1*E7</f>
        <v>0</v>
      </c>
      <c r="G7" s="1761"/>
      <c r="H7" s="1761">
        <f t="shared" ref="H7:H11" si="3">28.2*G7</f>
        <v>0</v>
      </c>
      <c r="I7" s="1761"/>
      <c r="J7" s="1761">
        <f t="shared" ref="J7:J11" si="4">18.5*I7</f>
        <v>0</v>
      </c>
      <c r="K7" s="1761"/>
      <c r="L7" s="1762">
        <f t="shared" ref="L7:L11" si="5">28.2368*K7</f>
        <v>0</v>
      </c>
      <c r="M7" s="1761"/>
      <c r="N7" s="1762">
        <f t="shared" ref="N7:N11" si="6">M7*47.6525</f>
        <v>0</v>
      </c>
      <c r="O7" s="1761"/>
      <c r="P7" s="1762">
        <f t="shared" ref="P7:P11" si="7">O7*8.9</f>
        <v>0</v>
      </c>
      <c r="Q7" s="1762"/>
      <c r="R7" s="1762">
        <f t="shared" ref="R7:R11" si="8">241*Q7</f>
        <v>0</v>
      </c>
      <c r="S7" s="1761"/>
      <c r="T7" s="1761">
        <f t="shared" ref="T7:T10" si="9">241*S7</f>
        <v>0</v>
      </c>
      <c r="U7" s="1761"/>
      <c r="V7" s="1761">
        <f t="shared" ref="V7:V11" si="10">332*U7</f>
        <v>0</v>
      </c>
      <c r="W7" s="1761"/>
      <c r="X7" s="19">
        <f t="shared" ref="X7:X11" si="11">W7*100</f>
        <v>0</v>
      </c>
      <c r="Y7" s="20">
        <f t="shared" si="1"/>
        <v>34861.207500000004</v>
      </c>
    </row>
    <row r="8" spans="1:25" ht="35.25" customHeight="1" x14ac:dyDescent="0.25">
      <c r="A8" s="12">
        <v>1967020280</v>
      </c>
      <c r="B8" s="1758" t="s">
        <v>427</v>
      </c>
      <c r="C8" s="1761">
        <v>24256</v>
      </c>
      <c r="D8" s="1762">
        <f t="shared" si="0"/>
        <v>23588.959999999999</v>
      </c>
      <c r="E8" s="1761"/>
      <c r="F8" s="1761">
        <f t="shared" si="2"/>
        <v>0</v>
      </c>
      <c r="G8" s="1761"/>
      <c r="H8" s="1762">
        <f t="shared" si="3"/>
        <v>0</v>
      </c>
      <c r="I8" s="1761"/>
      <c r="J8" s="1761">
        <f t="shared" si="4"/>
        <v>0</v>
      </c>
      <c r="K8" s="1761"/>
      <c r="L8" s="1762">
        <f t="shared" si="5"/>
        <v>0</v>
      </c>
      <c r="M8" s="1761"/>
      <c r="N8" s="1762">
        <f t="shared" si="6"/>
        <v>0</v>
      </c>
      <c r="O8" s="1761"/>
      <c r="P8" s="1762">
        <f t="shared" si="7"/>
        <v>0</v>
      </c>
      <c r="Q8" s="1762"/>
      <c r="R8" s="1762">
        <f t="shared" si="8"/>
        <v>0</v>
      </c>
      <c r="S8" s="1761"/>
      <c r="T8" s="1761">
        <f t="shared" si="9"/>
        <v>0</v>
      </c>
      <c r="U8" s="1761"/>
      <c r="V8" s="1761">
        <f t="shared" si="10"/>
        <v>0</v>
      </c>
      <c r="W8" s="1761"/>
      <c r="X8" s="19">
        <f t="shared" si="11"/>
        <v>0</v>
      </c>
      <c r="Y8" s="20">
        <f t="shared" si="1"/>
        <v>23588.959999999999</v>
      </c>
    </row>
    <row r="9" spans="1:25" ht="38.25" customHeight="1" x14ac:dyDescent="0.25">
      <c r="A9" s="12">
        <v>1984225580</v>
      </c>
      <c r="B9" s="1758" t="s">
        <v>75</v>
      </c>
      <c r="C9" s="1761">
        <v>36158</v>
      </c>
      <c r="D9" s="1762">
        <f t="shared" si="0"/>
        <v>35163.654999999999</v>
      </c>
      <c r="E9" s="1761"/>
      <c r="F9" s="1761">
        <f t="shared" si="2"/>
        <v>0</v>
      </c>
      <c r="G9" s="1761"/>
      <c r="H9" s="1761">
        <f t="shared" si="3"/>
        <v>0</v>
      </c>
      <c r="I9" s="1761"/>
      <c r="J9" s="1761">
        <f t="shared" si="4"/>
        <v>0</v>
      </c>
      <c r="K9" s="1761"/>
      <c r="L9" s="1762">
        <f t="shared" si="5"/>
        <v>0</v>
      </c>
      <c r="M9" s="1761"/>
      <c r="N9" s="1762">
        <f t="shared" si="6"/>
        <v>0</v>
      </c>
      <c r="O9" s="1761"/>
      <c r="P9" s="1762">
        <f t="shared" si="7"/>
        <v>0</v>
      </c>
      <c r="Q9" s="1762"/>
      <c r="R9" s="1762">
        <f t="shared" si="8"/>
        <v>0</v>
      </c>
      <c r="S9" s="1761"/>
      <c r="T9" s="1761">
        <f t="shared" si="9"/>
        <v>0</v>
      </c>
      <c r="U9" s="1761"/>
      <c r="V9" s="1761">
        <f t="shared" si="10"/>
        <v>0</v>
      </c>
      <c r="W9" s="1761"/>
      <c r="X9" s="19">
        <f t="shared" si="11"/>
        <v>0</v>
      </c>
      <c r="Y9" s="20">
        <f t="shared" si="1"/>
        <v>35163.654999999999</v>
      </c>
    </row>
    <row r="10" spans="1:25" ht="35.25" customHeight="1" x14ac:dyDescent="0.25">
      <c r="A10" s="12">
        <v>1409935199</v>
      </c>
      <c r="C10" s="1761"/>
      <c r="D10" s="1762">
        <f t="shared" si="0"/>
        <v>0</v>
      </c>
      <c r="E10" s="1761"/>
      <c r="F10" s="1761">
        <f t="shared" si="2"/>
        <v>0</v>
      </c>
      <c r="G10" s="1761"/>
      <c r="H10" s="1761">
        <f t="shared" si="3"/>
        <v>0</v>
      </c>
      <c r="I10" s="1761"/>
      <c r="J10" s="1761">
        <f t="shared" si="4"/>
        <v>0</v>
      </c>
      <c r="K10" s="1761"/>
      <c r="L10" s="1762">
        <f t="shared" si="5"/>
        <v>0</v>
      </c>
      <c r="M10" s="1761"/>
      <c r="N10" s="1762">
        <f t="shared" si="6"/>
        <v>0</v>
      </c>
      <c r="O10" s="1761"/>
      <c r="P10" s="1762">
        <f t="shared" si="7"/>
        <v>0</v>
      </c>
      <c r="Q10" s="1762"/>
      <c r="R10" s="1762">
        <f t="shared" si="8"/>
        <v>0</v>
      </c>
      <c r="S10" s="1761"/>
      <c r="T10" s="1761">
        <f t="shared" si="9"/>
        <v>0</v>
      </c>
      <c r="U10" s="1761"/>
      <c r="V10" s="1761">
        <f t="shared" si="10"/>
        <v>0</v>
      </c>
      <c r="W10" s="176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60"/>
      <c r="C11" s="1761"/>
      <c r="D11" s="1762">
        <f t="shared" si="0"/>
        <v>0</v>
      </c>
      <c r="E11" s="1761"/>
      <c r="F11" s="1761">
        <f t="shared" si="2"/>
        <v>0</v>
      </c>
      <c r="G11" s="1761"/>
      <c r="H11" s="1761">
        <f t="shared" si="3"/>
        <v>0</v>
      </c>
      <c r="I11" s="1761"/>
      <c r="J11" s="1761">
        <f t="shared" si="4"/>
        <v>0</v>
      </c>
      <c r="K11" s="1761"/>
      <c r="L11" s="1762">
        <f t="shared" si="5"/>
        <v>0</v>
      </c>
      <c r="M11" s="1761"/>
      <c r="N11" s="1762">
        <f t="shared" si="6"/>
        <v>0</v>
      </c>
      <c r="O11" s="1761"/>
      <c r="P11" s="1762">
        <f t="shared" si="7"/>
        <v>0</v>
      </c>
      <c r="Q11" s="1762"/>
      <c r="R11" s="1762">
        <f t="shared" si="8"/>
        <v>0</v>
      </c>
      <c r="S11" s="1761"/>
      <c r="T11" s="1761">
        <f>341*S11</f>
        <v>0</v>
      </c>
      <c r="U11" s="1761"/>
      <c r="V11" s="1761">
        <f t="shared" si="10"/>
        <v>0</v>
      </c>
      <c r="W11" s="176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123188</v>
      </c>
      <c r="D12" s="18">
        <f t="shared" si="12"/>
        <v>119800.33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119800.33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66" t="s">
        <v>174</v>
      </c>
      <c r="K14" s="30" t="s">
        <v>36</v>
      </c>
      <c r="L14" s="1766" t="s">
        <v>403</v>
      </c>
      <c r="M14" s="30" t="s">
        <v>429</v>
      </c>
      <c r="N14" s="30" t="s">
        <v>442</v>
      </c>
      <c r="O14" s="1766" t="s">
        <v>114</v>
      </c>
      <c r="P14" s="30" t="s">
        <v>70</v>
      </c>
      <c r="Q14" s="1958" t="s">
        <v>479</v>
      </c>
      <c r="R14" s="1959"/>
      <c r="S14" s="1766" t="s">
        <v>401</v>
      </c>
      <c r="T14" s="1893" t="s">
        <v>46</v>
      </c>
      <c r="U14" s="1758" t="s">
        <v>176</v>
      </c>
      <c r="V14" s="1918">
        <v>27354</v>
      </c>
      <c r="W14" s="1926"/>
      <c r="X14" s="1919"/>
    </row>
    <row r="15" spans="1:25" ht="22.5" customHeight="1" x14ac:dyDescent="0.25">
      <c r="A15" s="100" t="s">
        <v>38</v>
      </c>
      <c r="B15" s="1918">
        <v>499926</v>
      </c>
      <c r="C15" s="1919"/>
      <c r="D15" s="1763">
        <v>0</v>
      </c>
      <c r="E15" s="1763">
        <v>0</v>
      </c>
      <c r="F15" s="1763">
        <v>2500</v>
      </c>
      <c r="G15" s="1763">
        <v>0</v>
      </c>
      <c r="H15" s="1763">
        <v>38</v>
      </c>
      <c r="I15" s="1763">
        <v>0</v>
      </c>
      <c r="J15" s="1763">
        <v>4</v>
      </c>
      <c r="K15" s="1763">
        <v>66</v>
      </c>
      <c r="L15" s="1763">
        <v>0</v>
      </c>
      <c r="M15" s="1763">
        <v>0</v>
      </c>
      <c r="N15" s="1763">
        <v>0</v>
      </c>
      <c r="O15" s="1763">
        <v>0</v>
      </c>
      <c r="P15" s="1763">
        <v>100</v>
      </c>
      <c r="Q15" s="1918">
        <v>10</v>
      </c>
      <c r="R15" s="1919"/>
      <c r="S15" s="1758">
        <v>2</v>
      </c>
      <c r="T15" s="1893"/>
      <c r="U15" s="1758" t="s">
        <v>64</v>
      </c>
      <c r="V15" s="1920">
        <v>25089</v>
      </c>
      <c r="W15" s="1920"/>
      <c r="X15" s="1920"/>
    </row>
    <row r="16" spans="1:25" ht="24.75" customHeight="1" x14ac:dyDescent="0.25">
      <c r="A16" s="100" t="s">
        <v>39</v>
      </c>
      <c r="B16" s="1918">
        <v>105974</v>
      </c>
      <c r="C16" s="1919"/>
      <c r="D16" s="1763"/>
      <c r="E16" s="1763"/>
      <c r="F16" s="1763"/>
      <c r="G16" s="1763"/>
      <c r="H16" s="1763"/>
      <c r="I16" s="1763"/>
      <c r="J16" s="1763"/>
      <c r="K16" s="1763"/>
      <c r="L16" s="1763"/>
      <c r="M16" s="1763"/>
      <c r="N16" s="1763"/>
      <c r="O16" s="1763"/>
      <c r="P16" s="1763"/>
      <c r="Q16" s="1920"/>
      <c r="R16" s="1920"/>
      <c r="S16" s="1763"/>
      <c r="T16" s="1912" t="s">
        <v>55</v>
      </c>
      <c r="U16" s="1912"/>
      <c r="V16" s="1925">
        <f>Y12</f>
        <v>119800.33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763"/>
      <c r="E17" s="1763"/>
      <c r="F17" s="1763"/>
      <c r="G17" s="1763"/>
      <c r="H17" s="1763"/>
      <c r="I17" s="1763"/>
      <c r="J17" s="1763"/>
      <c r="K17" s="1763"/>
      <c r="L17" s="1763"/>
      <c r="M17" s="1763"/>
      <c r="N17" s="1763"/>
      <c r="O17" s="1763"/>
      <c r="P17" s="1763"/>
      <c r="Q17" s="1883"/>
      <c r="R17" s="1883"/>
      <c r="S17" s="1760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123188</v>
      </c>
      <c r="C18" s="1919"/>
      <c r="D18" s="1764">
        <f>E12</f>
        <v>0</v>
      </c>
      <c r="E18" s="1764">
        <f>G12</f>
        <v>0</v>
      </c>
      <c r="F18" s="1764">
        <f>I12</f>
        <v>0</v>
      </c>
      <c r="G18" s="1764">
        <f>K12</f>
        <v>0</v>
      </c>
      <c r="H18" s="1763"/>
      <c r="I18" s="1764">
        <f>U12</f>
        <v>0</v>
      </c>
      <c r="J18" s="1763"/>
      <c r="K18" s="1764">
        <f>W12</f>
        <v>0</v>
      </c>
      <c r="L18" s="1763"/>
      <c r="M18" s="1764">
        <f>M12</f>
        <v>0</v>
      </c>
      <c r="N18" s="1764">
        <f>O12</f>
        <v>0</v>
      </c>
      <c r="O18" s="1765">
        <f>Q12</f>
        <v>0</v>
      </c>
      <c r="P18" s="1764"/>
      <c r="Q18" s="1920"/>
      <c r="R18" s="1920"/>
      <c r="S18" s="1758"/>
      <c r="T18" s="1912" t="s">
        <v>57</v>
      </c>
      <c r="U18" s="1912"/>
      <c r="V18" s="1920">
        <v>26220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482712</v>
      </c>
      <c r="C19" s="1919"/>
      <c r="D19" s="1763">
        <f>D15+D16+D17-D18</f>
        <v>0</v>
      </c>
      <c r="E19" s="1763">
        <f t="shared" ref="E19:N19" si="13">E15+E16+E17-E18</f>
        <v>0</v>
      </c>
      <c r="F19" s="1763">
        <f t="shared" si="13"/>
        <v>2500</v>
      </c>
      <c r="G19" s="1763">
        <f t="shared" si="13"/>
        <v>0</v>
      </c>
      <c r="H19" s="1763">
        <f t="shared" si="13"/>
        <v>38</v>
      </c>
      <c r="I19" s="1763">
        <f t="shared" si="13"/>
        <v>0</v>
      </c>
      <c r="J19" s="1763">
        <f t="shared" si="13"/>
        <v>4</v>
      </c>
      <c r="K19" s="1763">
        <f t="shared" si="13"/>
        <v>66</v>
      </c>
      <c r="L19" s="1763">
        <f t="shared" si="13"/>
        <v>0</v>
      </c>
      <c r="M19" s="1763">
        <f t="shared" si="13"/>
        <v>0</v>
      </c>
      <c r="N19" s="1763">
        <f t="shared" si="13"/>
        <v>0</v>
      </c>
      <c r="O19" s="1763">
        <f>O15+O16+O17-O18</f>
        <v>0</v>
      </c>
      <c r="P19" s="1763">
        <f t="shared" ref="P19:Q19" si="14">P15+P16+P17-P18</f>
        <v>100</v>
      </c>
      <c r="Q19" s="1918">
        <f t="shared" si="14"/>
        <v>10</v>
      </c>
      <c r="R19" s="1919"/>
      <c r="S19" s="1758">
        <f>S15+S16-S17-S18</f>
        <v>2</v>
      </c>
      <c r="T19" s="1914" t="s">
        <v>48</v>
      </c>
      <c r="U19" s="49" t="s">
        <v>58</v>
      </c>
      <c r="V19" s="1920">
        <v>100000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464610.3</v>
      </c>
      <c r="C20" s="1945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537309.30000000005</v>
      </c>
      <c r="C21" s="1951"/>
      <c r="O21" s="1767"/>
      <c r="P21" s="1767"/>
      <c r="Q21" s="1767"/>
      <c r="R21" s="1767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100000</v>
      </c>
      <c r="D22" s="1949">
        <v>100000</v>
      </c>
      <c r="E22" s="1949">
        <v>102000</v>
      </c>
      <c r="F22" s="1949">
        <f>C22-D22+E22</f>
        <v>102000</v>
      </c>
      <c r="G22" s="1767"/>
      <c r="Q22" s="1767"/>
      <c r="R22" s="1767"/>
      <c r="T22" s="1909" t="s">
        <v>83</v>
      </c>
      <c r="U22" s="50" t="s">
        <v>60</v>
      </c>
      <c r="V22" s="1920">
        <v>105750</v>
      </c>
      <c r="W22" s="1920"/>
      <c r="X22" s="1920"/>
      <c r="Y22" s="1927"/>
    </row>
    <row r="23" spans="1:25" ht="39.75" customHeight="1" x14ac:dyDescent="0.25">
      <c r="A23" s="1767"/>
      <c r="B23" s="1947"/>
      <c r="C23" s="1950"/>
      <c r="D23" s="1950"/>
      <c r="E23" s="1950"/>
      <c r="F23" s="1950"/>
      <c r="G23" s="1767"/>
      <c r="Q23" s="1767"/>
      <c r="R23" s="1767"/>
      <c r="T23" s="1910"/>
      <c r="U23" s="50" t="s">
        <v>61</v>
      </c>
      <c r="V23" s="1920">
        <v>100000</v>
      </c>
      <c r="W23" s="1920"/>
      <c r="X23" s="1920"/>
      <c r="Y23" s="1927"/>
    </row>
    <row r="24" spans="1:25" ht="48" customHeight="1" x14ac:dyDescent="0.25">
      <c r="A24" s="1767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767"/>
      <c r="Q24" s="1767"/>
      <c r="R24" s="1767"/>
      <c r="T24" s="1893" t="s">
        <v>47</v>
      </c>
      <c r="U24" s="51" t="s">
        <v>62</v>
      </c>
      <c r="V24" s="1921">
        <f>V14+V16+V17-V18-V19-V20-V22+V23-V21</f>
        <v>15184.330000000016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30839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767"/>
      <c r="J33" s="1767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B3D86-3E6F-4BB9-A939-CD1B56A4E4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773"/>
      <c r="B3" s="1773"/>
      <c r="C3" s="1773"/>
      <c r="D3" s="1773"/>
      <c r="E3" s="1773"/>
      <c r="F3" s="1773"/>
      <c r="G3" s="1773"/>
      <c r="H3" s="1773"/>
      <c r="I3" s="1773"/>
      <c r="J3" s="1773"/>
      <c r="K3" s="1773"/>
      <c r="L3" s="1773"/>
      <c r="M3" s="1773"/>
      <c r="N3" s="1773"/>
      <c r="O3" s="1773"/>
      <c r="P3" s="1773"/>
      <c r="Q3" s="1773"/>
      <c r="R3" s="1773"/>
      <c r="S3" s="1773"/>
      <c r="T3" s="1900" t="s">
        <v>535</v>
      </c>
      <c r="U3" s="1900"/>
      <c r="V3" s="1900"/>
      <c r="W3" s="1900"/>
      <c r="X3" s="1900"/>
      <c r="Y3" s="1900"/>
    </row>
    <row r="4" spans="1:25" s="1773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773" customFormat="1" ht="25.5" customHeight="1" x14ac:dyDescent="0.25">
      <c r="A5" s="1901"/>
      <c r="B5" s="1901"/>
      <c r="C5" s="1772" t="s">
        <v>42</v>
      </c>
      <c r="D5" s="1772" t="s">
        <v>43</v>
      </c>
      <c r="E5" s="1772" t="s">
        <v>42</v>
      </c>
      <c r="F5" s="1772" t="s">
        <v>43</v>
      </c>
      <c r="G5" s="1772" t="s">
        <v>42</v>
      </c>
      <c r="H5" s="1772" t="s">
        <v>43</v>
      </c>
      <c r="I5" s="1772" t="s">
        <v>42</v>
      </c>
      <c r="J5" s="1772" t="s">
        <v>43</v>
      </c>
      <c r="K5" s="1772" t="s">
        <v>42</v>
      </c>
      <c r="L5" s="1772" t="s">
        <v>43</v>
      </c>
      <c r="M5" s="1772" t="s">
        <v>42</v>
      </c>
      <c r="N5" s="1772" t="s">
        <v>43</v>
      </c>
      <c r="O5" s="1772" t="s">
        <v>42</v>
      </c>
      <c r="P5" s="1772" t="s">
        <v>43</v>
      </c>
      <c r="Q5" s="1772" t="s">
        <v>42</v>
      </c>
      <c r="R5" s="17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771" t="s">
        <v>71</v>
      </c>
      <c r="C6" s="1769">
        <v>27643</v>
      </c>
      <c r="D6" s="1768">
        <f t="shared" ref="D6:D11" si="0">0.9725*C6</f>
        <v>26882.817500000001</v>
      </c>
      <c r="E6" s="1769"/>
      <c r="F6" s="1768">
        <f>67.1*E6</f>
        <v>0</v>
      </c>
      <c r="G6" s="1769"/>
      <c r="H6" s="1769">
        <f>28.2*G6</f>
        <v>0</v>
      </c>
      <c r="I6" s="1769"/>
      <c r="J6" s="1769">
        <f>18.5*I6</f>
        <v>0</v>
      </c>
      <c r="K6" s="1769"/>
      <c r="L6" s="1768">
        <f>28.2368*K6</f>
        <v>0</v>
      </c>
      <c r="M6" s="1769"/>
      <c r="N6" s="1768">
        <f>M6*47.6525</f>
        <v>0</v>
      </c>
      <c r="O6" s="1769"/>
      <c r="P6" s="1768">
        <f>O6*8.9</f>
        <v>0</v>
      </c>
      <c r="Q6" s="1768"/>
      <c r="R6" s="1768">
        <f>241*Q6</f>
        <v>0</v>
      </c>
      <c r="S6" s="1769"/>
      <c r="T6" s="1769">
        <f>241*S6</f>
        <v>0</v>
      </c>
      <c r="U6" s="1769"/>
      <c r="V6" s="1769">
        <f>332*U6</f>
        <v>0</v>
      </c>
      <c r="W6" s="1769">
        <v>2</v>
      </c>
      <c r="X6" s="19">
        <f>W6*100</f>
        <v>200</v>
      </c>
      <c r="Y6" s="20">
        <f t="shared" ref="Y6:Y12" si="1">D6+F6+H6+J6+L6+N6+P6+R6+T6+V6+X6</f>
        <v>27082.817500000001</v>
      </c>
    </row>
    <row r="7" spans="1:25" ht="31.5" customHeight="1" x14ac:dyDescent="0.25">
      <c r="A7" s="12">
        <v>1984225578</v>
      </c>
      <c r="B7" s="1771" t="s">
        <v>509</v>
      </c>
      <c r="C7" s="1769">
        <v>32579</v>
      </c>
      <c r="D7" s="1768">
        <f t="shared" si="0"/>
        <v>31683.077499999999</v>
      </c>
      <c r="E7" s="1769"/>
      <c r="F7" s="1769">
        <f t="shared" ref="F7:F11" si="2">67.1*E7</f>
        <v>0</v>
      </c>
      <c r="G7" s="1769"/>
      <c r="H7" s="1769">
        <f t="shared" ref="H7:H11" si="3">28.2*G7</f>
        <v>0</v>
      </c>
      <c r="I7" s="1769"/>
      <c r="J7" s="1769">
        <f t="shared" ref="J7:J11" si="4">18.5*I7</f>
        <v>0</v>
      </c>
      <c r="K7" s="1769"/>
      <c r="L7" s="1768">
        <f t="shared" ref="L7:L11" si="5">28.2368*K7</f>
        <v>0</v>
      </c>
      <c r="M7" s="1769"/>
      <c r="N7" s="1768">
        <f t="shared" ref="N7:N11" si="6">M7*47.6525</f>
        <v>0</v>
      </c>
      <c r="O7" s="1769"/>
      <c r="P7" s="1768">
        <f t="shared" ref="P7:P11" si="7">O7*8.9</f>
        <v>0</v>
      </c>
      <c r="Q7" s="1768"/>
      <c r="R7" s="1768">
        <f t="shared" ref="R7:R11" si="8">241*Q7</f>
        <v>0</v>
      </c>
      <c r="S7" s="1769"/>
      <c r="T7" s="1769">
        <f t="shared" ref="T7:T10" si="9">241*S7</f>
        <v>0</v>
      </c>
      <c r="U7" s="1769"/>
      <c r="V7" s="1769">
        <f t="shared" ref="V7:V11" si="10">332*U7</f>
        <v>0</v>
      </c>
      <c r="W7" s="1769"/>
      <c r="X7" s="19">
        <f t="shared" ref="X7:X11" si="11">W7*100</f>
        <v>0</v>
      </c>
      <c r="Y7" s="20">
        <f t="shared" si="1"/>
        <v>31683.077499999999</v>
      </c>
    </row>
    <row r="8" spans="1:25" ht="35.25" customHeight="1" x14ac:dyDescent="0.25">
      <c r="A8" s="12">
        <v>1967020280</v>
      </c>
      <c r="B8" s="1771" t="s">
        <v>427</v>
      </c>
      <c r="C8" s="1769">
        <v>25303</v>
      </c>
      <c r="D8" s="1768">
        <f t="shared" si="0"/>
        <v>24607.1675</v>
      </c>
      <c r="E8" s="1769"/>
      <c r="F8" s="1769">
        <f t="shared" si="2"/>
        <v>0</v>
      </c>
      <c r="G8" s="1769"/>
      <c r="H8" s="1768">
        <f t="shared" si="3"/>
        <v>0</v>
      </c>
      <c r="I8" s="1769"/>
      <c r="J8" s="1769">
        <f t="shared" si="4"/>
        <v>0</v>
      </c>
      <c r="K8" s="1769"/>
      <c r="L8" s="1768">
        <f t="shared" si="5"/>
        <v>0</v>
      </c>
      <c r="M8" s="1769"/>
      <c r="N8" s="1768">
        <f t="shared" si="6"/>
        <v>0</v>
      </c>
      <c r="O8" s="1769"/>
      <c r="P8" s="1768">
        <f t="shared" si="7"/>
        <v>0</v>
      </c>
      <c r="Q8" s="1768"/>
      <c r="R8" s="1768">
        <f t="shared" si="8"/>
        <v>0</v>
      </c>
      <c r="S8" s="1769"/>
      <c r="T8" s="1769">
        <f t="shared" si="9"/>
        <v>0</v>
      </c>
      <c r="U8" s="1769"/>
      <c r="V8" s="1769">
        <f t="shared" si="10"/>
        <v>0</v>
      </c>
      <c r="W8" s="1769"/>
      <c r="X8" s="19">
        <f t="shared" si="11"/>
        <v>0</v>
      </c>
      <c r="Y8" s="20">
        <f t="shared" si="1"/>
        <v>24607.1675</v>
      </c>
    </row>
    <row r="9" spans="1:25" ht="38.25" customHeight="1" x14ac:dyDescent="0.25">
      <c r="A9" s="12">
        <v>1984225580</v>
      </c>
      <c r="B9" s="1771" t="s">
        <v>75</v>
      </c>
      <c r="C9" s="1769">
        <v>20034</v>
      </c>
      <c r="D9" s="1768">
        <f t="shared" si="0"/>
        <v>19483.065000000002</v>
      </c>
      <c r="E9" s="1769"/>
      <c r="F9" s="1769">
        <f t="shared" si="2"/>
        <v>0</v>
      </c>
      <c r="G9" s="1769"/>
      <c r="H9" s="1769">
        <f t="shared" si="3"/>
        <v>0</v>
      </c>
      <c r="I9" s="1769"/>
      <c r="J9" s="1769">
        <f t="shared" si="4"/>
        <v>0</v>
      </c>
      <c r="K9" s="1769"/>
      <c r="L9" s="1768">
        <f t="shared" si="5"/>
        <v>0</v>
      </c>
      <c r="M9" s="1769"/>
      <c r="N9" s="1768">
        <f t="shared" si="6"/>
        <v>0</v>
      </c>
      <c r="O9" s="1769"/>
      <c r="P9" s="1768">
        <f t="shared" si="7"/>
        <v>0</v>
      </c>
      <c r="Q9" s="1768"/>
      <c r="R9" s="1768">
        <f t="shared" si="8"/>
        <v>0</v>
      </c>
      <c r="S9" s="1769"/>
      <c r="T9" s="1769">
        <f t="shared" si="9"/>
        <v>0</v>
      </c>
      <c r="U9" s="1769"/>
      <c r="V9" s="1769">
        <f t="shared" si="10"/>
        <v>0</v>
      </c>
      <c r="W9" s="1769"/>
      <c r="X9" s="19">
        <f t="shared" si="11"/>
        <v>0</v>
      </c>
      <c r="Y9" s="20">
        <f t="shared" si="1"/>
        <v>19483.065000000002</v>
      </c>
    </row>
    <row r="10" spans="1:25" ht="35.25" customHeight="1" x14ac:dyDescent="0.25">
      <c r="A10" s="12">
        <v>1409935199</v>
      </c>
      <c r="C10" s="1769"/>
      <c r="D10" s="1768">
        <f t="shared" si="0"/>
        <v>0</v>
      </c>
      <c r="E10" s="1769"/>
      <c r="F10" s="1769">
        <f t="shared" si="2"/>
        <v>0</v>
      </c>
      <c r="G10" s="1769"/>
      <c r="H10" s="1769">
        <f t="shared" si="3"/>
        <v>0</v>
      </c>
      <c r="I10" s="1769"/>
      <c r="J10" s="1769">
        <f t="shared" si="4"/>
        <v>0</v>
      </c>
      <c r="K10" s="1769"/>
      <c r="L10" s="1768">
        <f t="shared" si="5"/>
        <v>0</v>
      </c>
      <c r="M10" s="1769"/>
      <c r="N10" s="1768">
        <f t="shared" si="6"/>
        <v>0</v>
      </c>
      <c r="O10" s="1769"/>
      <c r="P10" s="1768">
        <f t="shared" si="7"/>
        <v>0</v>
      </c>
      <c r="Q10" s="1768"/>
      <c r="R10" s="1768">
        <f t="shared" si="8"/>
        <v>0</v>
      </c>
      <c r="S10" s="1769"/>
      <c r="T10" s="1769">
        <f t="shared" si="9"/>
        <v>0</v>
      </c>
      <c r="U10" s="1769"/>
      <c r="V10" s="1769">
        <f t="shared" si="10"/>
        <v>0</v>
      </c>
      <c r="W10" s="176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70"/>
      <c r="C11" s="1769"/>
      <c r="D11" s="1768">
        <f t="shared" si="0"/>
        <v>0</v>
      </c>
      <c r="E11" s="1769"/>
      <c r="F11" s="1769">
        <f t="shared" si="2"/>
        <v>0</v>
      </c>
      <c r="G11" s="1769"/>
      <c r="H11" s="1769">
        <f t="shared" si="3"/>
        <v>0</v>
      </c>
      <c r="I11" s="1769"/>
      <c r="J11" s="1769">
        <f t="shared" si="4"/>
        <v>0</v>
      </c>
      <c r="K11" s="1769"/>
      <c r="L11" s="1768">
        <f t="shared" si="5"/>
        <v>0</v>
      </c>
      <c r="M11" s="1769"/>
      <c r="N11" s="1768">
        <f t="shared" si="6"/>
        <v>0</v>
      </c>
      <c r="O11" s="1769"/>
      <c r="P11" s="1768">
        <f t="shared" si="7"/>
        <v>0</v>
      </c>
      <c r="Q11" s="1768"/>
      <c r="R11" s="1768">
        <f t="shared" si="8"/>
        <v>0</v>
      </c>
      <c r="S11" s="1769"/>
      <c r="T11" s="1769">
        <f>341*S11</f>
        <v>0</v>
      </c>
      <c r="U11" s="1769"/>
      <c r="V11" s="1769">
        <f t="shared" si="10"/>
        <v>0</v>
      </c>
      <c r="W11" s="176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105559</v>
      </c>
      <c r="D12" s="18">
        <f t="shared" si="12"/>
        <v>102656.1275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102856.1275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77" t="s">
        <v>174</v>
      </c>
      <c r="K14" s="30" t="s">
        <v>36</v>
      </c>
      <c r="L14" s="1777" t="s">
        <v>403</v>
      </c>
      <c r="M14" s="30" t="s">
        <v>429</v>
      </c>
      <c r="N14" s="30" t="s">
        <v>442</v>
      </c>
      <c r="O14" s="1777" t="s">
        <v>114</v>
      </c>
      <c r="P14" s="30" t="s">
        <v>70</v>
      </c>
      <c r="Q14" s="1958" t="s">
        <v>479</v>
      </c>
      <c r="R14" s="1959"/>
      <c r="S14" s="1777" t="s">
        <v>401</v>
      </c>
      <c r="T14" s="1893" t="s">
        <v>46</v>
      </c>
      <c r="U14" s="1771" t="s">
        <v>176</v>
      </c>
      <c r="V14" s="1918">
        <v>15184</v>
      </c>
      <c r="W14" s="1926"/>
      <c r="X14" s="1919"/>
    </row>
    <row r="15" spans="1:25" ht="22.5" customHeight="1" x14ac:dyDescent="0.25">
      <c r="A15" s="100" t="s">
        <v>38</v>
      </c>
      <c r="B15" s="1918">
        <v>482712</v>
      </c>
      <c r="C15" s="1919"/>
      <c r="D15" s="1774">
        <v>0</v>
      </c>
      <c r="E15" s="1774">
        <v>0</v>
      </c>
      <c r="F15" s="1774">
        <v>2500</v>
      </c>
      <c r="G15" s="1774">
        <v>0</v>
      </c>
      <c r="H15" s="1774">
        <v>38</v>
      </c>
      <c r="I15" s="1774">
        <v>0</v>
      </c>
      <c r="J15" s="1774">
        <v>4</v>
      </c>
      <c r="K15" s="1774">
        <v>66</v>
      </c>
      <c r="L15" s="1774">
        <v>0</v>
      </c>
      <c r="M15" s="1774">
        <v>0</v>
      </c>
      <c r="N15" s="1774">
        <v>0</v>
      </c>
      <c r="O15" s="1774">
        <v>0</v>
      </c>
      <c r="P15" s="1774">
        <v>100</v>
      </c>
      <c r="Q15" s="1918">
        <v>10</v>
      </c>
      <c r="R15" s="1919"/>
      <c r="S15" s="1771">
        <v>2</v>
      </c>
      <c r="T15" s="1893"/>
      <c r="U15" s="1771" t="s">
        <v>64</v>
      </c>
      <c r="V15" s="1920">
        <v>30839</v>
      </c>
      <c r="W15" s="1920"/>
      <c r="X15" s="1920"/>
    </row>
    <row r="16" spans="1:25" ht="24.75" customHeight="1" x14ac:dyDescent="0.25">
      <c r="A16" s="100" t="s">
        <v>39</v>
      </c>
      <c r="B16" s="1918">
        <v>93506</v>
      </c>
      <c r="C16" s="1919"/>
      <c r="D16" s="1774"/>
      <c r="E16" s="1774"/>
      <c r="F16" s="1774"/>
      <c r="G16" s="1774"/>
      <c r="H16" s="1774"/>
      <c r="I16" s="1774"/>
      <c r="J16" s="1774"/>
      <c r="K16" s="1774"/>
      <c r="L16" s="1774"/>
      <c r="M16" s="1774"/>
      <c r="N16" s="1774"/>
      <c r="O16" s="1774"/>
      <c r="P16" s="1774"/>
      <c r="Q16" s="1920"/>
      <c r="R16" s="1920"/>
      <c r="S16" s="1774"/>
      <c r="T16" s="1912" t="s">
        <v>55</v>
      </c>
      <c r="U16" s="1912"/>
      <c r="V16" s="1925">
        <f>Y12</f>
        <v>102856.1275</v>
      </c>
      <c r="W16" s="1925"/>
      <c r="X16" s="1920"/>
    </row>
    <row r="17" spans="1:25" ht="28.5" customHeight="1" x14ac:dyDescent="0.25">
      <c r="A17" s="101" t="s">
        <v>44</v>
      </c>
      <c r="B17" s="1918">
        <v>10389</v>
      </c>
      <c r="C17" s="1919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883"/>
      <c r="R17" s="1883"/>
      <c r="S17" s="1770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105559</v>
      </c>
      <c r="C18" s="1919"/>
      <c r="D18" s="1776">
        <f>E12</f>
        <v>0</v>
      </c>
      <c r="E18" s="1776">
        <f>G12</f>
        <v>0</v>
      </c>
      <c r="F18" s="1776">
        <f>I12</f>
        <v>0</v>
      </c>
      <c r="G18" s="1776">
        <f>K12</f>
        <v>0</v>
      </c>
      <c r="H18" s="1774"/>
      <c r="I18" s="1776">
        <f>U12</f>
        <v>0</v>
      </c>
      <c r="J18" s="1774"/>
      <c r="K18" s="1776">
        <f>W12</f>
        <v>2</v>
      </c>
      <c r="L18" s="1774"/>
      <c r="M18" s="1776">
        <f>M12</f>
        <v>0</v>
      </c>
      <c r="N18" s="1776">
        <f>O12</f>
        <v>0</v>
      </c>
      <c r="O18" s="1775">
        <f>Q12</f>
        <v>0</v>
      </c>
      <c r="P18" s="1776"/>
      <c r="Q18" s="1920"/>
      <c r="R18" s="1920"/>
      <c r="S18" s="1771"/>
      <c r="T18" s="1912" t="s">
        <v>57</v>
      </c>
      <c r="U18" s="1912"/>
      <c r="V18" s="1920">
        <v>12572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481048</v>
      </c>
      <c r="C19" s="1919"/>
      <c r="D19" s="1774">
        <f>D15+D16+D17-D18</f>
        <v>0</v>
      </c>
      <c r="E19" s="1774">
        <f t="shared" ref="E19:N19" si="13">E15+E16+E17-E18</f>
        <v>0</v>
      </c>
      <c r="F19" s="1774">
        <f t="shared" si="13"/>
        <v>2500</v>
      </c>
      <c r="G19" s="1774">
        <f t="shared" si="13"/>
        <v>0</v>
      </c>
      <c r="H19" s="1774">
        <f t="shared" si="13"/>
        <v>38</v>
      </c>
      <c r="I19" s="1774">
        <f t="shared" si="13"/>
        <v>0</v>
      </c>
      <c r="J19" s="1774">
        <f t="shared" si="13"/>
        <v>4</v>
      </c>
      <c r="K19" s="1774">
        <f t="shared" si="13"/>
        <v>64</v>
      </c>
      <c r="L19" s="1774">
        <f t="shared" si="13"/>
        <v>0</v>
      </c>
      <c r="M19" s="1774">
        <f t="shared" si="13"/>
        <v>0</v>
      </c>
      <c r="N19" s="1774">
        <f t="shared" si="13"/>
        <v>0</v>
      </c>
      <c r="O19" s="1774">
        <f>O15+O16+O17-O18</f>
        <v>0</v>
      </c>
      <c r="P19" s="1774">
        <f t="shared" ref="P19:Q19" si="14">P15+P16+P17-P18</f>
        <v>100</v>
      </c>
      <c r="Q19" s="1918">
        <f t="shared" si="14"/>
        <v>10</v>
      </c>
      <c r="R19" s="1919"/>
      <c r="S19" s="1771">
        <f>S15+S16-S17-S18</f>
        <v>2</v>
      </c>
      <c r="T19" s="1914" t="s">
        <v>48</v>
      </c>
      <c r="U19" s="49" t="s">
        <v>58</v>
      </c>
      <c r="V19" s="1920">
        <v>102000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463008.7</v>
      </c>
      <c r="C20" s="1945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6400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535507.69999999995</v>
      </c>
      <c r="C21" s="1951"/>
      <c r="O21" s="1778"/>
      <c r="P21" s="1778"/>
      <c r="Q21" s="1778"/>
      <c r="R21" s="1778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102000</v>
      </c>
      <c r="D22" s="1949">
        <v>102000</v>
      </c>
      <c r="E22" s="1949">
        <v>90000</v>
      </c>
      <c r="F22" s="1949">
        <f>C22-D22+E22</f>
        <v>90000</v>
      </c>
      <c r="G22" s="1778"/>
      <c r="Q22" s="1778"/>
      <c r="R22" s="1778"/>
      <c r="T22" s="1909" t="s">
        <v>83</v>
      </c>
      <c r="U22" s="50" t="s">
        <v>60</v>
      </c>
      <c r="V22" s="1920">
        <v>99920</v>
      </c>
      <c r="W22" s="1920"/>
      <c r="X22" s="1920"/>
      <c r="Y22" s="1927"/>
    </row>
    <row r="23" spans="1:25" ht="39.75" customHeight="1" x14ac:dyDescent="0.25">
      <c r="A23" s="1778"/>
      <c r="B23" s="1947"/>
      <c r="C23" s="1950"/>
      <c r="D23" s="1950"/>
      <c r="E23" s="1950"/>
      <c r="F23" s="1950"/>
      <c r="G23" s="1778"/>
      <c r="Q23" s="1778"/>
      <c r="R23" s="1778"/>
      <c r="T23" s="1910"/>
      <c r="U23" s="50" t="s">
        <v>61</v>
      </c>
      <c r="V23" s="1920">
        <v>102000</v>
      </c>
      <c r="W23" s="1920"/>
      <c r="X23" s="1920"/>
      <c r="Y23" s="1927"/>
    </row>
    <row r="24" spans="1:25" ht="48" customHeight="1" x14ac:dyDescent="0.25">
      <c r="A24" s="1778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778"/>
      <c r="Q24" s="1778"/>
      <c r="R24" s="1778"/>
      <c r="T24" s="1893" t="s">
        <v>47</v>
      </c>
      <c r="U24" s="51" t="s">
        <v>62</v>
      </c>
      <c r="V24" s="1921">
        <f>V14+V16+V17-V18-V19-V20-V22+V23-V21</f>
        <v>5548.1275000000023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28759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778"/>
      <c r="J33" s="1778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5197-FFDA-416B-AD4F-311EA2E5C7B2}">
  <sheetPr>
    <pageSetUpPr fitToPage="1"/>
  </sheetPr>
  <dimension ref="A1:Y33"/>
  <sheetViews>
    <sheetView topLeftCell="A14" zoomScale="70" zoomScaleNormal="70" zoomScaleSheetLayoutView="100" zoomScalePageLayoutView="68" workbookViewId="0">
      <selection activeCell="E24" sqref="E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779"/>
      <c r="B3" s="1779"/>
      <c r="C3" s="1779"/>
      <c r="D3" s="1779"/>
      <c r="E3" s="1779"/>
      <c r="F3" s="1779"/>
      <c r="G3" s="1779"/>
      <c r="H3" s="1779"/>
      <c r="I3" s="1779"/>
      <c r="J3" s="1779"/>
      <c r="K3" s="1779"/>
      <c r="L3" s="1779"/>
      <c r="M3" s="1779"/>
      <c r="N3" s="1779"/>
      <c r="O3" s="1779"/>
      <c r="P3" s="1779"/>
      <c r="Q3" s="1779"/>
      <c r="R3" s="1779"/>
      <c r="S3" s="1779"/>
      <c r="T3" s="1900" t="s">
        <v>536</v>
      </c>
      <c r="U3" s="1900"/>
      <c r="V3" s="1900"/>
      <c r="W3" s="1900"/>
      <c r="X3" s="1900"/>
      <c r="Y3" s="1900"/>
    </row>
    <row r="4" spans="1:25" s="1779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779" customFormat="1" ht="25.5" customHeight="1" x14ac:dyDescent="0.25">
      <c r="A5" s="1901"/>
      <c r="B5" s="1901"/>
      <c r="C5" s="1781" t="s">
        <v>42</v>
      </c>
      <c r="D5" s="1781" t="s">
        <v>43</v>
      </c>
      <c r="E5" s="1781" t="s">
        <v>42</v>
      </c>
      <c r="F5" s="1781" t="s">
        <v>43</v>
      </c>
      <c r="G5" s="1781" t="s">
        <v>42</v>
      </c>
      <c r="H5" s="1781" t="s">
        <v>43</v>
      </c>
      <c r="I5" s="1781" t="s">
        <v>42</v>
      </c>
      <c r="J5" s="1781" t="s">
        <v>43</v>
      </c>
      <c r="K5" s="1781" t="s">
        <v>42</v>
      </c>
      <c r="L5" s="1781" t="s">
        <v>43</v>
      </c>
      <c r="M5" s="1781" t="s">
        <v>42</v>
      </c>
      <c r="N5" s="1781" t="s">
        <v>43</v>
      </c>
      <c r="O5" s="1781" t="s">
        <v>42</v>
      </c>
      <c r="P5" s="1781" t="s">
        <v>43</v>
      </c>
      <c r="Q5" s="1781" t="s">
        <v>42</v>
      </c>
      <c r="R5" s="17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780" t="s">
        <v>71</v>
      </c>
      <c r="C6" s="1783">
        <v>32571</v>
      </c>
      <c r="D6" s="1784">
        <f t="shared" ref="D6:D11" si="0">0.9725*C6</f>
        <v>31675.297500000001</v>
      </c>
      <c r="E6" s="1783"/>
      <c r="F6" s="1784">
        <f>67.1*E6</f>
        <v>0</v>
      </c>
      <c r="G6" s="1783"/>
      <c r="H6" s="1783">
        <f>28.2*G6</f>
        <v>0</v>
      </c>
      <c r="I6" s="1783"/>
      <c r="J6" s="1783">
        <f>18.5*I6</f>
        <v>0</v>
      </c>
      <c r="K6" s="1783"/>
      <c r="L6" s="1784">
        <f>28.2368*K6</f>
        <v>0</v>
      </c>
      <c r="M6" s="1783"/>
      <c r="N6" s="1784">
        <f>M6*47.6525</f>
        <v>0</v>
      </c>
      <c r="O6" s="1783"/>
      <c r="P6" s="1784">
        <f>O6*8.9</f>
        <v>0</v>
      </c>
      <c r="Q6" s="1784"/>
      <c r="R6" s="1784">
        <f>241*Q6</f>
        <v>0</v>
      </c>
      <c r="S6" s="1783"/>
      <c r="T6" s="1783">
        <f>241*S6</f>
        <v>0</v>
      </c>
      <c r="U6" s="1783"/>
      <c r="V6" s="1783">
        <f>332*U6</f>
        <v>0</v>
      </c>
      <c r="W6" s="1783"/>
      <c r="X6" s="19">
        <f>W6*100</f>
        <v>0</v>
      </c>
      <c r="Y6" s="20">
        <f t="shared" ref="Y6:Y12" si="1">D6+F6+H6+J6+L6+N6+P6+R6+T6+V6+X6</f>
        <v>31675.297500000001</v>
      </c>
    </row>
    <row r="7" spans="1:25" ht="31.5" customHeight="1" x14ac:dyDescent="0.25">
      <c r="A7" s="12">
        <v>1984225578</v>
      </c>
      <c r="B7" s="1780" t="s">
        <v>509</v>
      </c>
      <c r="C7" s="1783">
        <v>31162</v>
      </c>
      <c r="D7" s="1784">
        <f t="shared" si="0"/>
        <v>30305.045000000002</v>
      </c>
      <c r="E7" s="1783"/>
      <c r="F7" s="1783">
        <f t="shared" ref="F7:F11" si="2">67.1*E7</f>
        <v>0</v>
      </c>
      <c r="G7" s="1783"/>
      <c r="H7" s="1783">
        <f t="shared" ref="H7:H11" si="3">28.2*G7</f>
        <v>0</v>
      </c>
      <c r="I7" s="1783">
        <v>660</v>
      </c>
      <c r="J7" s="1783">
        <f t="shared" ref="J7:J11" si="4">18.5*I7</f>
        <v>12210</v>
      </c>
      <c r="K7" s="1783"/>
      <c r="L7" s="1784">
        <f t="shared" ref="L7:L11" si="5">28.2368*K7</f>
        <v>0</v>
      </c>
      <c r="M7" s="1783"/>
      <c r="N7" s="1784">
        <f t="shared" ref="N7:N11" si="6">M7*47.6525</f>
        <v>0</v>
      </c>
      <c r="O7" s="1783"/>
      <c r="P7" s="1784">
        <f t="shared" ref="P7:P11" si="7">O7*8.9</f>
        <v>0</v>
      </c>
      <c r="Q7" s="1784"/>
      <c r="R7" s="1784">
        <f t="shared" ref="R7:R11" si="8">241*Q7</f>
        <v>0</v>
      </c>
      <c r="S7" s="1783"/>
      <c r="T7" s="1783">
        <f t="shared" ref="T7:T10" si="9">241*S7</f>
        <v>0</v>
      </c>
      <c r="U7" s="1783"/>
      <c r="V7" s="1783">
        <f t="shared" ref="V7:V11" si="10">332*U7</f>
        <v>0</v>
      </c>
      <c r="W7" s="1783"/>
      <c r="X7" s="19">
        <f t="shared" ref="X7:X11" si="11">W7*100</f>
        <v>0</v>
      </c>
      <c r="Y7" s="20">
        <f t="shared" si="1"/>
        <v>42515.044999999998</v>
      </c>
    </row>
    <row r="8" spans="1:25" ht="35.25" customHeight="1" x14ac:dyDescent="0.25">
      <c r="A8" s="12">
        <v>1967020280</v>
      </c>
      <c r="B8" s="1780" t="s">
        <v>427</v>
      </c>
      <c r="C8" s="1783">
        <v>23225</v>
      </c>
      <c r="D8" s="1784">
        <f t="shared" si="0"/>
        <v>22586.3125</v>
      </c>
      <c r="E8" s="1783"/>
      <c r="F8" s="1783">
        <f t="shared" si="2"/>
        <v>0</v>
      </c>
      <c r="G8" s="1783"/>
      <c r="H8" s="1784">
        <f t="shared" si="3"/>
        <v>0</v>
      </c>
      <c r="I8" s="1783">
        <v>1000</v>
      </c>
      <c r="J8" s="1783">
        <f t="shared" si="4"/>
        <v>18500</v>
      </c>
      <c r="K8" s="1783"/>
      <c r="L8" s="1784">
        <f t="shared" si="5"/>
        <v>0</v>
      </c>
      <c r="M8" s="1783"/>
      <c r="N8" s="1784">
        <f t="shared" si="6"/>
        <v>0</v>
      </c>
      <c r="O8" s="1783"/>
      <c r="P8" s="1784">
        <f t="shared" si="7"/>
        <v>0</v>
      </c>
      <c r="Q8" s="1784"/>
      <c r="R8" s="1784">
        <f t="shared" si="8"/>
        <v>0</v>
      </c>
      <c r="S8" s="1783"/>
      <c r="T8" s="1783">
        <f t="shared" si="9"/>
        <v>0</v>
      </c>
      <c r="U8" s="1783"/>
      <c r="V8" s="1783">
        <f t="shared" si="10"/>
        <v>0</v>
      </c>
      <c r="W8" s="1783"/>
      <c r="X8" s="19">
        <f t="shared" si="11"/>
        <v>0</v>
      </c>
      <c r="Y8" s="20">
        <f t="shared" si="1"/>
        <v>41086.3125</v>
      </c>
    </row>
    <row r="9" spans="1:25" ht="38.25" customHeight="1" x14ac:dyDescent="0.25">
      <c r="A9" s="12">
        <v>1984225580</v>
      </c>
      <c r="B9" s="1780" t="s">
        <v>75</v>
      </c>
      <c r="C9" s="1783">
        <v>51344</v>
      </c>
      <c r="D9" s="1784">
        <f t="shared" si="0"/>
        <v>49932.04</v>
      </c>
      <c r="E9" s="1783"/>
      <c r="F9" s="1783">
        <f t="shared" si="2"/>
        <v>0</v>
      </c>
      <c r="G9" s="1783"/>
      <c r="H9" s="1783">
        <f t="shared" si="3"/>
        <v>0</v>
      </c>
      <c r="I9" s="1783"/>
      <c r="J9" s="1783">
        <f t="shared" si="4"/>
        <v>0</v>
      </c>
      <c r="K9" s="1783"/>
      <c r="L9" s="1784">
        <f t="shared" si="5"/>
        <v>0</v>
      </c>
      <c r="M9" s="1783"/>
      <c r="N9" s="1784">
        <f t="shared" si="6"/>
        <v>0</v>
      </c>
      <c r="O9" s="1783"/>
      <c r="P9" s="1784">
        <f t="shared" si="7"/>
        <v>0</v>
      </c>
      <c r="Q9" s="1784"/>
      <c r="R9" s="1784">
        <f t="shared" si="8"/>
        <v>0</v>
      </c>
      <c r="S9" s="1783"/>
      <c r="T9" s="1783">
        <f t="shared" si="9"/>
        <v>0</v>
      </c>
      <c r="U9" s="1783"/>
      <c r="V9" s="1783">
        <f t="shared" si="10"/>
        <v>0</v>
      </c>
      <c r="W9" s="1783"/>
      <c r="X9" s="19">
        <f t="shared" si="11"/>
        <v>0</v>
      </c>
      <c r="Y9" s="20">
        <f t="shared" si="1"/>
        <v>49932.04</v>
      </c>
    </row>
    <row r="10" spans="1:25" ht="35.25" customHeight="1" x14ac:dyDescent="0.25">
      <c r="A10" s="12">
        <v>1409935199</v>
      </c>
      <c r="C10" s="1783"/>
      <c r="D10" s="1784">
        <f t="shared" si="0"/>
        <v>0</v>
      </c>
      <c r="E10" s="1783"/>
      <c r="F10" s="1783">
        <f t="shared" si="2"/>
        <v>0</v>
      </c>
      <c r="G10" s="1783"/>
      <c r="H10" s="1783">
        <f t="shared" si="3"/>
        <v>0</v>
      </c>
      <c r="I10" s="1783"/>
      <c r="J10" s="1783">
        <f t="shared" si="4"/>
        <v>0</v>
      </c>
      <c r="K10" s="1783"/>
      <c r="L10" s="1784">
        <f t="shared" si="5"/>
        <v>0</v>
      </c>
      <c r="M10" s="1783"/>
      <c r="N10" s="1784">
        <f t="shared" si="6"/>
        <v>0</v>
      </c>
      <c r="O10" s="1783"/>
      <c r="P10" s="1784">
        <f t="shared" si="7"/>
        <v>0</v>
      </c>
      <c r="Q10" s="1784"/>
      <c r="R10" s="1784">
        <f t="shared" si="8"/>
        <v>0</v>
      </c>
      <c r="S10" s="1783"/>
      <c r="T10" s="1783">
        <f t="shared" si="9"/>
        <v>0</v>
      </c>
      <c r="U10" s="1783"/>
      <c r="V10" s="1783">
        <f t="shared" si="10"/>
        <v>0</v>
      </c>
      <c r="W10" s="178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82"/>
      <c r="C11" s="1783"/>
      <c r="D11" s="1784">
        <f t="shared" si="0"/>
        <v>0</v>
      </c>
      <c r="E11" s="1783"/>
      <c r="F11" s="1783">
        <f t="shared" si="2"/>
        <v>0</v>
      </c>
      <c r="G11" s="1783"/>
      <c r="H11" s="1783">
        <f t="shared" si="3"/>
        <v>0</v>
      </c>
      <c r="I11" s="1783"/>
      <c r="J11" s="1783">
        <f t="shared" si="4"/>
        <v>0</v>
      </c>
      <c r="K11" s="1783"/>
      <c r="L11" s="1784">
        <f t="shared" si="5"/>
        <v>0</v>
      </c>
      <c r="M11" s="1783"/>
      <c r="N11" s="1784">
        <f t="shared" si="6"/>
        <v>0</v>
      </c>
      <c r="O11" s="1783"/>
      <c r="P11" s="1784">
        <f t="shared" si="7"/>
        <v>0</v>
      </c>
      <c r="Q11" s="1784"/>
      <c r="R11" s="1784">
        <f t="shared" si="8"/>
        <v>0</v>
      </c>
      <c r="S11" s="1783"/>
      <c r="T11" s="1783">
        <f>341*S11</f>
        <v>0</v>
      </c>
      <c r="U11" s="1783"/>
      <c r="V11" s="1783">
        <f t="shared" si="10"/>
        <v>0</v>
      </c>
      <c r="W11" s="178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138302</v>
      </c>
      <c r="D12" s="18">
        <f t="shared" si="12"/>
        <v>134498.69500000001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165208.69500000001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88" t="s">
        <v>174</v>
      </c>
      <c r="K14" s="30" t="s">
        <v>36</v>
      </c>
      <c r="L14" s="1788" t="s">
        <v>403</v>
      </c>
      <c r="M14" s="30" t="s">
        <v>429</v>
      </c>
      <c r="N14" s="30" t="s">
        <v>442</v>
      </c>
      <c r="O14" s="1788" t="s">
        <v>114</v>
      </c>
      <c r="P14" s="30" t="s">
        <v>70</v>
      </c>
      <c r="Q14" s="1958" t="s">
        <v>479</v>
      </c>
      <c r="R14" s="1959"/>
      <c r="S14" s="1788" t="s">
        <v>401</v>
      </c>
      <c r="T14" s="1893" t="s">
        <v>46</v>
      </c>
      <c r="U14" s="1780" t="s">
        <v>176</v>
      </c>
      <c r="V14" s="1918">
        <v>5548</v>
      </c>
      <c r="W14" s="1926"/>
      <c r="X14" s="1919"/>
    </row>
    <row r="15" spans="1:25" ht="22.5" customHeight="1" x14ac:dyDescent="0.25">
      <c r="A15" s="100" t="s">
        <v>38</v>
      </c>
      <c r="B15" s="1918">
        <v>481048</v>
      </c>
      <c r="C15" s="1919"/>
      <c r="D15" s="1785">
        <v>0</v>
      </c>
      <c r="E15" s="1785">
        <v>0</v>
      </c>
      <c r="F15" s="1785">
        <v>2500</v>
      </c>
      <c r="G15" s="1785">
        <v>0</v>
      </c>
      <c r="H15" s="1785">
        <v>38</v>
      </c>
      <c r="I15" s="1785">
        <v>0</v>
      </c>
      <c r="J15" s="1785">
        <v>4</v>
      </c>
      <c r="K15" s="1785">
        <v>64</v>
      </c>
      <c r="L15" s="1785">
        <v>0</v>
      </c>
      <c r="M15" s="1785">
        <v>0</v>
      </c>
      <c r="N15" s="1785">
        <v>0</v>
      </c>
      <c r="O15" s="1785">
        <v>0</v>
      </c>
      <c r="P15" s="1785">
        <v>100</v>
      </c>
      <c r="Q15" s="1918">
        <v>10</v>
      </c>
      <c r="R15" s="1919"/>
      <c r="S15" s="1780">
        <v>2</v>
      </c>
      <c r="T15" s="1893"/>
      <c r="U15" s="1780" t="s">
        <v>64</v>
      </c>
      <c r="V15" s="1920">
        <v>28759</v>
      </c>
      <c r="W15" s="1920"/>
      <c r="X15" s="1920"/>
    </row>
    <row r="16" spans="1:25" ht="24.75" customHeight="1" x14ac:dyDescent="0.25">
      <c r="A16" s="100" t="s">
        <v>39</v>
      </c>
      <c r="B16" s="1918">
        <v>213132</v>
      </c>
      <c r="C16" s="1919"/>
      <c r="D16" s="1785"/>
      <c r="E16" s="1785">
        <v>1000</v>
      </c>
      <c r="F16" s="1785"/>
      <c r="G16" s="1785"/>
      <c r="H16" s="1785"/>
      <c r="I16" s="1785">
        <v>150</v>
      </c>
      <c r="J16" s="1785"/>
      <c r="K16" s="1785">
        <v>15</v>
      </c>
      <c r="L16" s="1785"/>
      <c r="M16" s="1785"/>
      <c r="N16" s="1785"/>
      <c r="O16" s="1785"/>
      <c r="P16" s="1785"/>
      <c r="Q16" s="1920"/>
      <c r="R16" s="1920"/>
      <c r="S16" s="1785"/>
      <c r="T16" s="1912" t="s">
        <v>55</v>
      </c>
      <c r="U16" s="1912"/>
      <c r="V16" s="1925">
        <f>Y12</f>
        <v>165208.69500000001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785"/>
      <c r="E17" s="1785"/>
      <c r="F17" s="1785"/>
      <c r="G17" s="1785"/>
      <c r="H17" s="1785"/>
      <c r="I17" s="1785"/>
      <c r="J17" s="1785"/>
      <c r="K17" s="1785"/>
      <c r="L17" s="1785"/>
      <c r="M17" s="1785"/>
      <c r="N17" s="1785"/>
      <c r="O17" s="1785"/>
      <c r="P17" s="1785"/>
      <c r="Q17" s="1883"/>
      <c r="R17" s="1883"/>
      <c r="S17" s="1782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138302</v>
      </c>
      <c r="C18" s="1919"/>
      <c r="D18" s="1786">
        <f>E12</f>
        <v>0</v>
      </c>
      <c r="E18" s="1786">
        <f>G12</f>
        <v>0</v>
      </c>
      <c r="F18" s="1786">
        <f>I12</f>
        <v>1660</v>
      </c>
      <c r="G18" s="1786">
        <f>K12</f>
        <v>0</v>
      </c>
      <c r="H18" s="1785"/>
      <c r="I18" s="1786">
        <f>U12</f>
        <v>0</v>
      </c>
      <c r="J18" s="1785"/>
      <c r="K18" s="1786">
        <f>W12</f>
        <v>0</v>
      </c>
      <c r="L18" s="1785"/>
      <c r="M18" s="1786">
        <f>M12</f>
        <v>0</v>
      </c>
      <c r="N18" s="1786">
        <f>O12</f>
        <v>0</v>
      </c>
      <c r="O18" s="1787">
        <f>Q12</f>
        <v>0</v>
      </c>
      <c r="P18" s="1786"/>
      <c r="Q18" s="1920"/>
      <c r="R18" s="1920"/>
      <c r="S18" s="1780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555878</v>
      </c>
      <c r="C19" s="1919"/>
      <c r="D19" s="1785">
        <f>D15+D16+D17-D18</f>
        <v>0</v>
      </c>
      <c r="E19" s="1785">
        <f t="shared" ref="E19:N19" si="13">E15+E16+E17-E18</f>
        <v>1000</v>
      </c>
      <c r="F19" s="1785">
        <f t="shared" si="13"/>
        <v>840</v>
      </c>
      <c r="G19" s="1785">
        <f t="shared" si="13"/>
        <v>0</v>
      </c>
      <c r="H19" s="1785">
        <f t="shared" si="13"/>
        <v>38</v>
      </c>
      <c r="I19" s="1785">
        <f t="shared" si="13"/>
        <v>150</v>
      </c>
      <c r="J19" s="1785">
        <f t="shared" si="13"/>
        <v>4</v>
      </c>
      <c r="K19" s="1785">
        <f t="shared" si="13"/>
        <v>79</v>
      </c>
      <c r="L19" s="1785">
        <f t="shared" si="13"/>
        <v>0</v>
      </c>
      <c r="M19" s="1785">
        <f t="shared" si="13"/>
        <v>0</v>
      </c>
      <c r="N19" s="1785">
        <f t="shared" si="13"/>
        <v>0</v>
      </c>
      <c r="O19" s="1785">
        <f>O15+O16+O17-O18</f>
        <v>0</v>
      </c>
      <c r="P19" s="1785">
        <f t="shared" ref="P19:Q19" si="14">P15+P16+P17-P18</f>
        <v>100</v>
      </c>
      <c r="Q19" s="1918">
        <f t="shared" si="14"/>
        <v>10</v>
      </c>
      <c r="R19" s="1919"/>
      <c r="S19" s="1780">
        <f>S15+S16-S17-S18</f>
        <v>2</v>
      </c>
      <c r="T19" s="1914" t="s">
        <v>48</v>
      </c>
      <c r="U19" s="49" t="s">
        <v>58</v>
      </c>
      <c r="V19" s="1920">
        <v>90000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535032.57500000007</v>
      </c>
      <c r="C20" s="1945"/>
      <c r="D20" s="290">
        <f>D19*66.41</f>
        <v>0</v>
      </c>
      <c r="E20" s="290">
        <f>27.9368*E19</f>
        <v>27936.800000000003</v>
      </c>
      <c r="F20" s="290">
        <f>18.31*F19</f>
        <v>15380.4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>
        <v>95000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655023.77500000014</v>
      </c>
      <c r="C21" s="1951"/>
      <c r="O21" s="1789"/>
      <c r="P21" s="1789"/>
      <c r="Q21" s="1789"/>
      <c r="R21" s="1789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90000</v>
      </c>
      <c r="D22" s="1949">
        <v>90000</v>
      </c>
      <c r="E22" s="1949">
        <v>188000</v>
      </c>
      <c r="F22" s="1949">
        <f>C22-D22+E22</f>
        <v>188000</v>
      </c>
      <c r="G22" s="1789"/>
      <c r="Q22" s="1789"/>
      <c r="R22" s="1789"/>
      <c r="T22" s="1909" t="s">
        <v>83</v>
      </c>
      <c r="U22" s="50" t="s">
        <v>60</v>
      </c>
      <c r="V22" s="1920">
        <v>165410</v>
      </c>
      <c r="W22" s="1920"/>
      <c r="X22" s="1920"/>
      <c r="Y22" s="1927"/>
    </row>
    <row r="23" spans="1:25" ht="39.75" customHeight="1" x14ac:dyDescent="0.25">
      <c r="A23" s="1789"/>
      <c r="B23" s="1947"/>
      <c r="C23" s="1950"/>
      <c r="D23" s="1950"/>
      <c r="E23" s="1950"/>
      <c r="F23" s="1950"/>
      <c r="G23" s="1789"/>
      <c r="Q23" s="1789"/>
      <c r="R23" s="1789"/>
      <c r="T23" s="1910"/>
      <c r="U23" s="50" t="s">
        <v>61</v>
      </c>
      <c r="V23" s="1920">
        <v>185000</v>
      </c>
      <c r="W23" s="1920"/>
      <c r="X23" s="1920"/>
      <c r="Y23" s="1927"/>
    </row>
    <row r="24" spans="1:25" ht="48" customHeight="1" x14ac:dyDescent="0.25">
      <c r="A24" s="1789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789"/>
      <c r="Q24" s="1789"/>
      <c r="R24" s="1789"/>
      <c r="T24" s="1893" t="s">
        <v>47</v>
      </c>
      <c r="U24" s="51" t="s">
        <v>62</v>
      </c>
      <c r="V24" s="1921">
        <f>V14+V16+V17-V18-V19-V20-V22+V23-V21</f>
        <v>4826.695000000007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9169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789"/>
      <c r="J33" s="1789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4F105-F5AF-434F-A6C8-37D463A269BC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795"/>
      <c r="B3" s="1795"/>
      <c r="C3" s="1795"/>
      <c r="D3" s="1795"/>
      <c r="E3" s="1795"/>
      <c r="F3" s="1795"/>
      <c r="G3" s="1795"/>
      <c r="H3" s="1795"/>
      <c r="I3" s="1795"/>
      <c r="J3" s="1795"/>
      <c r="K3" s="1795"/>
      <c r="L3" s="1795"/>
      <c r="M3" s="1795"/>
      <c r="N3" s="1795"/>
      <c r="O3" s="1795"/>
      <c r="P3" s="1795"/>
      <c r="Q3" s="1795"/>
      <c r="R3" s="1795"/>
      <c r="S3" s="1795"/>
      <c r="T3" s="1900" t="s">
        <v>537</v>
      </c>
      <c r="U3" s="1900"/>
      <c r="V3" s="1900"/>
      <c r="W3" s="1900"/>
      <c r="X3" s="1900"/>
      <c r="Y3" s="1900"/>
    </row>
    <row r="4" spans="1:25" s="179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795" customFormat="1" ht="25.5" customHeight="1" x14ac:dyDescent="0.25">
      <c r="A5" s="1901"/>
      <c r="B5" s="1901"/>
      <c r="C5" s="1794" t="s">
        <v>42</v>
      </c>
      <c r="D5" s="1794" t="s">
        <v>43</v>
      </c>
      <c r="E5" s="1794" t="s">
        <v>42</v>
      </c>
      <c r="F5" s="1794" t="s">
        <v>43</v>
      </c>
      <c r="G5" s="1794" t="s">
        <v>42</v>
      </c>
      <c r="H5" s="1794" t="s">
        <v>43</v>
      </c>
      <c r="I5" s="1794" t="s">
        <v>42</v>
      </c>
      <c r="J5" s="1794" t="s">
        <v>43</v>
      </c>
      <c r="K5" s="1794" t="s">
        <v>42</v>
      </c>
      <c r="L5" s="1794" t="s">
        <v>43</v>
      </c>
      <c r="M5" s="1794" t="s">
        <v>42</v>
      </c>
      <c r="N5" s="1794" t="s">
        <v>43</v>
      </c>
      <c r="O5" s="1794" t="s">
        <v>42</v>
      </c>
      <c r="P5" s="1794" t="s">
        <v>43</v>
      </c>
      <c r="Q5" s="1794" t="s">
        <v>42</v>
      </c>
      <c r="R5" s="17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793" t="s">
        <v>71</v>
      </c>
      <c r="C6" s="1791">
        <v>23968</v>
      </c>
      <c r="D6" s="1790">
        <f t="shared" ref="D6:D11" si="0">0.9725*C6</f>
        <v>23308.880000000001</v>
      </c>
      <c r="E6" s="1791"/>
      <c r="F6" s="1790">
        <f>67.1*E6</f>
        <v>0</v>
      </c>
      <c r="G6" s="1791"/>
      <c r="H6" s="1791">
        <f>28.2*G6</f>
        <v>0</v>
      </c>
      <c r="I6" s="1791">
        <v>120</v>
      </c>
      <c r="J6" s="1791">
        <f>18.5*I6</f>
        <v>2220</v>
      </c>
      <c r="K6" s="1791"/>
      <c r="L6" s="1790">
        <f>28.2368*K6</f>
        <v>0</v>
      </c>
      <c r="M6" s="1791"/>
      <c r="N6" s="1790">
        <f>M6*47.6525</f>
        <v>0</v>
      </c>
      <c r="O6" s="1791"/>
      <c r="P6" s="1790">
        <f>O6*8.9</f>
        <v>0</v>
      </c>
      <c r="Q6" s="1790"/>
      <c r="R6" s="1790">
        <f>241*Q6</f>
        <v>0</v>
      </c>
      <c r="S6" s="1791"/>
      <c r="T6" s="1791">
        <f>241*S6</f>
        <v>0</v>
      </c>
      <c r="U6" s="1791"/>
      <c r="V6" s="1791">
        <f>332*U6</f>
        <v>0</v>
      </c>
      <c r="W6" s="1791"/>
      <c r="X6" s="19">
        <f>W6*100</f>
        <v>0</v>
      </c>
      <c r="Y6" s="20">
        <f t="shared" ref="Y6:Y12" si="1">D6+F6+H6+J6+L6+N6+P6+R6+T6+V6+X6</f>
        <v>25528.880000000001</v>
      </c>
    </row>
    <row r="7" spans="1:25" ht="31.5" customHeight="1" x14ac:dyDescent="0.25">
      <c r="A7" s="12">
        <v>1984225578</v>
      </c>
      <c r="B7" s="1793" t="s">
        <v>509</v>
      </c>
      <c r="C7" s="1791">
        <v>23536</v>
      </c>
      <c r="D7" s="1790">
        <f t="shared" si="0"/>
        <v>22888.760000000002</v>
      </c>
      <c r="E7" s="1791"/>
      <c r="F7" s="1791">
        <f t="shared" ref="F7:F11" si="2">67.1*E7</f>
        <v>0</v>
      </c>
      <c r="G7" s="1791"/>
      <c r="H7" s="1791">
        <f t="shared" ref="H7:H11" si="3">28.2*G7</f>
        <v>0</v>
      </c>
      <c r="I7" s="1791"/>
      <c r="J7" s="1791">
        <f t="shared" ref="J7:J11" si="4">18.5*I7</f>
        <v>0</v>
      </c>
      <c r="K7" s="1791"/>
      <c r="L7" s="1790">
        <f t="shared" ref="L7:L11" si="5">28.2368*K7</f>
        <v>0</v>
      </c>
      <c r="M7" s="1791"/>
      <c r="N7" s="1790">
        <f t="shared" ref="N7:N11" si="6">M7*47.6525</f>
        <v>0</v>
      </c>
      <c r="O7" s="1791"/>
      <c r="P7" s="1790">
        <f t="shared" ref="P7:P11" si="7">O7*8.9</f>
        <v>0</v>
      </c>
      <c r="Q7" s="1790"/>
      <c r="R7" s="1790">
        <f t="shared" ref="R7:R11" si="8">241*Q7</f>
        <v>0</v>
      </c>
      <c r="S7" s="1791"/>
      <c r="T7" s="1791">
        <f t="shared" ref="T7:T10" si="9">241*S7</f>
        <v>0</v>
      </c>
      <c r="U7" s="1791"/>
      <c r="V7" s="1791">
        <f t="shared" ref="V7:V11" si="10">332*U7</f>
        <v>0</v>
      </c>
      <c r="W7" s="1791"/>
      <c r="X7" s="19">
        <f t="shared" ref="X7:X11" si="11">W7*100</f>
        <v>0</v>
      </c>
      <c r="Y7" s="20">
        <f t="shared" si="1"/>
        <v>22888.760000000002</v>
      </c>
    </row>
    <row r="8" spans="1:25" ht="35.25" customHeight="1" x14ac:dyDescent="0.25">
      <c r="A8" s="12">
        <v>1967020280</v>
      </c>
      <c r="B8" s="1793" t="s">
        <v>427</v>
      </c>
      <c r="C8" s="1791">
        <v>14362</v>
      </c>
      <c r="D8" s="1790">
        <f t="shared" si="0"/>
        <v>13967.045</v>
      </c>
      <c r="E8" s="1791"/>
      <c r="F8" s="1791">
        <f t="shared" si="2"/>
        <v>0</v>
      </c>
      <c r="G8" s="1791"/>
      <c r="H8" s="1790">
        <f t="shared" si="3"/>
        <v>0</v>
      </c>
      <c r="I8" s="1791">
        <v>210</v>
      </c>
      <c r="J8" s="1791">
        <f t="shared" si="4"/>
        <v>3885</v>
      </c>
      <c r="K8" s="1791"/>
      <c r="L8" s="1790">
        <f t="shared" si="5"/>
        <v>0</v>
      </c>
      <c r="M8" s="1791"/>
      <c r="N8" s="1790">
        <f t="shared" si="6"/>
        <v>0</v>
      </c>
      <c r="O8" s="1791"/>
      <c r="P8" s="1790">
        <f t="shared" si="7"/>
        <v>0</v>
      </c>
      <c r="Q8" s="1790"/>
      <c r="R8" s="1790">
        <f t="shared" si="8"/>
        <v>0</v>
      </c>
      <c r="S8" s="1791"/>
      <c r="T8" s="1791">
        <f t="shared" si="9"/>
        <v>0</v>
      </c>
      <c r="U8" s="1791"/>
      <c r="V8" s="1791">
        <f t="shared" si="10"/>
        <v>0</v>
      </c>
      <c r="W8" s="1791"/>
      <c r="X8" s="19">
        <f t="shared" si="11"/>
        <v>0</v>
      </c>
      <c r="Y8" s="20">
        <f t="shared" si="1"/>
        <v>17852.044999999998</v>
      </c>
    </row>
    <row r="9" spans="1:25" ht="38.25" customHeight="1" x14ac:dyDescent="0.25">
      <c r="A9" s="12">
        <v>1984225580</v>
      </c>
      <c r="B9" s="1793" t="s">
        <v>75</v>
      </c>
      <c r="C9" s="1791">
        <v>30000</v>
      </c>
      <c r="D9" s="1790">
        <f t="shared" si="0"/>
        <v>29175</v>
      </c>
      <c r="E9" s="1791"/>
      <c r="F9" s="1791">
        <f t="shared" si="2"/>
        <v>0</v>
      </c>
      <c r="G9" s="1791"/>
      <c r="H9" s="1791">
        <f t="shared" si="3"/>
        <v>0</v>
      </c>
      <c r="I9" s="1791">
        <v>440</v>
      </c>
      <c r="J9" s="1791">
        <f t="shared" si="4"/>
        <v>8140</v>
      </c>
      <c r="K9" s="1791"/>
      <c r="L9" s="1790">
        <f t="shared" si="5"/>
        <v>0</v>
      </c>
      <c r="M9" s="1791"/>
      <c r="N9" s="1790">
        <f t="shared" si="6"/>
        <v>0</v>
      </c>
      <c r="O9" s="1791"/>
      <c r="P9" s="1790">
        <f t="shared" si="7"/>
        <v>0</v>
      </c>
      <c r="Q9" s="1790"/>
      <c r="R9" s="1790">
        <f t="shared" si="8"/>
        <v>0</v>
      </c>
      <c r="S9" s="1791"/>
      <c r="T9" s="1791">
        <f t="shared" si="9"/>
        <v>0</v>
      </c>
      <c r="U9" s="1791"/>
      <c r="V9" s="1791">
        <f t="shared" si="10"/>
        <v>0</v>
      </c>
      <c r="W9" s="1791"/>
      <c r="X9" s="19">
        <f t="shared" si="11"/>
        <v>0</v>
      </c>
      <c r="Y9" s="20">
        <f t="shared" si="1"/>
        <v>37315</v>
      </c>
    </row>
    <row r="10" spans="1:25" ht="35.25" customHeight="1" x14ac:dyDescent="0.25">
      <c r="A10" s="12">
        <v>1409935199</v>
      </c>
      <c r="C10" s="1791"/>
      <c r="D10" s="1790">
        <f t="shared" si="0"/>
        <v>0</v>
      </c>
      <c r="E10" s="1791"/>
      <c r="F10" s="1791">
        <f t="shared" si="2"/>
        <v>0</v>
      </c>
      <c r="G10" s="1791"/>
      <c r="H10" s="1791">
        <f t="shared" si="3"/>
        <v>0</v>
      </c>
      <c r="I10" s="1791"/>
      <c r="J10" s="1791">
        <f t="shared" si="4"/>
        <v>0</v>
      </c>
      <c r="K10" s="1791"/>
      <c r="L10" s="1790">
        <f t="shared" si="5"/>
        <v>0</v>
      </c>
      <c r="M10" s="1791"/>
      <c r="N10" s="1790">
        <f t="shared" si="6"/>
        <v>0</v>
      </c>
      <c r="O10" s="1791"/>
      <c r="P10" s="1790">
        <f t="shared" si="7"/>
        <v>0</v>
      </c>
      <c r="Q10" s="1790"/>
      <c r="R10" s="1790">
        <f t="shared" si="8"/>
        <v>0</v>
      </c>
      <c r="S10" s="1791"/>
      <c r="T10" s="1791">
        <f t="shared" si="9"/>
        <v>0</v>
      </c>
      <c r="U10" s="1791"/>
      <c r="V10" s="1791">
        <f t="shared" si="10"/>
        <v>0</v>
      </c>
      <c r="W10" s="179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92"/>
      <c r="C11" s="1791"/>
      <c r="D11" s="1790">
        <f t="shared" si="0"/>
        <v>0</v>
      </c>
      <c r="E11" s="1791"/>
      <c r="F11" s="1791">
        <f t="shared" si="2"/>
        <v>0</v>
      </c>
      <c r="G11" s="1791"/>
      <c r="H11" s="1791">
        <f t="shared" si="3"/>
        <v>0</v>
      </c>
      <c r="I11" s="1791"/>
      <c r="J11" s="1791">
        <f t="shared" si="4"/>
        <v>0</v>
      </c>
      <c r="K11" s="1791"/>
      <c r="L11" s="1790">
        <f t="shared" si="5"/>
        <v>0</v>
      </c>
      <c r="M11" s="1791"/>
      <c r="N11" s="1790">
        <f t="shared" si="6"/>
        <v>0</v>
      </c>
      <c r="O11" s="1791"/>
      <c r="P11" s="1790">
        <f t="shared" si="7"/>
        <v>0</v>
      </c>
      <c r="Q11" s="1790"/>
      <c r="R11" s="1790">
        <f t="shared" si="8"/>
        <v>0</v>
      </c>
      <c r="S11" s="1791"/>
      <c r="T11" s="1791">
        <f>341*S11</f>
        <v>0</v>
      </c>
      <c r="U11" s="1791"/>
      <c r="V11" s="1791">
        <f t="shared" si="10"/>
        <v>0</v>
      </c>
      <c r="W11" s="179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91866</v>
      </c>
      <c r="D12" s="18">
        <f t="shared" si="12"/>
        <v>89339.684999999998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770</v>
      </c>
      <c r="J12" s="18">
        <f t="shared" si="12"/>
        <v>14245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103584.685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99" t="s">
        <v>174</v>
      </c>
      <c r="K14" s="30" t="s">
        <v>36</v>
      </c>
      <c r="L14" s="1799" t="s">
        <v>403</v>
      </c>
      <c r="M14" s="30" t="s">
        <v>429</v>
      </c>
      <c r="N14" s="30" t="s">
        <v>442</v>
      </c>
      <c r="O14" s="1799" t="s">
        <v>114</v>
      </c>
      <c r="P14" s="30" t="s">
        <v>70</v>
      </c>
      <c r="Q14" s="1958" t="s">
        <v>479</v>
      </c>
      <c r="R14" s="1959"/>
      <c r="S14" s="1799" t="s">
        <v>401</v>
      </c>
      <c r="T14" s="1893" t="s">
        <v>46</v>
      </c>
      <c r="U14" s="1793" t="s">
        <v>176</v>
      </c>
      <c r="V14" s="1918">
        <v>4827</v>
      </c>
      <c r="W14" s="1926"/>
      <c r="X14" s="1919"/>
    </row>
    <row r="15" spans="1:25" ht="22.5" customHeight="1" x14ac:dyDescent="0.25">
      <c r="A15" s="100" t="s">
        <v>38</v>
      </c>
      <c r="B15" s="1918">
        <v>555878</v>
      </c>
      <c r="C15" s="1919"/>
      <c r="D15" s="1796">
        <v>0</v>
      </c>
      <c r="E15" s="1796">
        <v>1000</v>
      </c>
      <c r="F15" s="1796">
        <v>840</v>
      </c>
      <c r="G15" s="1796">
        <v>0</v>
      </c>
      <c r="H15" s="1796">
        <v>38</v>
      </c>
      <c r="I15" s="1796">
        <v>150</v>
      </c>
      <c r="J15" s="1796">
        <v>4</v>
      </c>
      <c r="K15" s="1796">
        <v>79</v>
      </c>
      <c r="L15" s="1796">
        <v>0</v>
      </c>
      <c r="M15" s="1796">
        <v>0</v>
      </c>
      <c r="N15" s="1796">
        <v>0</v>
      </c>
      <c r="O15" s="1796">
        <v>0</v>
      </c>
      <c r="P15" s="1796">
        <v>100</v>
      </c>
      <c r="Q15" s="1918">
        <v>10</v>
      </c>
      <c r="R15" s="1919"/>
      <c r="S15" s="1793">
        <v>2</v>
      </c>
      <c r="T15" s="1893"/>
      <c r="U15" s="1793" t="s">
        <v>64</v>
      </c>
      <c r="V15" s="1920">
        <v>9169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796"/>
      <c r="E16" s="1796"/>
      <c r="F16" s="1796"/>
      <c r="G16" s="1796"/>
      <c r="H16" s="1796"/>
      <c r="I16" s="1796"/>
      <c r="J16" s="1796"/>
      <c r="K16" s="1796"/>
      <c r="L16" s="1796"/>
      <c r="M16" s="1796"/>
      <c r="N16" s="1796"/>
      <c r="O16" s="1796"/>
      <c r="P16" s="1796"/>
      <c r="Q16" s="1920"/>
      <c r="R16" s="1920"/>
      <c r="S16" s="1796"/>
      <c r="T16" s="1912" t="s">
        <v>55</v>
      </c>
      <c r="U16" s="1912"/>
      <c r="V16" s="1925">
        <f>Y12</f>
        <v>103584.685</v>
      </c>
      <c r="W16" s="1925"/>
      <c r="X16" s="1920"/>
    </row>
    <row r="17" spans="1:25" ht="28.5" customHeight="1" x14ac:dyDescent="0.25">
      <c r="A17" s="101" t="s">
        <v>44</v>
      </c>
      <c r="B17" s="1918">
        <v>31009</v>
      </c>
      <c r="C17" s="1919"/>
      <c r="D17" s="1796"/>
      <c r="E17" s="1796"/>
      <c r="F17" s="1796"/>
      <c r="G17" s="1796"/>
      <c r="H17" s="1796"/>
      <c r="I17" s="1796"/>
      <c r="J17" s="1796"/>
      <c r="K17" s="1796"/>
      <c r="L17" s="1796"/>
      <c r="M17" s="1796"/>
      <c r="N17" s="1796"/>
      <c r="O17" s="1796"/>
      <c r="P17" s="1796"/>
      <c r="Q17" s="1883"/>
      <c r="R17" s="1883"/>
      <c r="S17" s="1792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91866</v>
      </c>
      <c r="C18" s="1919"/>
      <c r="D18" s="1798">
        <f>E12</f>
        <v>0</v>
      </c>
      <c r="E18" s="1798">
        <f>G12</f>
        <v>0</v>
      </c>
      <c r="F18" s="1798">
        <f>I12</f>
        <v>770</v>
      </c>
      <c r="G18" s="1798">
        <f>K12</f>
        <v>0</v>
      </c>
      <c r="H18" s="1796"/>
      <c r="I18" s="1798">
        <f>U12</f>
        <v>0</v>
      </c>
      <c r="J18" s="1796"/>
      <c r="K18" s="1798">
        <f>W12</f>
        <v>0</v>
      </c>
      <c r="L18" s="1796"/>
      <c r="M18" s="1798">
        <f>M12</f>
        <v>0</v>
      </c>
      <c r="N18" s="1798">
        <f>O12</f>
        <v>0</v>
      </c>
      <c r="O18" s="1797">
        <f>Q12</f>
        <v>0</v>
      </c>
      <c r="P18" s="1798"/>
      <c r="Q18" s="1920"/>
      <c r="R18" s="1920"/>
      <c r="S18" s="1793"/>
      <c r="T18" s="1912" t="s">
        <v>57</v>
      </c>
      <c r="U18" s="1912"/>
      <c r="V18" s="1920">
        <v>620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495021</v>
      </c>
      <c r="C19" s="1919"/>
      <c r="D19" s="1796">
        <f>D15+D16+D17-D18</f>
        <v>0</v>
      </c>
      <c r="E19" s="1796">
        <f t="shared" ref="E19:N19" si="13">E15+E16+E17-E18</f>
        <v>1000</v>
      </c>
      <c r="F19" s="1796">
        <f t="shared" si="13"/>
        <v>70</v>
      </c>
      <c r="G19" s="1796">
        <f t="shared" si="13"/>
        <v>0</v>
      </c>
      <c r="H19" s="1796">
        <f t="shared" si="13"/>
        <v>38</v>
      </c>
      <c r="I19" s="1796">
        <f t="shared" si="13"/>
        <v>150</v>
      </c>
      <c r="J19" s="1796">
        <f t="shared" si="13"/>
        <v>4</v>
      </c>
      <c r="K19" s="1796">
        <f t="shared" si="13"/>
        <v>79</v>
      </c>
      <c r="L19" s="1796">
        <f t="shared" si="13"/>
        <v>0</v>
      </c>
      <c r="M19" s="1796">
        <f t="shared" si="13"/>
        <v>0</v>
      </c>
      <c r="N19" s="1796">
        <f t="shared" si="13"/>
        <v>0</v>
      </c>
      <c r="O19" s="1796">
        <f>O15+O16+O17-O18</f>
        <v>0</v>
      </c>
      <c r="P19" s="1796">
        <f t="shared" ref="P19:Q19" si="14">P15+P16+P17-P18</f>
        <v>100</v>
      </c>
      <c r="Q19" s="1918">
        <f t="shared" si="14"/>
        <v>10</v>
      </c>
      <c r="R19" s="1919"/>
      <c r="S19" s="1793">
        <f>S15+S16-S17-S18</f>
        <v>2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476457.71250000002</v>
      </c>
      <c r="C20" s="1945"/>
      <c r="D20" s="290">
        <f>D19*66.41</f>
        <v>0</v>
      </c>
      <c r="E20" s="290">
        <f>27.9368*E19</f>
        <v>27936.800000000003</v>
      </c>
      <c r="F20" s="290">
        <f>18.31*F19</f>
        <v>1281.6999999999998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582350.21250000002</v>
      </c>
      <c r="C21" s="1951"/>
      <c r="O21" s="1800"/>
      <c r="P21" s="1800"/>
      <c r="Q21" s="1800"/>
      <c r="R21" s="1800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188000</v>
      </c>
      <c r="D22" s="1949"/>
      <c r="E22" s="1949"/>
      <c r="F22" s="1949">
        <f>C22-D22+E22</f>
        <v>188000</v>
      </c>
      <c r="G22" s="1800"/>
      <c r="Q22" s="1800"/>
      <c r="R22" s="1800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1800"/>
      <c r="B23" s="1947"/>
      <c r="C23" s="1950"/>
      <c r="D23" s="1950"/>
      <c r="E23" s="1950"/>
      <c r="F23" s="1950"/>
      <c r="G23" s="1800"/>
      <c r="Q23" s="1800"/>
      <c r="R23" s="1800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1800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800"/>
      <c r="Q24" s="1800"/>
      <c r="R24" s="1800"/>
      <c r="T24" s="1893" t="s">
        <v>47</v>
      </c>
      <c r="U24" s="51" t="s">
        <v>62</v>
      </c>
      <c r="V24" s="1921">
        <f>V14+V16+V17-V18-V19-V20-V22+V23-V21</f>
        <v>107791.685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9169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800"/>
      <c r="J33" s="1800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4CA7-282D-403C-A385-457C147CB4EC}">
  <sheetPr>
    <pageSetUpPr fitToPage="1"/>
  </sheetPr>
  <dimension ref="A1:Y33"/>
  <sheetViews>
    <sheetView topLeftCell="D11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801"/>
      <c r="B3" s="1801"/>
      <c r="C3" s="1801"/>
      <c r="D3" s="1801"/>
      <c r="E3" s="1801"/>
      <c r="F3" s="1801"/>
      <c r="G3" s="1801"/>
      <c r="H3" s="1801"/>
      <c r="I3" s="1801"/>
      <c r="J3" s="1801"/>
      <c r="K3" s="1801"/>
      <c r="L3" s="1801"/>
      <c r="M3" s="1801"/>
      <c r="N3" s="1801"/>
      <c r="O3" s="1801"/>
      <c r="P3" s="1801"/>
      <c r="Q3" s="1801"/>
      <c r="R3" s="1801"/>
      <c r="S3" s="1801"/>
      <c r="T3" s="1900" t="s">
        <v>538</v>
      </c>
      <c r="U3" s="1900"/>
      <c r="V3" s="1900"/>
      <c r="W3" s="1900"/>
      <c r="X3" s="1900"/>
      <c r="Y3" s="1900"/>
    </row>
    <row r="4" spans="1:25" s="1801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801" customFormat="1" ht="25.5" customHeight="1" x14ac:dyDescent="0.25">
      <c r="A5" s="1901"/>
      <c r="B5" s="1901"/>
      <c r="C5" s="1803" t="s">
        <v>42</v>
      </c>
      <c r="D5" s="1803" t="s">
        <v>43</v>
      </c>
      <c r="E5" s="1803" t="s">
        <v>42</v>
      </c>
      <c r="F5" s="1803" t="s">
        <v>43</v>
      </c>
      <c r="G5" s="1803" t="s">
        <v>42</v>
      </c>
      <c r="H5" s="1803" t="s">
        <v>43</v>
      </c>
      <c r="I5" s="1803" t="s">
        <v>42</v>
      </c>
      <c r="J5" s="1803" t="s">
        <v>43</v>
      </c>
      <c r="K5" s="1803" t="s">
        <v>42</v>
      </c>
      <c r="L5" s="1803" t="s">
        <v>43</v>
      </c>
      <c r="M5" s="1803" t="s">
        <v>42</v>
      </c>
      <c r="N5" s="1803" t="s">
        <v>43</v>
      </c>
      <c r="O5" s="1803" t="s">
        <v>42</v>
      </c>
      <c r="P5" s="1803" t="s">
        <v>43</v>
      </c>
      <c r="Q5" s="1803" t="s">
        <v>42</v>
      </c>
      <c r="R5" s="18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802" t="s">
        <v>71</v>
      </c>
      <c r="C6" s="1805">
        <v>20520</v>
      </c>
      <c r="D6" s="1806">
        <f t="shared" ref="D6:D11" si="0">0.9725*C6</f>
        <v>19955.7</v>
      </c>
      <c r="E6" s="1805"/>
      <c r="F6" s="1806">
        <f>67.1*E6</f>
        <v>0</v>
      </c>
      <c r="G6" s="1805"/>
      <c r="H6" s="1805">
        <f>28.2*G6</f>
        <v>0</v>
      </c>
      <c r="I6" s="1805"/>
      <c r="J6" s="1805">
        <f>18.5*I6</f>
        <v>0</v>
      </c>
      <c r="K6" s="1805"/>
      <c r="L6" s="1806">
        <f>28.2368*K6</f>
        <v>0</v>
      </c>
      <c r="M6" s="1805"/>
      <c r="N6" s="1806">
        <f>M6*47.6525</f>
        <v>0</v>
      </c>
      <c r="O6" s="1805"/>
      <c r="P6" s="1806">
        <f>O6*8.9</f>
        <v>0</v>
      </c>
      <c r="Q6" s="1806"/>
      <c r="R6" s="1806">
        <f>241*Q6</f>
        <v>0</v>
      </c>
      <c r="S6" s="1805"/>
      <c r="T6" s="1805">
        <f>241*S6</f>
        <v>0</v>
      </c>
      <c r="U6" s="1805"/>
      <c r="V6" s="1805">
        <f>332*U6</f>
        <v>0</v>
      </c>
      <c r="W6" s="1805"/>
      <c r="X6" s="19">
        <f>W6*100</f>
        <v>0</v>
      </c>
      <c r="Y6" s="20">
        <f t="shared" ref="Y6:Y12" si="1">D6+F6+H6+J6+L6+N6+P6+R6+T6+V6+X6</f>
        <v>19955.7</v>
      </c>
    </row>
    <row r="7" spans="1:25" ht="31.5" customHeight="1" x14ac:dyDescent="0.25">
      <c r="A7" s="12">
        <v>1984225578</v>
      </c>
      <c r="B7" s="1802" t="s">
        <v>509</v>
      </c>
      <c r="C7" s="1805">
        <v>26208</v>
      </c>
      <c r="D7" s="1806">
        <f t="shared" si="0"/>
        <v>25487.280000000002</v>
      </c>
      <c r="E7" s="1805"/>
      <c r="F7" s="1805">
        <f t="shared" ref="F7:F11" si="2">67.1*E7</f>
        <v>0</v>
      </c>
      <c r="G7" s="1805"/>
      <c r="H7" s="1805">
        <f t="shared" ref="H7:H11" si="3">28.2*G7</f>
        <v>0</v>
      </c>
      <c r="I7" s="1805"/>
      <c r="J7" s="1805">
        <f t="shared" ref="J7:J11" si="4">18.5*I7</f>
        <v>0</v>
      </c>
      <c r="K7" s="1805"/>
      <c r="L7" s="1806">
        <f t="shared" ref="L7:L11" si="5">28.2368*K7</f>
        <v>0</v>
      </c>
      <c r="M7" s="1805"/>
      <c r="N7" s="1806">
        <f t="shared" ref="N7:N11" si="6">M7*47.6525</f>
        <v>0</v>
      </c>
      <c r="O7" s="1805"/>
      <c r="P7" s="1806">
        <f t="shared" ref="P7:P11" si="7">O7*8.9</f>
        <v>0</v>
      </c>
      <c r="Q7" s="1806"/>
      <c r="R7" s="1806">
        <f t="shared" ref="R7:R11" si="8">241*Q7</f>
        <v>0</v>
      </c>
      <c r="S7" s="1805"/>
      <c r="T7" s="1805">
        <f t="shared" ref="T7:T10" si="9">241*S7</f>
        <v>0</v>
      </c>
      <c r="U7" s="1805"/>
      <c r="V7" s="1805">
        <f t="shared" ref="V7:V11" si="10">332*U7</f>
        <v>0</v>
      </c>
      <c r="W7" s="1805"/>
      <c r="X7" s="19">
        <f t="shared" ref="X7:X11" si="11">W7*100</f>
        <v>0</v>
      </c>
      <c r="Y7" s="20">
        <f t="shared" si="1"/>
        <v>25487.280000000002</v>
      </c>
    </row>
    <row r="8" spans="1:25" ht="35.25" customHeight="1" x14ac:dyDescent="0.25">
      <c r="A8" s="12">
        <v>1967020280</v>
      </c>
      <c r="B8" s="1802" t="s">
        <v>427</v>
      </c>
      <c r="C8" s="1805">
        <v>20223</v>
      </c>
      <c r="D8" s="1806">
        <f t="shared" si="0"/>
        <v>19666.8675</v>
      </c>
      <c r="E8" s="1805"/>
      <c r="F8" s="1805">
        <f t="shared" si="2"/>
        <v>0</v>
      </c>
      <c r="G8" s="1805"/>
      <c r="H8" s="1806">
        <f t="shared" si="3"/>
        <v>0</v>
      </c>
      <c r="I8" s="1805"/>
      <c r="J8" s="1805">
        <f t="shared" si="4"/>
        <v>0</v>
      </c>
      <c r="K8" s="1805"/>
      <c r="L8" s="1806">
        <f t="shared" si="5"/>
        <v>0</v>
      </c>
      <c r="M8" s="1805"/>
      <c r="N8" s="1806">
        <f t="shared" si="6"/>
        <v>0</v>
      </c>
      <c r="O8" s="1805"/>
      <c r="P8" s="1806">
        <f t="shared" si="7"/>
        <v>0</v>
      </c>
      <c r="Q8" s="1806"/>
      <c r="R8" s="1806">
        <f t="shared" si="8"/>
        <v>0</v>
      </c>
      <c r="S8" s="1805"/>
      <c r="T8" s="1805">
        <f t="shared" si="9"/>
        <v>0</v>
      </c>
      <c r="U8" s="1805"/>
      <c r="V8" s="1805">
        <f t="shared" si="10"/>
        <v>0</v>
      </c>
      <c r="W8" s="1805"/>
      <c r="X8" s="19">
        <f t="shared" si="11"/>
        <v>0</v>
      </c>
      <c r="Y8" s="20">
        <f t="shared" si="1"/>
        <v>19666.8675</v>
      </c>
    </row>
    <row r="9" spans="1:25" ht="38.25" customHeight="1" x14ac:dyDescent="0.25">
      <c r="A9" s="12">
        <v>1984225580</v>
      </c>
      <c r="B9" s="1802" t="s">
        <v>75</v>
      </c>
      <c r="C9" s="1805">
        <v>32715</v>
      </c>
      <c r="D9" s="1806">
        <f t="shared" si="0"/>
        <v>31815.337500000001</v>
      </c>
      <c r="E9" s="1805"/>
      <c r="F9" s="1805">
        <f t="shared" si="2"/>
        <v>0</v>
      </c>
      <c r="G9" s="1805"/>
      <c r="H9" s="1805">
        <f t="shared" si="3"/>
        <v>0</v>
      </c>
      <c r="I9" s="1805">
        <v>70</v>
      </c>
      <c r="J9" s="1805">
        <f t="shared" si="4"/>
        <v>1295</v>
      </c>
      <c r="K9" s="1805"/>
      <c r="L9" s="1806">
        <f t="shared" si="5"/>
        <v>0</v>
      </c>
      <c r="M9" s="1805"/>
      <c r="N9" s="1806">
        <f t="shared" si="6"/>
        <v>0</v>
      </c>
      <c r="O9" s="1805"/>
      <c r="P9" s="1806">
        <f t="shared" si="7"/>
        <v>0</v>
      </c>
      <c r="Q9" s="1806"/>
      <c r="R9" s="1806">
        <f t="shared" si="8"/>
        <v>0</v>
      </c>
      <c r="S9" s="1805"/>
      <c r="T9" s="1805">
        <f t="shared" si="9"/>
        <v>0</v>
      </c>
      <c r="U9" s="1805"/>
      <c r="V9" s="1805">
        <f t="shared" si="10"/>
        <v>0</v>
      </c>
      <c r="W9" s="1805"/>
      <c r="X9" s="19">
        <f t="shared" si="11"/>
        <v>0</v>
      </c>
      <c r="Y9" s="20">
        <f t="shared" si="1"/>
        <v>33110.337500000001</v>
      </c>
    </row>
    <row r="10" spans="1:25" ht="35.25" customHeight="1" x14ac:dyDescent="0.25">
      <c r="A10" s="12">
        <v>1409935199</v>
      </c>
      <c r="C10" s="1805">
        <v>14000</v>
      </c>
      <c r="D10" s="1806">
        <f t="shared" si="0"/>
        <v>13615</v>
      </c>
      <c r="E10" s="1805"/>
      <c r="F10" s="1805">
        <f t="shared" si="2"/>
        <v>0</v>
      </c>
      <c r="G10" s="1805"/>
      <c r="H10" s="1805">
        <f t="shared" si="3"/>
        <v>0</v>
      </c>
      <c r="I10" s="1805"/>
      <c r="J10" s="1805">
        <f t="shared" si="4"/>
        <v>0</v>
      </c>
      <c r="K10" s="1805"/>
      <c r="L10" s="1806">
        <f t="shared" si="5"/>
        <v>0</v>
      </c>
      <c r="M10" s="1805"/>
      <c r="N10" s="1806">
        <f t="shared" si="6"/>
        <v>0</v>
      </c>
      <c r="O10" s="1805"/>
      <c r="P10" s="1806">
        <f t="shared" si="7"/>
        <v>0</v>
      </c>
      <c r="Q10" s="1806"/>
      <c r="R10" s="1806">
        <f t="shared" si="8"/>
        <v>0</v>
      </c>
      <c r="S10" s="1805"/>
      <c r="T10" s="1805">
        <f t="shared" si="9"/>
        <v>0</v>
      </c>
      <c r="U10" s="1805"/>
      <c r="V10" s="1805">
        <f t="shared" si="10"/>
        <v>0</v>
      </c>
      <c r="W10" s="1805"/>
      <c r="X10" s="19">
        <f t="shared" si="11"/>
        <v>0</v>
      </c>
      <c r="Y10" s="20">
        <f t="shared" si="1"/>
        <v>13615</v>
      </c>
    </row>
    <row r="11" spans="1:25" ht="37.5" customHeight="1" x14ac:dyDescent="0.25">
      <c r="A11" s="12"/>
      <c r="B11" s="1804"/>
      <c r="C11" s="1805"/>
      <c r="D11" s="1806">
        <f t="shared" si="0"/>
        <v>0</v>
      </c>
      <c r="E11" s="1805"/>
      <c r="F11" s="1805">
        <f t="shared" si="2"/>
        <v>0</v>
      </c>
      <c r="G11" s="1805"/>
      <c r="H11" s="1805">
        <f t="shared" si="3"/>
        <v>0</v>
      </c>
      <c r="I11" s="1805"/>
      <c r="J11" s="1805">
        <f t="shared" si="4"/>
        <v>0</v>
      </c>
      <c r="K11" s="1805"/>
      <c r="L11" s="1806">
        <f t="shared" si="5"/>
        <v>0</v>
      </c>
      <c r="M11" s="1805"/>
      <c r="N11" s="1806">
        <f t="shared" si="6"/>
        <v>0</v>
      </c>
      <c r="O11" s="1805"/>
      <c r="P11" s="1806">
        <f t="shared" si="7"/>
        <v>0</v>
      </c>
      <c r="Q11" s="1806"/>
      <c r="R11" s="1806">
        <f t="shared" si="8"/>
        <v>0</v>
      </c>
      <c r="S11" s="1805"/>
      <c r="T11" s="1805">
        <f>341*S11</f>
        <v>0</v>
      </c>
      <c r="U11" s="1805"/>
      <c r="V11" s="1805">
        <f t="shared" si="10"/>
        <v>0</v>
      </c>
      <c r="W11" s="18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113666</v>
      </c>
      <c r="D12" s="18">
        <f t="shared" si="12"/>
        <v>110540.185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</v>
      </c>
      <c r="J12" s="18">
        <f t="shared" si="12"/>
        <v>1295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111835.185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10" t="s">
        <v>174</v>
      </c>
      <c r="K14" s="30" t="s">
        <v>36</v>
      </c>
      <c r="L14" s="1810" t="s">
        <v>403</v>
      </c>
      <c r="M14" s="30" t="s">
        <v>429</v>
      </c>
      <c r="N14" s="30" t="s">
        <v>442</v>
      </c>
      <c r="O14" s="1810" t="s">
        <v>114</v>
      </c>
      <c r="P14" s="30" t="s">
        <v>70</v>
      </c>
      <c r="Q14" s="1958" t="s">
        <v>479</v>
      </c>
      <c r="R14" s="1959"/>
      <c r="S14" s="1810" t="s">
        <v>401</v>
      </c>
      <c r="T14" s="1893" t="s">
        <v>46</v>
      </c>
      <c r="U14" s="1802" t="s">
        <v>176</v>
      </c>
      <c r="V14" s="1918">
        <v>107792</v>
      </c>
      <c r="W14" s="1926"/>
      <c r="X14" s="1919"/>
    </row>
    <row r="15" spans="1:25" ht="22.5" customHeight="1" x14ac:dyDescent="0.25">
      <c r="A15" s="100" t="s">
        <v>38</v>
      </c>
      <c r="B15" s="1918">
        <v>495021</v>
      </c>
      <c r="C15" s="1919"/>
      <c r="D15" s="1807">
        <v>0</v>
      </c>
      <c r="E15" s="1807">
        <v>1000</v>
      </c>
      <c r="F15" s="1807">
        <v>70</v>
      </c>
      <c r="G15" s="1807">
        <v>0</v>
      </c>
      <c r="H15" s="1807">
        <v>38</v>
      </c>
      <c r="I15" s="1807">
        <v>150</v>
      </c>
      <c r="J15" s="1807">
        <v>4</v>
      </c>
      <c r="K15" s="1807">
        <v>79</v>
      </c>
      <c r="L15" s="1807">
        <v>0</v>
      </c>
      <c r="M15" s="1807">
        <v>0</v>
      </c>
      <c r="N15" s="1807">
        <v>0</v>
      </c>
      <c r="O15" s="1807">
        <v>0</v>
      </c>
      <c r="P15" s="1807">
        <v>100</v>
      </c>
      <c r="Q15" s="1918">
        <v>10</v>
      </c>
      <c r="R15" s="1919"/>
      <c r="S15" s="1802">
        <v>2</v>
      </c>
      <c r="T15" s="1893"/>
      <c r="U15" s="1802" t="s">
        <v>64</v>
      </c>
      <c r="V15" s="1920">
        <v>9169</v>
      </c>
      <c r="W15" s="1920"/>
      <c r="X15" s="1920"/>
    </row>
    <row r="16" spans="1:25" ht="24.75" customHeight="1" x14ac:dyDescent="0.25">
      <c r="A16" s="100" t="s">
        <v>39</v>
      </c>
      <c r="B16" s="1918">
        <v>161038</v>
      </c>
      <c r="C16" s="1919"/>
      <c r="D16" s="1807"/>
      <c r="E16" s="1807"/>
      <c r="F16" s="1807"/>
      <c r="G16" s="1807"/>
      <c r="H16" s="1807"/>
      <c r="I16" s="1807"/>
      <c r="J16" s="1807"/>
      <c r="K16" s="1807"/>
      <c r="L16" s="1807"/>
      <c r="M16" s="1807"/>
      <c r="N16" s="1807"/>
      <c r="O16" s="1807"/>
      <c r="P16" s="1807"/>
      <c r="Q16" s="1920"/>
      <c r="R16" s="1920"/>
      <c r="S16" s="1807"/>
      <c r="T16" s="1912" t="s">
        <v>55</v>
      </c>
      <c r="U16" s="1912"/>
      <c r="V16" s="1925">
        <f>Y12</f>
        <v>111835.185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807"/>
      <c r="E17" s="1807"/>
      <c r="F17" s="1807"/>
      <c r="G17" s="1807"/>
      <c r="H17" s="1807"/>
      <c r="I17" s="1807"/>
      <c r="J17" s="1807"/>
      <c r="K17" s="1807"/>
      <c r="L17" s="1807"/>
      <c r="M17" s="1807"/>
      <c r="N17" s="1807"/>
      <c r="O17" s="1807"/>
      <c r="P17" s="1807"/>
      <c r="Q17" s="1883"/>
      <c r="R17" s="1883"/>
      <c r="S17" s="1804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113666</v>
      </c>
      <c r="C18" s="1919"/>
      <c r="D18" s="1808">
        <f>E12</f>
        <v>0</v>
      </c>
      <c r="E18" s="1808">
        <f>G12</f>
        <v>0</v>
      </c>
      <c r="F18" s="1808">
        <f>I12</f>
        <v>70</v>
      </c>
      <c r="G18" s="1808">
        <f>K12</f>
        <v>0</v>
      </c>
      <c r="H18" s="1807"/>
      <c r="I18" s="1808">
        <f>U12</f>
        <v>0</v>
      </c>
      <c r="J18" s="1807"/>
      <c r="K18" s="1808">
        <f>W12</f>
        <v>0</v>
      </c>
      <c r="L18" s="1807"/>
      <c r="M18" s="1808">
        <f>M12</f>
        <v>0</v>
      </c>
      <c r="N18" s="1808">
        <f>O12</f>
        <v>0</v>
      </c>
      <c r="O18" s="1809">
        <f>Q12</f>
        <v>0</v>
      </c>
      <c r="P18" s="1808"/>
      <c r="Q18" s="1920"/>
      <c r="R18" s="1920"/>
      <c r="S18" s="1802"/>
      <c r="T18" s="1912" t="s">
        <v>57</v>
      </c>
      <c r="U18" s="1912"/>
      <c r="V18" s="1920">
        <v>28966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542393</v>
      </c>
      <c r="C19" s="1919"/>
      <c r="D19" s="1807">
        <f>D15+D16+D17-D18</f>
        <v>0</v>
      </c>
      <c r="E19" s="1807">
        <f t="shared" ref="E19:N19" si="13">E15+E16+E17-E18</f>
        <v>1000</v>
      </c>
      <c r="F19" s="1807">
        <f t="shared" si="13"/>
        <v>0</v>
      </c>
      <c r="G19" s="1807">
        <f t="shared" si="13"/>
        <v>0</v>
      </c>
      <c r="H19" s="1807">
        <f t="shared" si="13"/>
        <v>38</v>
      </c>
      <c r="I19" s="1807">
        <f t="shared" si="13"/>
        <v>150</v>
      </c>
      <c r="J19" s="1807">
        <f t="shared" si="13"/>
        <v>4</v>
      </c>
      <c r="K19" s="1807">
        <f t="shared" si="13"/>
        <v>79</v>
      </c>
      <c r="L19" s="1807">
        <f t="shared" si="13"/>
        <v>0</v>
      </c>
      <c r="M19" s="1807">
        <f t="shared" si="13"/>
        <v>0</v>
      </c>
      <c r="N19" s="1807">
        <f t="shared" si="13"/>
        <v>0</v>
      </c>
      <c r="O19" s="1807">
        <f>O15+O16+O17-O18</f>
        <v>0</v>
      </c>
      <c r="P19" s="1807">
        <f t="shared" ref="P19:Q19" si="14">P15+P16+P17-P18</f>
        <v>100</v>
      </c>
      <c r="Q19" s="1918">
        <f t="shared" si="14"/>
        <v>10</v>
      </c>
      <c r="R19" s="1919"/>
      <c r="S19" s="1802">
        <f>S15+S16-S17-S18</f>
        <v>2</v>
      </c>
      <c r="T19" s="1914" t="s">
        <v>48</v>
      </c>
      <c r="U19" s="49" t="s">
        <v>58</v>
      </c>
      <c r="V19" s="1920">
        <v>188000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522053.26250000001</v>
      </c>
      <c r="C20" s="1945"/>
      <c r="D20" s="290">
        <f>D19*66.41</f>
        <v>0</v>
      </c>
      <c r="E20" s="290">
        <f>27.9368*E19</f>
        <v>27936.800000000003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626664.0625</v>
      </c>
      <c r="C21" s="1951"/>
      <c r="O21" s="1811"/>
      <c r="P21" s="1811"/>
      <c r="Q21" s="1811"/>
      <c r="R21" s="1811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188000</v>
      </c>
      <c r="D22" s="1949">
        <v>188000</v>
      </c>
      <c r="E22" s="1949">
        <v>155000</v>
      </c>
      <c r="F22" s="1949">
        <f>C22-D22+E22</f>
        <v>155000</v>
      </c>
      <c r="G22" s="1811"/>
      <c r="Q22" s="1811"/>
      <c r="R22" s="1811"/>
      <c r="T22" s="1909" t="s">
        <v>83</v>
      </c>
      <c r="U22" s="50" t="s">
        <v>60</v>
      </c>
      <c r="V22" s="1920">
        <v>190130</v>
      </c>
      <c r="W22" s="1920"/>
      <c r="X22" s="1920"/>
      <c r="Y22" s="1927"/>
    </row>
    <row r="23" spans="1:25" ht="39.75" customHeight="1" x14ac:dyDescent="0.25">
      <c r="A23" s="1811"/>
      <c r="B23" s="1947"/>
      <c r="C23" s="1950"/>
      <c r="D23" s="1950"/>
      <c r="E23" s="1950"/>
      <c r="F23" s="1950"/>
      <c r="G23" s="1811"/>
      <c r="Q23" s="1811"/>
      <c r="R23" s="1811"/>
      <c r="T23" s="1910"/>
      <c r="U23" s="50" t="s">
        <v>61</v>
      </c>
      <c r="V23" s="1920">
        <v>188000</v>
      </c>
      <c r="W23" s="1920"/>
      <c r="X23" s="1920"/>
      <c r="Y23" s="1927"/>
    </row>
    <row r="24" spans="1:25" ht="48" customHeight="1" x14ac:dyDescent="0.25">
      <c r="A24" s="1811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811"/>
      <c r="Q24" s="1811"/>
      <c r="R24" s="1811"/>
      <c r="T24" s="1893" t="s">
        <v>47</v>
      </c>
      <c r="U24" s="51" t="s">
        <v>62</v>
      </c>
      <c r="V24" s="1921">
        <f>V14+V16+V17-V18-V19-V20-V22+V23-V21</f>
        <v>531.18499999999767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11299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811"/>
      <c r="J33" s="1811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48425-71ED-4E44-B460-1B90F2D6133F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812"/>
      <c r="B3" s="1812"/>
      <c r="C3" s="1812"/>
      <c r="D3" s="1812"/>
      <c r="E3" s="1812"/>
      <c r="F3" s="1812"/>
      <c r="G3" s="1812"/>
      <c r="H3" s="1812"/>
      <c r="I3" s="1812"/>
      <c r="J3" s="1812"/>
      <c r="K3" s="1812"/>
      <c r="L3" s="1812"/>
      <c r="M3" s="1812"/>
      <c r="N3" s="1812"/>
      <c r="O3" s="1812"/>
      <c r="P3" s="1812"/>
      <c r="Q3" s="1812"/>
      <c r="R3" s="1812"/>
      <c r="S3" s="1812"/>
      <c r="T3" s="1900" t="s">
        <v>539</v>
      </c>
      <c r="U3" s="1900"/>
      <c r="V3" s="1900"/>
      <c r="W3" s="1900"/>
      <c r="X3" s="1900"/>
      <c r="Y3" s="1900"/>
    </row>
    <row r="4" spans="1:25" s="1812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812" customFormat="1" ht="25.5" customHeight="1" x14ac:dyDescent="0.25">
      <c r="A5" s="1901"/>
      <c r="B5" s="1901"/>
      <c r="C5" s="1814" t="s">
        <v>42</v>
      </c>
      <c r="D5" s="1814" t="s">
        <v>43</v>
      </c>
      <c r="E5" s="1814" t="s">
        <v>42</v>
      </c>
      <c r="F5" s="1814" t="s">
        <v>43</v>
      </c>
      <c r="G5" s="1814" t="s">
        <v>42</v>
      </c>
      <c r="H5" s="1814" t="s">
        <v>43</v>
      </c>
      <c r="I5" s="1814" t="s">
        <v>42</v>
      </c>
      <c r="J5" s="1814" t="s">
        <v>43</v>
      </c>
      <c r="K5" s="1814" t="s">
        <v>42</v>
      </c>
      <c r="L5" s="1814" t="s">
        <v>43</v>
      </c>
      <c r="M5" s="1814" t="s">
        <v>42</v>
      </c>
      <c r="N5" s="1814" t="s">
        <v>43</v>
      </c>
      <c r="O5" s="1814" t="s">
        <v>42</v>
      </c>
      <c r="P5" s="1814" t="s">
        <v>43</v>
      </c>
      <c r="Q5" s="1814" t="s">
        <v>42</v>
      </c>
      <c r="R5" s="18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813" t="s">
        <v>71</v>
      </c>
      <c r="C6" s="1816">
        <v>22837</v>
      </c>
      <c r="D6" s="1817">
        <f t="shared" ref="D6:D11" si="0">0.9725*C6</f>
        <v>22208.982500000002</v>
      </c>
      <c r="E6" s="1816"/>
      <c r="F6" s="1817">
        <f>67.1*E6</f>
        <v>0</v>
      </c>
      <c r="G6" s="1816"/>
      <c r="H6" s="1816">
        <f>28.2*G6</f>
        <v>0</v>
      </c>
      <c r="I6" s="1816"/>
      <c r="J6" s="1816">
        <f>18.5*I6</f>
        <v>0</v>
      </c>
      <c r="K6" s="1816"/>
      <c r="L6" s="1817">
        <f>28.2368*K6</f>
        <v>0</v>
      </c>
      <c r="M6" s="1816"/>
      <c r="N6" s="1817">
        <f>M6*47.6525</f>
        <v>0</v>
      </c>
      <c r="O6" s="1816"/>
      <c r="P6" s="1817">
        <f>O6*8.9</f>
        <v>0</v>
      </c>
      <c r="Q6" s="1817"/>
      <c r="R6" s="1817">
        <f>241*Q6</f>
        <v>0</v>
      </c>
      <c r="S6" s="1816"/>
      <c r="T6" s="1816">
        <f>241*S6</f>
        <v>0</v>
      </c>
      <c r="U6" s="1816"/>
      <c r="V6" s="1816">
        <f>332*U6</f>
        <v>0</v>
      </c>
      <c r="W6" s="1816"/>
      <c r="X6" s="19">
        <f>W6*100</f>
        <v>0</v>
      </c>
      <c r="Y6" s="20">
        <f t="shared" ref="Y6:Y12" si="1">D6+F6+H6+J6+L6+N6+P6+R6+T6+V6+X6</f>
        <v>22208.982500000002</v>
      </c>
    </row>
    <row r="7" spans="1:25" ht="31.5" customHeight="1" x14ac:dyDescent="0.25">
      <c r="A7" s="12">
        <v>1984225578</v>
      </c>
      <c r="B7" s="1813" t="s">
        <v>509</v>
      </c>
      <c r="C7" s="1816">
        <v>21321</v>
      </c>
      <c r="D7" s="1817">
        <f t="shared" si="0"/>
        <v>20734.672500000001</v>
      </c>
      <c r="E7" s="1816"/>
      <c r="F7" s="1816">
        <f t="shared" ref="F7:F11" si="2">67.1*E7</f>
        <v>0</v>
      </c>
      <c r="G7" s="1816">
        <v>350</v>
      </c>
      <c r="H7" s="1816">
        <f t="shared" ref="H7:H11" si="3">28.2*G7</f>
        <v>9870</v>
      </c>
      <c r="I7" s="1816"/>
      <c r="J7" s="1816">
        <f t="shared" ref="J7:J11" si="4">18.5*I7</f>
        <v>0</v>
      </c>
      <c r="K7" s="1816"/>
      <c r="L7" s="1817">
        <f t="shared" ref="L7:L11" si="5">28.2368*K7</f>
        <v>0</v>
      </c>
      <c r="M7" s="1816"/>
      <c r="N7" s="1817">
        <f t="shared" ref="N7:N11" si="6">M7*47.6525</f>
        <v>0</v>
      </c>
      <c r="O7" s="1816"/>
      <c r="P7" s="1817">
        <f t="shared" ref="P7:P11" si="7">O7*8.9</f>
        <v>0</v>
      </c>
      <c r="Q7" s="1817"/>
      <c r="R7" s="1817">
        <f t="shared" ref="R7:R11" si="8">241*Q7</f>
        <v>0</v>
      </c>
      <c r="S7" s="1816"/>
      <c r="T7" s="1816">
        <f t="shared" ref="T7:T10" si="9">241*S7</f>
        <v>0</v>
      </c>
      <c r="U7" s="1816">
        <v>65</v>
      </c>
      <c r="V7" s="1816">
        <f t="shared" ref="V7:V11" si="10">332*U7</f>
        <v>21580</v>
      </c>
      <c r="W7" s="1816"/>
      <c r="X7" s="19">
        <f t="shared" ref="X7:X11" si="11">W7*100</f>
        <v>0</v>
      </c>
      <c r="Y7" s="20">
        <f t="shared" si="1"/>
        <v>52184.672500000001</v>
      </c>
    </row>
    <row r="8" spans="1:25" ht="35.25" customHeight="1" x14ac:dyDescent="0.25">
      <c r="A8" s="12">
        <v>1967020280</v>
      </c>
      <c r="B8" s="1813" t="s">
        <v>427</v>
      </c>
      <c r="C8" s="1816">
        <v>21290</v>
      </c>
      <c r="D8" s="1817">
        <f t="shared" si="0"/>
        <v>20704.525000000001</v>
      </c>
      <c r="E8" s="1816"/>
      <c r="F8" s="1816">
        <f t="shared" si="2"/>
        <v>0</v>
      </c>
      <c r="G8" s="1816">
        <v>150</v>
      </c>
      <c r="H8" s="1817">
        <f t="shared" si="3"/>
        <v>4230</v>
      </c>
      <c r="I8" s="1816"/>
      <c r="J8" s="1816">
        <f t="shared" si="4"/>
        <v>0</v>
      </c>
      <c r="K8" s="1816"/>
      <c r="L8" s="1817">
        <f t="shared" si="5"/>
        <v>0</v>
      </c>
      <c r="M8" s="1816"/>
      <c r="N8" s="1817">
        <f t="shared" si="6"/>
        <v>0</v>
      </c>
      <c r="O8" s="1816"/>
      <c r="P8" s="1817">
        <f t="shared" si="7"/>
        <v>0</v>
      </c>
      <c r="Q8" s="1817"/>
      <c r="R8" s="1817">
        <f t="shared" si="8"/>
        <v>0</v>
      </c>
      <c r="S8" s="1816"/>
      <c r="T8" s="1816">
        <f t="shared" si="9"/>
        <v>0</v>
      </c>
      <c r="U8" s="1816">
        <v>15</v>
      </c>
      <c r="V8" s="1816">
        <f t="shared" si="10"/>
        <v>4980</v>
      </c>
      <c r="W8" s="1816">
        <v>1</v>
      </c>
      <c r="X8" s="19">
        <f t="shared" si="11"/>
        <v>100</v>
      </c>
      <c r="Y8" s="20">
        <f t="shared" si="1"/>
        <v>30014.525000000001</v>
      </c>
    </row>
    <row r="9" spans="1:25" ht="38.25" customHeight="1" x14ac:dyDescent="0.25">
      <c r="A9" s="12">
        <v>1984225580</v>
      </c>
      <c r="B9" s="1813" t="s">
        <v>75</v>
      </c>
      <c r="C9" s="1816">
        <v>33857</v>
      </c>
      <c r="D9" s="1817">
        <f t="shared" si="0"/>
        <v>32925.932500000003</v>
      </c>
      <c r="E9" s="1816"/>
      <c r="F9" s="1816">
        <f t="shared" si="2"/>
        <v>0</v>
      </c>
      <c r="G9" s="1816">
        <v>470</v>
      </c>
      <c r="H9" s="1816">
        <f t="shared" si="3"/>
        <v>13254</v>
      </c>
      <c r="I9" s="1816"/>
      <c r="J9" s="1816">
        <f t="shared" si="4"/>
        <v>0</v>
      </c>
      <c r="K9" s="1816"/>
      <c r="L9" s="1817">
        <f t="shared" si="5"/>
        <v>0</v>
      </c>
      <c r="M9" s="1816"/>
      <c r="N9" s="1817">
        <f t="shared" si="6"/>
        <v>0</v>
      </c>
      <c r="O9" s="1816"/>
      <c r="P9" s="1817">
        <f t="shared" si="7"/>
        <v>0</v>
      </c>
      <c r="Q9" s="1817"/>
      <c r="R9" s="1817">
        <f t="shared" si="8"/>
        <v>0</v>
      </c>
      <c r="S9" s="1816"/>
      <c r="T9" s="1816">
        <f t="shared" si="9"/>
        <v>0</v>
      </c>
      <c r="U9" s="1816"/>
      <c r="V9" s="1816">
        <f t="shared" si="10"/>
        <v>0</v>
      </c>
      <c r="W9" s="1816"/>
      <c r="X9" s="19">
        <f t="shared" si="11"/>
        <v>0</v>
      </c>
      <c r="Y9" s="20">
        <f t="shared" si="1"/>
        <v>46179.932500000003</v>
      </c>
    </row>
    <row r="10" spans="1:25" ht="35.25" customHeight="1" x14ac:dyDescent="0.25">
      <c r="A10" s="12">
        <v>1409935199</v>
      </c>
      <c r="C10" s="1816"/>
      <c r="D10" s="1817">
        <f t="shared" si="0"/>
        <v>0</v>
      </c>
      <c r="E10" s="1816"/>
      <c r="F10" s="1816">
        <f t="shared" si="2"/>
        <v>0</v>
      </c>
      <c r="G10" s="1816"/>
      <c r="H10" s="1816">
        <f t="shared" si="3"/>
        <v>0</v>
      </c>
      <c r="I10" s="1816"/>
      <c r="J10" s="1816">
        <f t="shared" si="4"/>
        <v>0</v>
      </c>
      <c r="K10" s="1816"/>
      <c r="L10" s="1817">
        <f t="shared" si="5"/>
        <v>0</v>
      </c>
      <c r="M10" s="1816"/>
      <c r="N10" s="1817">
        <f t="shared" si="6"/>
        <v>0</v>
      </c>
      <c r="O10" s="1816"/>
      <c r="P10" s="1817">
        <f t="shared" si="7"/>
        <v>0</v>
      </c>
      <c r="Q10" s="1817"/>
      <c r="R10" s="1817">
        <f t="shared" si="8"/>
        <v>0</v>
      </c>
      <c r="S10" s="1816"/>
      <c r="T10" s="1816">
        <f t="shared" si="9"/>
        <v>0</v>
      </c>
      <c r="U10" s="1816"/>
      <c r="V10" s="1816">
        <f t="shared" si="10"/>
        <v>0</v>
      </c>
      <c r="W10" s="181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15"/>
      <c r="C11" s="1816"/>
      <c r="D11" s="1817">
        <f t="shared" si="0"/>
        <v>0</v>
      </c>
      <c r="E11" s="1816"/>
      <c r="F11" s="1816">
        <f t="shared" si="2"/>
        <v>0</v>
      </c>
      <c r="G11" s="1816"/>
      <c r="H11" s="1816">
        <f t="shared" si="3"/>
        <v>0</v>
      </c>
      <c r="I11" s="1816"/>
      <c r="J11" s="1816">
        <f t="shared" si="4"/>
        <v>0</v>
      </c>
      <c r="K11" s="1816"/>
      <c r="L11" s="1817">
        <f t="shared" si="5"/>
        <v>0</v>
      </c>
      <c r="M11" s="1816"/>
      <c r="N11" s="1817">
        <f t="shared" si="6"/>
        <v>0</v>
      </c>
      <c r="O11" s="1816"/>
      <c r="P11" s="1817">
        <f t="shared" si="7"/>
        <v>0</v>
      </c>
      <c r="Q11" s="1817"/>
      <c r="R11" s="1817">
        <f t="shared" si="8"/>
        <v>0</v>
      </c>
      <c r="S11" s="1816"/>
      <c r="T11" s="1816">
        <f>341*S11</f>
        <v>0</v>
      </c>
      <c r="U11" s="1816"/>
      <c r="V11" s="1816">
        <f t="shared" si="10"/>
        <v>0</v>
      </c>
      <c r="W11" s="18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99305</v>
      </c>
      <c r="D12" s="18">
        <f t="shared" si="12"/>
        <v>96574.112500000003</v>
      </c>
      <c r="E12" s="18">
        <f t="shared" si="12"/>
        <v>0</v>
      </c>
      <c r="F12" s="18">
        <f t="shared" si="12"/>
        <v>0</v>
      </c>
      <c r="G12" s="18">
        <f t="shared" si="12"/>
        <v>970</v>
      </c>
      <c r="H12" s="18">
        <f t="shared" si="12"/>
        <v>27354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80</v>
      </c>
      <c r="V12" s="18">
        <f t="shared" si="12"/>
        <v>26560</v>
      </c>
      <c r="W12" s="18">
        <f t="shared" si="12"/>
        <v>1</v>
      </c>
      <c r="X12" s="18">
        <f t="shared" si="12"/>
        <v>100</v>
      </c>
      <c r="Y12" s="20">
        <f t="shared" si="1"/>
        <v>150588.11249999999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21" t="s">
        <v>174</v>
      </c>
      <c r="K14" s="30" t="s">
        <v>36</v>
      </c>
      <c r="L14" s="1821" t="s">
        <v>403</v>
      </c>
      <c r="M14" s="30" t="s">
        <v>429</v>
      </c>
      <c r="N14" s="30" t="s">
        <v>442</v>
      </c>
      <c r="O14" s="1821" t="s">
        <v>114</v>
      </c>
      <c r="P14" s="30" t="s">
        <v>70</v>
      </c>
      <c r="Q14" s="1958" t="s">
        <v>479</v>
      </c>
      <c r="R14" s="1959"/>
      <c r="S14" s="1821" t="s">
        <v>401</v>
      </c>
      <c r="T14" s="1893" t="s">
        <v>46</v>
      </c>
      <c r="U14" s="1813" t="s">
        <v>176</v>
      </c>
      <c r="V14" s="1918">
        <v>531</v>
      </c>
      <c r="W14" s="1926"/>
      <c r="X14" s="1919"/>
    </row>
    <row r="15" spans="1:25" ht="22.5" customHeight="1" x14ac:dyDescent="0.25">
      <c r="A15" s="100" t="s">
        <v>38</v>
      </c>
      <c r="B15" s="1918">
        <v>542393</v>
      </c>
      <c r="C15" s="1919"/>
      <c r="D15" s="1818">
        <v>0</v>
      </c>
      <c r="E15" s="1818">
        <v>1000</v>
      </c>
      <c r="F15" s="1818">
        <v>0</v>
      </c>
      <c r="G15" s="1818">
        <v>0</v>
      </c>
      <c r="H15" s="1818">
        <v>38</v>
      </c>
      <c r="I15" s="1818">
        <v>150</v>
      </c>
      <c r="J15" s="1818">
        <v>4</v>
      </c>
      <c r="K15" s="1818">
        <v>79</v>
      </c>
      <c r="L15" s="1818">
        <v>0</v>
      </c>
      <c r="M15" s="1818">
        <v>0</v>
      </c>
      <c r="N15" s="1818">
        <v>0</v>
      </c>
      <c r="O15" s="1818">
        <v>0</v>
      </c>
      <c r="P15" s="1818">
        <v>100</v>
      </c>
      <c r="Q15" s="1918">
        <v>10</v>
      </c>
      <c r="R15" s="1919"/>
      <c r="S15" s="1813">
        <v>2</v>
      </c>
      <c r="T15" s="1893"/>
      <c r="U15" s="1813" t="s">
        <v>64</v>
      </c>
      <c r="V15" s="1920">
        <v>11299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818"/>
      <c r="E16" s="1818"/>
      <c r="F16" s="1818"/>
      <c r="G16" s="1818"/>
      <c r="H16" s="1818"/>
      <c r="I16" s="1818"/>
      <c r="J16" s="1818"/>
      <c r="K16" s="1818"/>
      <c r="L16" s="1818"/>
      <c r="M16" s="1818"/>
      <c r="N16" s="1818"/>
      <c r="O16" s="1818"/>
      <c r="P16" s="1818"/>
      <c r="Q16" s="1920"/>
      <c r="R16" s="1920"/>
      <c r="S16" s="1818"/>
      <c r="T16" s="1912" t="s">
        <v>55</v>
      </c>
      <c r="U16" s="1912"/>
      <c r="V16" s="1925">
        <f>Y12</f>
        <v>150588.11249999999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818"/>
      <c r="E17" s="1818"/>
      <c r="F17" s="1818"/>
      <c r="G17" s="1818"/>
      <c r="H17" s="1818"/>
      <c r="I17" s="1818"/>
      <c r="J17" s="1818"/>
      <c r="K17" s="1818"/>
      <c r="L17" s="1818"/>
      <c r="M17" s="1818"/>
      <c r="N17" s="1818"/>
      <c r="O17" s="1818"/>
      <c r="P17" s="1818"/>
      <c r="Q17" s="1883"/>
      <c r="R17" s="1883"/>
      <c r="S17" s="1815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99305</v>
      </c>
      <c r="C18" s="1919"/>
      <c r="D18" s="1819">
        <f>E12</f>
        <v>0</v>
      </c>
      <c r="E18" s="1819">
        <f>G12</f>
        <v>970</v>
      </c>
      <c r="F18" s="1819">
        <f>I12</f>
        <v>0</v>
      </c>
      <c r="G18" s="1819">
        <f>K12</f>
        <v>0</v>
      </c>
      <c r="H18" s="1818"/>
      <c r="I18" s="1819">
        <f>U12</f>
        <v>80</v>
      </c>
      <c r="J18" s="1818"/>
      <c r="K18" s="1819">
        <f>W12</f>
        <v>1</v>
      </c>
      <c r="L18" s="1818"/>
      <c r="M18" s="1819">
        <f>M12</f>
        <v>0</v>
      </c>
      <c r="N18" s="1819">
        <f>O12</f>
        <v>0</v>
      </c>
      <c r="O18" s="1820">
        <f>Q12</f>
        <v>0</v>
      </c>
      <c r="P18" s="1819"/>
      <c r="Q18" s="1920"/>
      <c r="R18" s="1920"/>
      <c r="S18" s="1813"/>
      <c r="T18" s="1912" t="s">
        <v>57</v>
      </c>
      <c r="U18" s="1912"/>
      <c r="V18" s="1920">
        <v>870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443088</v>
      </c>
      <c r="C19" s="1919"/>
      <c r="D19" s="1818">
        <f>D15+D16+D17-D18</f>
        <v>0</v>
      </c>
      <c r="E19" s="1818">
        <f t="shared" ref="E19:N19" si="13">E15+E16+E17-E18</f>
        <v>30</v>
      </c>
      <c r="F19" s="1818">
        <f t="shared" si="13"/>
        <v>0</v>
      </c>
      <c r="G19" s="1818">
        <f t="shared" si="13"/>
        <v>0</v>
      </c>
      <c r="H19" s="1818">
        <f t="shared" si="13"/>
        <v>38</v>
      </c>
      <c r="I19" s="1818">
        <f t="shared" si="13"/>
        <v>70</v>
      </c>
      <c r="J19" s="1818">
        <f t="shared" si="13"/>
        <v>4</v>
      </c>
      <c r="K19" s="1818">
        <f t="shared" si="13"/>
        <v>78</v>
      </c>
      <c r="L19" s="1818">
        <f t="shared" si="13"/>
        <v>0</v>
      </c>
      <c r="M19" s="1818">
        <f t="shared" si="13"/>
        <v>0</v>
      </c>
      <c r="N19" s="1818">
        <f t="shared" si="13"/>
        <v>0</v>
      </c>
      <c r="O19" s="1818">
        <f>O15+O16+O17-O18</f>
        <v>0</v>
      </c>
      <c r="P19" s="1818">
        <f t="shared" ref="P19:Q19" si="14">P15+P16+P17-P18</f>
        <v>100</v>
      </c>
      <c r="Q19" s="1918">
        <f t="shared" si="14"/>
        <v>10</v>
      </c>
      <c r="R19" s="1919"/>
      <c r="S19" s="1813">
        <f>S15+S16-S17-S18</f>
        <v>2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426472.2</v>
      </c>
      <c r="C20" s="1945"/>
      <c r="D20" s="290">
        <f>D19*66.41</f>
        <v>0</v>
      </c>
      <c r="E20" s="290">
        <f>27.9368*E19</f>
        <v>838.10400000000004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478044.304</v>
      </c>
      <c r="C21" s="1951"/>
      <c r="O21" s="1822"/>
      <c r="P21" s="1822"/>
      <c r="Q21" s="1822"/>
      <c r="R21" s="1822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155000</v>
      </c>
      <c r="D22" s="1949"/>
      <c r="E22" s="1949"/>
      <c r="F22" s="1949">
        <f>C22-D22+E22</f>
        <v>155000</v>
      </c>
      <c r="G22" s="1822"/>
      <c r="Q22" s="1822"/>
      <c r="R22" s="1822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1822"/>
      <c r="B23" s="1947"/>
      <c r="C23" s="1950"/>
      <c r="D23" s="1950"/>
      <c r="E23" s="1950"/>
      <c r="F23" s="1950"/>
      <c r="G23" s="1822"/>
      <c r="Q23" s="1822"/>
      <c r="R23" s="1822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1822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822"/>
      <c r="Q24" s="1822"/>
      <c r="R24" s="1822"/>
      <c r="T24" s="1893" t="s">
        <v>47</v>
      </c>
      <c r="U24" s="51" t="s">
        <v>62</v>
      </c>
      <c r="V24" s="1921">
        <f>V14+V16+V17-V18-V19-V20-V22+V23-V21</f>
        <v>150249.11249999999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11299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822"/>
      <c r="J33" s="1822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6E203-E450-4936-8615-C7B93436A7D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M30" sqref="M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1900" t="s">
        <v>540</v>
      </c>
      <c r="U3" s="1900"/>
      <c r="V3" s="1900"/>
      <c r="W3" s="1900"/>
      <c r="X3" s="1900"/>
      <c r="Y3" s="1900"/>
    </row>
    <row r="4" spans="1:25" s="182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828" customFormat="1" ht="25.5" customHeight="1" x14ac:dyDescent="0.25">
      <c r="A5" s="1901"/>
      <c r="B5" s="1901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826" t="s">
        <v>71</v>
      </c>
      <c r="C6" s="1824">
        <v>21119</v>
      </c>
      <c r="D6" s="1823">
        <f t="shared" ref="D6:D11" si="0">0.9725*C6</f>
        <v>20538.227500000001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20538.227500000001</v>
      </c>
    </row>
    <row r="7" spans="1:25" ht="31.5" customHeight="1" x14ac:dyDescent="0.25">
      <c r="A7" s="12">
        <v>1984225578</v>
      </c>
      <c r="B7" s="1826" t="s">
        <v>509</v>
      </c>
      <c r="C7" s="1824">
        <v>27593</v>
      </c>
      <c r="D7" s="1823">
        <f t="shared" si="0"/>
        <v>26834.192500000001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26834.192500000001</v>
      </c>
    </row>
    <row r="8" spans="1:25" ht="35.25" customHeight="1" x14ac:dyDescent="0.25">
      <c r="A8" s="12">
        <v>1967020280</v>
      </c>
      <c r="B8" s="1826" t="s">
        <v>427</v>
      </c>
      <c r="C8" s="1824">
        <v>21168</v>
      </c>
      <c r="D8" s="1823">
        <f t="shared" si="0"/>
        <v>20585.88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20585.88</v>
      </c>
    </row>
    <row r="9" spans="1:25" ht="38.25" customHeight="1" x14ac:dyDescent="0.25">
      <c r="A9" s="12">
        <v>1984225580</v>
      </c>
      <c r="B9" s="1826" t="s">
        <v>75</v>
      </c>
      <c r="C9" s="1824">
        <v>32023</v>
      </c>
      <c r="D9" s="1823">
        <f t="shared" si="0"/>
        <v>31142.3675</v>
      </c>
      <c r="E9" s="1824"/>
      <c r="F9" s="1824">
        <f t="shared" si="2"/>
        <v>0</v>
      </c>
      <c r="G9" s="1824">
        <v>30</v>
      </c>
      <c r="H9" s="1824">
        <f t="shared" si="3"/>
        <v>846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31988.3675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/>
      <c r="T11" s="1824">
        <f>341*S11</f>
        <v>0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101903</v>
      </c>
      <c r="D12" s="18">
        <f t="shared" si="12"/>
        <v>99100.66750000001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99946.66750000001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1958" t="s">
        <v>479</v>
      </c>
      <c r="R14" s="1959"/>
      <c r="S14" s="1832" t="s">
        <v>401</v>
      </c>
      <c r="T14" s="1893" t="s">
        <v>46</v>
      </c>
      <c r="U14" s="1826" t="s">
        <v>176</v>
      </c>
      <c r="V14" s="1918">
        <v>150249</v>
      </c>
      <c r="W14" s="1926"/>
      <c r="X14" s="1919"/>
    </row>
    <row r="15" spans="1:25" ht="22.5" customHeight="1" x14ac:dyDescent="0.25">
      <c r="A15" s="100" t="s">
        <v>38</v>
      </c>
      <c r="B15" s="1918">
        <v>443088</v>
      </c>
      <c r="C15" s="1919"/>
      <c r="D15" s="1829">
        <v>0</v>
      </c>
      <c r="E15" s="1829">
        <v>30</v>
      </c>
      <c r="F15" s="1829">
        <v>0</v>
      </c>
      <c r="G15" s="1829">
        <v>0</v>
      </c>
      <c r="H15" s="1829">
        <v>38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1918">
        <v>10</v>
      </c>
      <c r="R15" s="1919"/>
      <c r="S15" s="1826">
        <v>2</v>
      </c>
      <c r="T15" s="1893"/>
      <c r="U15" s="1826" t="s">
        <v>64</v>
      </c>
      <c r="V15" s="1920">
        <v>11299</v>
      </c>
      <c r="W15" s="1920"/>
      <c r="X15" s="1920"/>
    </row>
    <row r="16" spans="1:25" ht="24.75" customHeight="1" x14ac:dyDescent="0.25">
      <c r="A16" s="100" t="s">
        <v>39</v>
      </c>
      <c r="B16" s="1918">
        <v>100779</v>
      </c>
      <c r="C16" s="1919"/>
      <c r="D16" s="1829"/>
      <c r="E16" s="1829"/>
      <c r="F16" s="1829"/>
      <c r="G16" s="1829"/>
      <c r="H16" s="1829">
        <v>1</v>
      </c>
      <c r="I16" s="1829"/>
      <c r="J16" s="1829"/>
      <c r="K16" s="1829"/>
      <c r="L16" s="1829"/>
      <c r="M16" s="1829"/>
      <c r="N16" s="1829"/>
      <c r="O16" s="1829"/>
      <c r="P16" s="1829"/>
      <c r="Q16" s="1920"/>
      <c r="R16" s="1920"/>
      <c r="S16" s="1829"/>
      <c r="T16" s="1912" t="s">
        <v>55</v>
      </c>
      <c r="U16" s="1912"/>
      <c r="V16" s="1925">
        <f>Y12</f>
        <v>99946.66750000001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1883"/>
      <c r="R17" s="1883"/>
      <c r="S17" s="1825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101903</v>
      </c>
      <c r="C18" s="1919"/>
      <c r="D18" s="1831">
        <f>E12</f>
        <v>0</v>
      </c>
      <c r="E18" s="1831">
        <f>G12</f>
        <v>30</v>
      </c>
      <c r="F18" s="1831">
        <f>I12</f>
        <v>0</v>
      </c>
      <c r="G18" s="1831">
        <f>K12</f>
        <v>0</v>
      </c>
      <c r="H18" s="1829"/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1920"/>
      <c r="R18" s="1920"/>
      <c r="S18" s="1826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441964</v>
      </c>
      <c r="C19" s="1919"/>
      <c r="D19" s="1829">
        <f>D15+D16+D17-D18</f>
        <v>0</v>
      </c>
      <c r="E19" s="1829">
        <f t="shared" ref="E19:N19" si="13">E15+E16+E17-E18</f>
        <v>0</v>
      </c>
      <c r="F19" s="1829">
        <f t="shared" si="13"/>
        <v>0</v>
      </c>
      <c r="G19" s="1829">
        <f t="shared" si="13"/>
        <v>0</v>
      </c>
      <c r="H19" s="1829">
        <f t="shared" si="13"/>
        <v>39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1918">
        <f t="shared" si="14"/>
        <v>10</v>
      </c>
      <c r="R19" s="1919"/>
      <c r="S19" s="1826">
        <f>S15+S16-S17-S18</f>
        <v>2</v>
      </c>
      <c r="T19" s="1914" t="s">
        <v>48</v>
      </c>
      <c r="U19" s="49" t="s">
        <v>58</v>
      </c>
      <c r="V19" s="1920">
        <v>155000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425390.35000000003</v>
      </c>
      <c r="C20" s="1945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9399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>
        <v>341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476365.35000000003</v>
      </c>
      <c r="C21" s="1951"/>
      <c r="O21" s="1833"/>
      <c r="P21" s="1833"/>
      <c r="Q21" s="1833"/>
      <c r="R21" s="1833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155000</v>
      </c>
      <c r="D22" s="1949">
        <v>155000</v>
      </c>
      <c r="E22" s="1949">
        <v>97000</v>
      </c>
      <c r="F22" s="1949">
        <f>C22-D22+E22</f>
        <v>97000</v>
      </c>
      <c r="G22" s="1833"/>
      <c r="Q22" s="1833"/>
      <c r="R22" s="1833"/>
      <c r="T22" s="1909" t="s">
        <v>83</v>
      </c>
      <c r="U22" s="50" t="s">
        <v>60</v>
      </c>
      <c r="V22" s="1920">
        <v>155030</v>
      </c>
      <c r="W22" s="1920"/>
      <c r="X22" s="1920"/>
      <c r="Y22" s="1927"/>
    </row>
    <row r="23" spans="1:25" ht="39.75" customHeight="1" x14ac:dyDescent="0.25">
      <c r="A23" s="1833"/>
      <c r="B23" s="1947"/>
      <c r="C23" s="1950"/>
      <c r="D23" s="1950"/>
      <c r="E23" s="1950"/>
      <c r="F23" s="1950"/>
      <c r="G23" s="1833"/>
      <c r="Q23" s="1833"/>
      <c r="R23" s="1833"/>
      <c r="T23" s="1910"/>
      <c r="U23" s="50" t="s">
        <v>61</v>
      </c>
      <c r="V23" s="1920">
        <v>155000</v>
      </c>
      <c r="W23" s="1920"/>
      <c r="X23" s="1920"/>
      <c r="Y23" s="1927"/>
    </row>
    <row r="24" spans="1:25" ht="48" customHeight="1" x14ac:dyDescent="0.25">
      <c r="A24" s="1833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1893" t="s">
        <v>47</v>
      </c>
      <c r="U24" s="51" t="s">
        <v>62</v>
      </c>
      <c r="V24" s="1921">
        <f>V14+V16+V17-V18-V19-V20-V22+V23-V21</f>
        <v>94304.66750000001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11329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833"/>
      <c r="J33" s="1833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3A5DA-C628-41F3-B8F7-A82B6D1F546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1900" t="s">
        <v>541</v>
      </c>
      <c r="U3" s="1900"/>
      <c r="V3" s="1900"/>
      <c r="W3" s="1900"/>
      <c r="X3" s="1900"/>
      <c r="Y3" s="1900"/>
    </row>
    <row r="4" spans="1:25" s="1828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342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828" customFormat="1" ht="25.5" customHeight="1" x14ac:dyDescent="0.25">
      <c r="A5" s="1901"/>
      <c r="B5" s="1901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826" t="s">
        <v>71</v>
      </c>
      <c r="C6" s="1824">
        <v>32213</v>
      </c>
      <c r="D6" s="1823">
        <f t="shared" ref="D6:D11" si="0">0.9725*C6</f>
        <v>31327.142500000002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31327.142500000002</v>
      </c>
    </row>
    <row r="7" spans="1:25" ht="31.5" customHeight="1" x14ac:dyDescent="0.25">
      <c r="A7" s="12">
        <v>1984225578</v>
      </c>
      <c r="B7" s="1826" t="s">
        <v>509</v>
      </c>
      <c r="C7" s="1824">
        <v>23740</v>
      </c>
      <c r="D7" s="1823">
        <f t="shared" si="0"/>
        <v>23087.15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23087.15</v>
      </c>
    </row>
    <row r="8" spans="1:25" ht="35.25" customHeight="1" x14ac:dyDescent="0.25">
      <c r="A8" s="12">
        <v>1967020280</v>
      </c>
      <c r="B8" s="1826" t="s">
        <v>427</v>
      </c>
      <c r="C8" s="1824">
        <v>22695</v>
      </c>
      <c r="D8" s="1823">
        <f t="shared" si="0"/>
        <v>22070.887500000001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22070.887500000001</v>
      </c>
    </row>
    <row r="9" spans="1:25" ht="38.25" customHeight="1" x14ac:dyDescent="0.25">
      <c r="A9" s="12">
        <v>1984225580</v>
      </c>
      <c r="B9" s="1826" t="s">
        <v>75</v>
      </c>
      <c r="C9" s="1824">
        <v>28403</v>
      </c>
      <c r="D9" s="1823">
        <f t="shared" si="0"/>
        <v>27621.9175</v>
      </c>
      <c r="E9" s="1824"/>
      <c r="F9" s="1824">
        <f t="shared" si="2"/>
        <v>0</v>
      </c>
      <c r="G9" s="1824"/>
      <c r="H9" s="1824">
        <f t="shared" si="3"/>
        <v>0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27621.9175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>
        <v>1</v>
      </c>
      <c r="T11" s="1824">
        <f>341*S11</f>
        <v>341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341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107051</v>
      </c>
      <c r="D12" s="18">
        <f t="shared" si="12"/>
        <v>104107.0975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341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104448.0975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1958" t="s">
        <v>479</v>
      </c>
      <c r="R14" s="1959"/>
      <c r="S14" s="1832" t="s">
        <v>401</v>
      </c>
      <c r="T14" s="1893" t="s">
        <v>46</v>
      </c>
      <c r="U14" s="1826" t="s">
        <v>176</v>
      </c>
      <c r="V14" s="1918">
        <v>94305</v>
      </c>
      <c r="W14" s="1926"/>
      <c r="X14" s="1919"/>
    </row>
    <row r="15" spans="1:25" ht="22.5" customHeight="1" x14ac:dyDescent="0.25">
      <c r="A15" s="100" t="s">
        <v>38</v>
      </c>
      <c r="B15" s="1918">
        <v>441964</v>
      </c>
      <c r="C15" s="1919"/>
      <c r="D15" s="1829">
        <v>0</v>
      </c>
      <c r="E15" s="1829">
        <v>0</v>
      </c>
      <c r="F15" s="1829">
        <v>0</v>
      </c>
      <c r="G15" s="1829">
        <v>0</v>
      </c>
      <c r="H15" s="1829">
        <v>39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1918">
        <v>10</v>
      </c>
      <c r="R15" s="1919"/>
      <c r="S15" s="1826">
        <v>2</v>
      </c>
      <c r="T15" s="1893"/>
      <c r="U15" s="1826" t="s">
        <v>64</v>
      </c>
      <c r="V15" s="1920">
        <v>11329</v>
      </c>
      <c r="W15" s="1920"/>
      <c r="X15" s="1920"/>
    </row>
    <row r="16" spans="1:25" ht="24.75" customHeight="1" x14ac:dyDescent="0.25">
      <c r="A16" s="100" t="s">
        <v>39</v>
      </c>
      <c r="B16" s="1918">
        <v>107510</v>
      </c>
      <c r="C16" s="1919"/>
      <c r="D16" s="1829"/>
      <c r="E16" s="1829">
        <v>1500</v>
      </c>
      <c r="F16" s="1829">
        <v>2000</v>
      </c>
      <c r="G16" s="1829"/>
      <c r="H16" s="1829"/>
      <c r="I16" s="1829"/>
      <c r="J16" s="1829"/>
      <c r="K16" s="1829"/>
      <c r="L16" s="1829"/>
      <c r="M16" s="1829"/>
      <c r="N16" s="1829"/>
      <c r="O16" s="1829"/>
      <c r="P16" s="1829"/>
      <c r="Q16" s="1920"/>
      <c r="R16" s="1920"/>
      <c r="S16" s="1829"/>
      <c r="T16" s="1912" t="s">
        <v>55</v>
      </c>
      <c r="U16" s="1912"/>
      <c r="V16" s="1925">
        <f>Y12</f>
        <v>104448.0975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1883"/>
      <c r="R17" s="1883"/>
      <c r="S17" s="1825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107051</v>
      </c>
      <c r="C18" s="1919"/>
      <c r="D18" s="1831">
        <f>E12</f>
        <v>0</v>
      </c>
      <c r="E18" s="1831">
        <f>G12</f>
        <v>0</v>
      </c>
      <c r="F18" s="1831">
        <f>I12</f>
        <v>0</v>
      </c>
      <c r="G18" s="1831">
        <f>K12</f>
        <v>0</v>
      </c>
      <c r="H18" s="1829">
        <v>1</v>
      </c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1920"/>
      <c r="R18" s="1920"/>
      <c r="S18" s="1826"/>
      <c r="T18" s="1912" t="s">
        <v>57</v>
      </c>
      <c r="U18" s="1912"/>
      <c r="V18" s="1920">
        <v>920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442423</v>
      </c>
      <c r="C19" s="1919"/>
      <c r="D19" s="1829">
        <f>D15+D16+D17-D18</f>
        <v>0</v>
      </c>
      <c r="E19" s="1829">
        <f t="shared" ref="E19:N19" si="13">E15+E16+E17-E18</f>
        <v>1500</v>
      </c>
      <c r="F19" s="1829">
        <f t="shared" si="13"/>
        <v>2000</v>
      </c>
      <c r="G19" s="1829">
        <f t="shared" si="13"/>
        <v>0</v>
      </c>
      <c r="H19" s="1829">
        <f t="shared" si="13"/>
        <v>38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1918">
        <f t="shared" si="14"/>
        <v>10</v>
      </c>
      <c r="R19" s="1919"/>
      <c r="S19" s="1826">
        <f>S15+S16-S17-S18</f>
        <v>2</v>
      </c>
      <c r="T19" s="1914" t="s">
        <v>48</v>
      </c>
      <c r="U19" s="49" t="s">
        <v>58</v>
      </c>
      <c r="V19" s="1920">
        <v>97000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425832.13750000001</v>
      </c>
      <c r="C20" s="1945"/>
      <c r="D20" s="290">
        <f>D19*66.41</f>
        <v>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>
        <v>82000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555091.33750000002</v>
      </c>
      <c r="C21" s="1951"/>
      <c r="O21" s="1833"/>
      <c r="P21" s="1833"/>
      <c r="Q21" s="1833"/>
      <c r="R21" s="1833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97000</v>
      </c>
      <c r="D22" s="1949">
        <v>97000</v>
      </c>
      <c r="E22" s="1949">
        <v>100000</v>
      </c>
      <c r="F22" s="1949">
        <f>C22-D22+E22</f>
        <v>100000</v>
      </c>
      <c r="G22" s="1833"/>
      <c r="Q22" s="1833"/>
      <c r="R22" s="1833"/>
      <c r="T22" s="1909" t="s">
        <v>83</v>
      </c>
      <c r="U22" s="50" t="s">
        <v>60</v>
      </c>
      <c r="V22" s="1920">
        <v>179000</v>
      </c>
      <c r="W22" s="1920"/>
      <c r="X22" s="1920"/>
      <c r="Y22" s="1927"/>
    </row>
    <row r="23" spans="1:25" ht="39.75" customHeight="1" x14ac:dyDescent="0.25">
      <c r="A23" s="1833"/>
      <c r="B23" s="1947"/>
      <c r="C23" s="1950"/>
      <c r="D23" s="1950"/>
      <c r="E23" s="1950"/>
      <c r="F23" s="1950"/>
      <c r="G23" s="1833"/>
      <c r="Q23" s="1833"/>
      <c r="R23" s="1833"/>
      <c r="T23" s="1910"/>
      <c r="U23" s="50" t="s">
        <v>61</v>
      </c>
      <c r="V23" s="1920">
        <v>179000</v>
      </c>
      <c r="W23" s="1920"/>
      <c r="X23" s="1920"/>
      <c r="Y23" s="1927"/>
    </row>
    <row r="24" spans="1:25" ht="48" customHeight="1" x14ac:dyDescent="0.25">
      <c r="A24" s="1833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1893" t="s">
        <v>47</v>
      </c>
      <c r="U24" s="51" t="s">
        <v>62</v>
      </c>
      <c r="V24" s="1921">
        <f>V14+V16+V17-V18-V19-V20-V22+V23-V21</f>
        <v>18833.097500000003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11329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833"/>
      <c r="J33" s="1833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48EDC-C561-48DC-86A9-1700017AD55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834"/>
      <c r="B3" s="1834"/>
      <c r="C3" s="1834"/>
      <c r="D3" s="1834"/>
      <c r="E3" s="1834"/>
      <c r="F3" s="1834"/>
      <c r="G3" s="1834"/>
      <c r="H3" s="1834"/>
      <c r="I3" s="1834"/>
      <c r="J3" s="1834"/>
      <c r="K3" s="1834"/>
      <c r="L3" s="1834"/>
      <c r="M3" s="1834"/>
      <c r="N3" s="1834"/>
      <c r="O3" s="1834"/>
      <c r="P3" s="1834"/>
      <c r="Q3" s="1834"/>
      <c r="R3" s="1834"/>
      <c r="S3" s="1834"/>
      <c r="T3" s="1900" t="s">
        <v>542</v>
      </c>
      <c r="U3" s="1900"/>
      <c r="V3" s="1900"/>
      <c r="W3" s="1900"/>
      <c r="X3" s="1900"/>
      <c r="Y3" s="1900"/>
    </row>
    <row r="4" spans="1:25" s="1834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544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834" customFormat="1" ht="25.5" customHeight="1" x14ac:dyDescent="0.25">
      <c r="A5" s="1901"/>
      <c r="B5" s="1901"/>
      <c r="C5" s="1836" t="s">
        <v>42</v>
      </c>
      <c r="D5" s="1836" t="s">
        <v>43</v>
      </c>
      <c r="E5" s="1836" t="s">
        <v>42</v>
      </c>
      <c r="F5" s="1836" t="s">
        <v>43</v>
      </c>
      <c r="G5" s="1836" t="s">
        <v>42</v>
      </c>
      <c r="H5" s="1836" t="s">
        <v>43</v>
      </c>
      <c r="I5" s="1836" t="s">
        <v>42</v>
      </c>
      <c r="J5" s="1836" t="s">
        <v>43</v>
      </c>
      <c r="K5" s="1836" t="s">
        <v>42</v>
      </c>
      <c r="L5" s="1836" t="s">
        <v>43</v>
      </c>
      <c r="M5" s="1836" t="s">
        <v>42</v>
      </c>
      <c r="N5" s="1836" t="s">
        <v>43</v>
      </c>
      <c r="O5" s="1836" t="s">
        <v>42</v>
      </c>
      <c r="P5" s="1836" t="s">
        <v>43</v>
      </c>
      <c r="Q5" s="1836" t="s">
        <v>42</v>
      </c>
      <c r="R5" s="18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835" t="s">
        <v>71</v>
      </c>
      <c r="C6" s="1838">
        <v>22297</v>
      </c>
      <c r="D6" s="1839">
        <f t="shared" ref="D6:D11" si="0">0.9725*C6</f>
        <v>21683.8325</v>
      </c>
      <c r="E6" s="1838"/>
      <c r="F6" s="1839">
        <f>67.1*E6</f>
        <v>0</v>
      </c>
      <c r="G6" s="1838"/>
      <c r="H6" s="1838">
        <f>28.2*G6</f>
        <v>0</v>
      </c>
      <c r="I6" s="1838"/>
      <c r="J6" s="1838">
        <f>18.5*I6</f>
        <v>0</v>
      </c>
      <c r="K6" s="1838"/>
      <c r="L6" s="1839">
        <f>28.2368*K6</f>
        <v>0</v>
      </c>
      <c r="M6" s="1838"/>
      <c r="N6" s="1839">
        <f>M6*47.6525</f>
        <v>0</v>
      </c>
      <c r="O6" s="1838"/>
      <c r="P6" s="1839">
        <f>O6*8.9</f>
        <v>0</v>
      </c>
      <c r="Q6" s="1839"/>
      <c r="R6" s="1839">
        <f>241*Q6</f>
        <v>0</v>
      </c>
      <c r="S6" s="1838"/>
      <c r="T6" s="1838">
        <f>241*S6</f>
        <v>0</v>
      </c>
      <c r="U6" s="1838"/>
      <c r="V6" s="1838">
        <f>332*U6</f>
        <v>0</v>
      </c>
      <c r="W6" s="1838"/>
      <c r="X6" s="19">
        <f>W6*100</f>
        <v>0</v>
      </c>
      <c r="Y6" s="20">
        <f t="shared" ref="Y6:Y12" si="1">D6+F6+H6+J6+L6+N6+P6+R6+T6+V6+X6</f>
        <v>21683.8325</v>
      </c>
    </row>
    <row r="7" spans="1:25" ht="31.5" customHeight="1" x14ac:dyDescent="0.25">
      <c r="A7" s="12">
        <v>1984225578</v>
      </c>
      <c r="B7" s="1835" t="s">
        <v>509</v>
      </c>
      <c r="C7" s="1838">
        <v>36381</v>
      </c>
      <c r="D7" s="1839">
        <f t="shared" si="0"/>
        <v>35380.522499999999</v>
      </c>
      <c r="E7" s="1838"/>
      <c r="F7" s="1838">
        <f t="shared" ref="F7:F11" si="2">67.1*E7</f>
        <v>0</v>
      </c>
      <c r="G7" s="1838"/>
      <c r="H7" s="1838">
        <f t="shared" ref="H7:H11" si="3">28.2*G7</f>
        <v>0</v>
      </c>
      <c r="I7" s="1838"/>
      <c r="J7" s="1838">
        <f t="shared" ref="J7:J11" si="4">18.5*I7</f>
        <v>0</v>
      </c>
      <c r="K7" s="1838"/>
      <c r="L7" s="1839">
        <f t="shared" ref="L7:L11" si="5">28.2368*K7</f>
        <v>0</v>
      </c>
      <c r="M7" s="1838"/>
      <c r="N7" s="1839">
        <f t="shared" ref="N7:N11" si="6">M7*47.6525</f>
        <v>0</v>
      </c>
      <c r="O7" s="1838"/>
      <c r="P7" s="1839">
        <f t="shared" ref="P7:P11" si="7">O7*8.9</f>
        <v>0</v>
      </c>
      <c r="Q7" s="1839"/>
      <c r="R7" s="1839">
        <f t="shared" ref="R7:R11" si="8">241*Q7</f>
        <v>0</v>
      </c>
      <c r="S7" s="1838"/>
      <c r="T7" s="1838">
        <f t="shared" ref="T7:T10" si="9">241*S7</f>
        <v>0</v>
      </c>
      <c r="U7" s="1838"/>
      <c r="V7" s="1838">
        <f t="shared" ref="V7:V11" si="10">332*U7</f>
        <v>0</v>
      </c>
      <c r="W7" s="1838"/>
      <c r="X7" s="19">
        <f t="shared" ref="X7:X11" si="11">W7*100</f>
        <v>0</v>
      </c>
      <c r="Y7" s="20">
        <f t="shared" si="1"/>
        <v>35380.522499999999</v>
      </c>
    </row>
    <row r="8" spans="1:25" ht="35.25" customHeight="1" x14ac:dyDescent="0.25">
      <c r="A8" s="12">
        <v>1967020280</v>
      </c>
      <c r="B8" s="1835" t="s">
        <v>427</v>
      </c>
      <c r="C8" s="1838">
        <v>33128</v>
      </c>
      <c r="D8" s="1839">
        <f t="shared" si="0"/>
        <v>32216.98</v>
      </c>
      <c r="E8" s="1838"/>
      <c r="F8" s="1838">
        <f t="shared" si="2"/>
        <v>0</v>
      </c>
      <c r="G8" s="1838"/>
      <c r="H8" s="1839">
        <f t="shared" si="3"/>
        <v>0</v>
      </c>
      <c r="I8" s="1838"/>
      <c r="J8" s="1838">
        <f t="shared" si="4"/>
        <v>0</v>
      </c>
      <c r="K8" s="1838"/>
      <c r="L8" s="1839">
        <f t="shared" si="5"/>
        <v>0</v>
      </c>
      <c r="M8" s="1838"/>
      <c r="N8" s="1839">
        <f t="shared" si="6"/>
        <v>0</v>
      </c>
      <c r="O8" s="1838"/>
      <c r="P8" s="1839">
        <f t="shared" si="7"/>
        <v>0</v>
      </c>
      <c r="Q8" s="1839"/>
      <c r="R8" s="1839">
        <f t="shared" si="8"/>
        <v>0</v>
      </c>
      <c r="S8" s="1838"/>
      <c r="T8" s="1838">
        <f t="shared" si="9"/>
        <v>0</v>
      </c>
      <c r="U8" s="1838"/>
      <c r="V8" s="1838">
        <f t="shared" si="10"/>
        <v>0</v>
      </c>
      <c r="W8" s="1838"/>
      <c r="X8" s="19">
        <f t="shared" si="11"/>
        <v>0</v>
      </c>
      <c r="Y8" s="20">
        <f t="shared" si="1"/>
        <v>32216.98</v>
      </c>
    </row>
    <row r="9" spans="1:25" ht="38.25" customHeight="1" x14ac:dyDescent="0.25">
      <c r="A9" s="12">
        <v>1984225580</v>
      </c>
      <c r="B9" s="1835" t="s">
        <v>75</v>
      </c>
      <c r="C9" s="1838">
        <v>50051</v>
      </c>
      <c r="D9" s="1839">
        <f t="shared" si="0"/>
        <v>48674.597500000003</v>
      </c>
      <c r="E9" s="1838"/>
      <c r="F9" s="1838">
        <f t="shared" si="2"/>
        <v>0</v>
      </c>
      <c r="G9" s="1838"/>
      <c r="H9" s="1838">
        <f t="shared" si="3"/>
        <v>0</v>
      </c>
      <c r="I9" s="1838"/>
      <c r="J9" s="1838">
        <f t="shared" si="4"/>
        <v>0</v>
      </c>
      <c r="K9" s="1838"/>
      <c r="L9" s="1839">
        <f t="shared" si="5"/>
        <v>0</v>
      </c>
      <c r="M9" s="1838"/>
      <c r="N9" s="1839">
        <f t="shared" si="6"/>
        <v>0</v>
      </c>
      <c r="O9" s="1838"/>
      <c r="P9" s="1839">
        <f t="shared" si="7"/>
        <v>0</v>
      </c>
      <c r="Q9" s="1839"/>
      <c r="R9" s="1839">
        <f t="shared" si="8"/>
        <v>0</v>
      </c>
      <c r="S9" s="1838"/>
      <c r="T9" s="1838">
        <f t="shared" si="9"/>
        <v>0</v>
      </c>
      <c r="U9" s="1838"/>
      <c r="V9" s="1838">
        <f t="shared" si="10"/>
        <v>0</v>
      </c>
      <c r="W9" s="1838"/>
      <c r="X9" s="19">
        <f t="shared" si="11"/>
        <v>0</v>
      </c>
      <c r="Y9" s="20">
        <f t="shared" si="1"/>
        <v>48674.597500000003</v>
      </c>
    </row>
    <row r="10" spans="1:25" ht="35.25" customHeight="1" x14ac:dyDescent="0.25">
      <c r="A10" s="12">
        <v>1409935199</v>
      </c>
      <c r="C10" s="1838"/>
      <c r="D10" s="1839">
        <f t="shared" si="0"/>
        <v>0</v>
      </c>
      <c r="E10" s="1838"/>
      <c r="F10" s="1838">
        <f t="shared" si="2"/>
        <v>0</v>
      </c>
      <c r="G10" s="1838"/>
      <c r="H10" s="1838">
        <f t="shared" si="3"/>
        <v>0</v>
      </c>
      <c r="I10" s="1838"/>
      <c r="J10" s="1838">
        <f t="shared" si="4"/>
        <v>0</v>
      </c>
      <c r="K10" s="1838"/>
      <c r="L10" s="1839">
        <f t="shared" si="5"/>
        <v>0</v>
      </c>
      <c r="M10" s="1838"/>
      <c r="N10" s="1839">
        <f t="shared" si="6"/>
        <v>0</v>
      </c>
      <c r="O10" s="1838"/>
      <c r="P10" s="1839">
        <f t="shared" si="7"/>
        <v>0</v>
      </c>
      <c r="Q10" s="1839"/>
      <c r="R10" s="1839">
        <f t="shared" si="8"/>
        <v>0</v>
      </c>
      <c r="S10" s="1838"/>
      <c r="T10" s="1838">
        <f t="shared" si="9"/>
        <v>0</v>
      </c>
      <c r="U10" s="1838"/>
      <c r="V10" s="1838">
        <f t="shared" si="10"/>
        <v>0</v>
      </c>
      <c r="W10" s="1838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37"/>
      <c r="C11" s="1838"/>
      <c r="D11" s="1839">
        <f t="shared" si="0"/>
        <v>0</v>
      </c>
      <c r="E11" s="1838"/>
      <c r="F11" s="1838">
        <f t="shared" si="2"/>
        <v>0</v>
      </c>
      <c r="G11" s="1838"/>
      <c r="H11" s="1838">
        <f t="shared" si="3"/>
        <v>0</v>
      </c>
      <c r="I11" s="1838"/>
      <c r="J11" s="1838">
        <f t="shared" si="4"/>
        <v>0</v>
      </c>
      <c r="K11" s="1838"/>
      <c r="L11" s="1839">
        <f t="shared" si="5"/>
        <v>0</v>
      </c>
      <c r="M11" s="1838"/>
      <c r="N11" s="1839">
        <f t="shared" si="6"/>
        <v>0</v>
      </c>
      <c r="O11" s="1838"/>
      <c r="P11" s="1839">
        <f t="shared" si="7"/>
        <v>0</v>
      </c>
      <c r="Q11" s="1839"/>
      <c r="R11" s="1839">
        <f t="shared" si="8"/>
        <v>0</v>
      </c>
      <c r="S11" s="1838"/>
      <c r="T11" s="1838">
        <f>341*S11</f>
        <v>0</v>
      </c>
      <c r="U11" s="1838"/>
      <c r="V11" s="1838">
        <f t="shared" si="10"/>
        <v>0</v>
      </c>
      <c r="W11" s="18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141857</v>
      </c>
      <c r="D12" s="18">
        <f t="shared" si="12"/>
        <v>137955.9325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137955.9325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43" t="s">
        <v>174</v>
      </c>
      <c r="K14" s="30" t="s">
        <v>36</v>
      </c>
      <c r="L14" s="1843" t="s">
        <v>403</v>
      </c>
      <c r="M14" s="30" t="s">
        <v>429</v>
      </c>
      <c r="N14" s="30" t="s">
        <v>442</v>
      </c>
      <c r="O14" s="1843" t="s">
        <v>114</v>
      </c>
      <c r="P14" s="30" t="s">
        <v>70</v>
      </c>
      <c r="Q14" s="1958" t="s">
        <v>479</v>
      </c>
      <c r="R14" s="1959"/>
      <c r="S14" s="1843" t="s">
        <v>401</v>
      </c>
      <c r="T14" s="1893" t="s">
        <v>46</v>
      </c>
      <c r="U14" s="1835" t="s">
        <v>176</v>
      </c>
      <c r="V14" s="1918">
        <v>18833</v>
      </c>
      <c r="W14" s="1926"/>
      <c r="X14" s="1919"/>
    </row>
    <row r="15" spans="1:25" ht="22.5" customHeight="1" x14ac:dyDescent="0.25">
      <c r="A15" s="100" t="s">
        <v>38</v>
      </c>
      <c r="B15" s="1918">
        <v>442423</v>
      </c>
      <c r="C15" s="1919"/>
      <c r="D15" s="1840">
        <v>0</v>
      </c>
      <c r="E15" s="1840">
        <v>1500</v>
      </c>
      <c r="F15" s="1840">
        <v>2000</v>
      </c>
      <c r="G15" s="1840">
        <v>0</v>
      </c>
      <c r="H15" s="1840">
        <v>38</v>
      </c>
      <c r="I15" s="1840">
        <v>70</v>
      </c>
      <c r="J15" s="1840">
        <v>4</v>
      </c>
      <c r="K15" s="1840">
        <v>78</v>
      </c>
      <c r="L15" s="1840">
        <v>0</v>
      </c>
      <c r="M15" s="1840">
        <v>0</v>
      </c>
      <c r="N15" s="1840">
        <v>0</v>
      </c>
      <c r="O15" s="1840">
        <v>0</v>
      </c>
      <c r="P15" s="1840">
        <v>100</v>
      </c>
      <c r="Q15" s="1918">
        <v>10</v>
      </c>
      <c r="R15" s="1919"/>
      <c r="S15" s="1835">
        <v>2</v>
      </c>
      <c r="T15" s="1893"/>
      <c r="U15" s="1835" t="s">
        <v>64</v>
      </c>
      <c r="V15" s="1920">
        <v>11329</v>
      </c>
      <c r="W15" s="1920"/>
      <c r="X15" s="1920"/>
    </row>
    <row r="16" spans="1:25" ht="24.75" customHeight="1" x14ac:dyDescent="0.25">
      <c r="A16" s="100" t="s">
        <v>39</v>
      </c>
      <c r="B16" s="1918">
        <f>218545+25706</f>
        <v>244251</v>
      </c>
      <c r="C16" s="1919"/>
      <c r="D16" s="1840">
        <v>500</v>
      </c>
      <c r="E16" s="1840"/>
      <c r="F16" s="1840"/>
      <c r="G16" s="1840"/>
      <c r="H16" s="1840"/>
      <c r="I16" s="1840"/>
      <c r="J16" s="1840"/>
      <c r="K16" s="1840"/>
      <c r="L16" s="1840"/>
      <c r="M16" s="1840"/>
      <c r="N16" s="1840"/>
      <c r="O16" s="1840"/>
      <c r="P16" s="1840"/>
      <c r="Q16" s="1920"/>
      <c r="R16" s="1920"/>
      <c r="S16" s="1840"/>
      <c r="T16" s="1912" t="s">
        <v>55</v>
      </c>
      <c r="U16" s="1912"/>
      <c r="V16" s="1925">
        <f>Y12</f>
        <v>137955.9325</v>
      </c>
      <c r="W16" s="1925"/>
      <c r="X16" s="1920"/>
    </row>
    <row r="17" spans="1:25" ht="28.5" customHeight="1" x14ac:dyDescent="0.25">
      <c r="A17" s="101" t="s">
        <v>44</v>
      </c>
      <c r="B17" s="1918">
        <v>25939</v>
      </c>
      <c r="C17" s="1919"/>
      <c r="D17" s="1840"/>
      <c r="E17" s="1840"/>
      <c r="F17" s="1840"/>
      <c r="G17" s="1840"/>
      <c r="H17" s="1840"/>
      <c r="I17" s="1840"/>
      <c r="J17" s="1840"/>
      <c r="K17" s="1840"/>
      <c r="L17" s="1840"/>
      <c r="M17" s="1840"/>
      <c r="N17" s="1840"/>
      <c r="O17" s="1840"/>
      <c r="P17" s="1840"/>
      <c r="Q17" s="1883"/>
      <c r="R17" s="1883"/>
      <c r="S17" s="1837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141857</v>
      </c>
      <c r="C18" s="1919"/>
      <c r="D18" s="1841">
        <f>E12</f>
        <v>0</v>
      </c>
      <c r="E18" s="1841">
        <f>G12</f>
        <v>0</v>
      </c>
      <c r="F18" s="1841">
        <f>I12</f>
        <v>0</v>
      </c>
      <c r="G18" s="1841">
        <f>K12</f>
        <v>0</v>
      </c>
      <c r="H18" s="1840"/>
      <c r="I18" s="1841">
        <f>U12</f>
        <v>0</v>
      </c>
      <c r="J18" s="1840"/>
      <c r="K18" s="1841">
        <f>W12</f>
        <v>0</v>
      </c>
      <c r="L18" s="1840"/>
      <c r="M18" s="1841">
        <f>M12</f>
        <v>0</v>
      </c>
      <c r="N18" s="1841">
        <f>O12</f>
        <v>0</v>
      </c>
      <c r="O18" s="1842">
        <f>Q12</f>
        <v>0</v>
      </c>
      <c r="P18" s="1841"/>
      <c r="Q18" s="1920"/>
      <c r="R18" s="1920"/>
      <c r="S18" s="1835"/>
      <c r="T18" s="1912" t="s">
        <v>57</v>
      </c>
      <c r="U18" s="1912"/>
      <c r="V18" s="1920">
        <v>1150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570756</v>
      </c>
      <c r="C19" s="1919"/>
      <c r="D19" s="1840">
        <f>D15+D16+D17-D18</f>
        <v>500</v>
      </c>
      <c r="E19" s="1840">
        <f t="shared" ref="E19:N19" si="13">E15+E16+E17-E18</f>
        <v>1500</v>
      </c>
      <c r="F19" s="1840">
        <f t="shared" si="13"/>
        <v>2000</v>
      </c>
      <c r="G19" s="1840">
        <f t="shared" si="13"/>
        <v>0</v>
      </c>
      <c r="H19" s="1840">
        <f t="shared" si="13"/>
        <v>38</v>
      </c>
      <c r="I19" s="1840">
        <f t="shared" si="13"/>
        <v>70</v>
      </c>
      <c r="J19" s="1840">
        <f t="shared" si="13"/>
        <v>4</v>
      </c>
      <c r="K19" s="1840">
        <f t="shared" si="13"/>
        <v>78</v>
      </c>
      <c r="L19" s="1840">
        <f t="shared" si="13"/>
        <v>0</v>
      </c>
      <c r="M19" s="1840">
        <f t="shared" si="13"/>
        <v>0</v>
      </c>
      <c r="N19" s="1840">
        <f t="shared" si="13"/>
        <v>0</v>
      </c>
      <c r="O19" s="1840">
        <f>O15+O16+O17-O18</f>
        <v>0</v>
      </c>
      <c r="P19" s="1840">
        <f t="shared" ref="P19:Q19" si="14">P15+P16+P17-P18</f>
        <v>100</v>
      </c>
      <c r="Q19" s="1918">
        <f t="shared" si="14"/>
        <v>10</v>
      </c>
      <c r="R19" s="1919"/>
      <c r="S19" s="1835">
        <f>S15+S16-S17-S18</f>
        <v>2</v>
      </c>
      <c r="T19" s="1914" t="s">
        <v>48</v>
      </c>
      <c r="U19" s="49" t="s">
        <v>58</v>
      </c>
      <c r="V19" s="1920">
        <v>100000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549352.65</v>
      </c>
      <c r="C20" s="1945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>
        <v>25000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688261.85</v>
      </c>
      <c r="C21" s="1951"/>
      <c r="O21" s="1844"/>
      <c r="P21" s="1844"/>
      <c r="Q21" s="1844"/>
      <c r="R21" s="1844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100000</v>
      </c>
      <c r="D22" s="1949">
        <v>100000</v>
      </c>
      <c r="E22" s="1949">
        <v>220000</v>
      </c>
      <c r="F22" s="1949">
        <f>C22-D22+E22</f>
        <v>220000</v>
      </c>
      <c r="G22" s="1844"/>
      <c r="Q22" s="1844"/>
      <c r="R22" s="1844"/>
      <c r="T22" s="1909" t="s">
        <v>83</v>
      </c>
      <c r="U22" s="50" t="s">
        <v>60</v>
      </c>
      <c r="V22" s="1920">
        <v>124400</v>
      </c>
      <c r="W22" s="1920"/>
      <c r="X22" s="1920"/>
      <c r="Y22" s="1927"/>
    </row>
    <row r="23" spans="1:25" ht="39.75" customHeight="1" x14ac:dyDescent="0.25">
      <c r="A23" s="1844"/>
      <c r="B23" s="1947"/>
      <c r="C23" s="1950"/>
      <c r="D23" s="1950"/>
      <c r="E23" s="1950"/>
      <c r="F23" s="1950"/>
      <c r="G23" s="1844"/>
      <c r="Q23" s="1844"/>
      <c r="R23" s="1844"/>
      <c r="T23" s="1910"/>
      <c r="U23" s="50" t="s">
        <v>61</v>
      </c>
      <c r="V23" s="1920">
        <v>125000</v>
      </c>
      <c r="W23" s="1920"/>
      <c r="X23" s="1920"/>
      <c r="Y23" s="1927"/>
    </row>
    <row r="24" spans="1:25" ht="48" customHeight="1" x14ac:dyDescent="0.25">
      <c r="A24" s="1844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844"/>
      <c r="Q24" s="1844"/>
      <c r="R24" s="1844"/>
      <c r="T24" s="1893" t="s">
        <v>47</v>
      </c>
      <c r="U24" s="51" t="s">
        <v>62</v>
      </c>
      <c r="V24" s="1921">
        <f>V14+V16+V17-V18-V19-V20-V22+V23-V21</f>
        <v>31238.932499999995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10729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844"/>
      <c r="J33" s="1844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76963-DCEA-441F-9F4D-DA58CD6B4CDC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1900" t="s">
        <v>545</v>
      </c>
      <c r="U3" s="1900"/>
      <c r="V3" s="1900"/>
      <c r="W3" s="1900"/>
      <c r="X3" s="1900"/>
      <c r="Y3" s="1900"/>
    </row>
    <row r="4" spans="1:25" s="184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544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845" customFormat="1" ht="25.5" customHeight="1" x14ac:dyDescent="0.25">
      <c r="A5" s="1901"/>
      <c r="B5" s="1901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846" t="s">
        <v>71</v>
      </c>
      <c r="C6" s="1849">
        <v>28954</v>
      </c>
      <c r="D6" s="1850">
        <f t="shared" ref="D6:D11" si="0">0.9725*C6</f>
        <v>28157.764999999999</v>
      </c>
      <c r="E6" s="1849"/>
      <c r="F6" s="1850">
        <f>67.1*E6</f>
        <v>0</v>
      </c>
      <c r="G6" s="1849"/>
      <c r="H6" s="1849">
        <f>28.2*G6</f>
        <v>0</v>
      </c>
      <c r="I6" s="1849"/>
      <c r="J6" s="1849">
        <f>18.5*I6</f>
        <v>0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>
        <v>1</v>
      </c>
      <c r="X6" s="19">
        <f>W6*100</f>
        <v>100</v>
      </c>
      <c r="Y6" s="20">
        <f t="shared" ref="Y6:Y12" si="1">D6+F6+H6+J6+L6+N6+P6+R6+T6+V6+X6</f>
        <v>28257.764999999999</v>
      </c>
    </row>
    <row r="7" spans="1:25" ht="31.5" customHeight="1" x14ac:dyDescent="0.25">
      <c r="A7" s="12">
        <v>1984225578</v>
      </c>
      <c r="B7" s="1846" t="s">
        <v>509</v>
      </c>
      <c r="C7" s="1849">
        <v>24920</v>
      </c>
      <c r="D7" s="1850">
        <f t="shared" si="0"/>
        <v>24234.7</v>
      </c>
      <c r="E7" s="1849"/>
      <c r="F7" s="1849">
        <f t="shared" ref="F7:F11" si="2">67.1*E7</f>
        <v>0</v>
      </c>
      <c r="G7" s="1849"/>
      <c r="H7" s="1849">
        <f t="shared" ref="H7:H11" si="3">28.2*G7</f>
        <v>0</v>
      </c>
      <c r="I7" s="1849"/>
      <c r="J7" s="1849">
        <f t="shared" ref="J7:J11" si="4">18.5*I7</f>
        <v>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24234.7</v>
      </c>
    </row>
    <row r="8" spans="1:25" ht="35.25" customHeight="1" x14ac:dyDescent="0.25">
      <c r="A8" s="12">
        <v>1967020280</v>
      </c>
      <c r="B8" s="1846" t="s">
        <v>427</v>
      </c>
      <c r="C8" s="1849">
        <v>20513</v>
      </c>
      <c r="D8" s="1850">
        <f t="shared" si="0"/>
        <v>19948.892500000002</v>
      </c>
      <c r="E8" s="1849"/>
      <c r="F8" s="1849">
        <f t="shared" si="2"/>
        <v>0</v>
      </c>
      <c r="G8" s="1849"/>
      <c r="H8" s="1850">
        <f t="shared" si="3"/>
        <v>0</v>
      </c>
      <c r="I8" s="1849"/>
      <c r="J8" s="1849">
        <f t="shared" si="4"/>
        <v>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19948.892500000002</v>
      </c>
    </row>
    <row r="9" spans="1:25" ht="38.25" customHeight="1" x14ac:dyDescent="0.25">
      <c r="A9" s="12">
        <v>1984225580</v>
      </c>
      <c r="B9" s="1846" t="s">
        <v>75</v>
      </c>
      <c r="C9" s="1849">
        <v>22578</v>
      </c>
      <c r="D9" s="1850">
        <f t="shared" si="0"/>
        <v>21957.105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21957.105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96965</v>
      </c>
      <c r="D12" s="18">
        <f t="shared" si="12"/>
        <v>94298.462499999994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94398.462499999994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1958" t="s">
        <v>479</v>
      </c>
      <c r="R14" s="1959"/>
      <c r="S14" s="1854" t="s">
        <v>401</v>
      </c>
      <c r="T14" s="1893" t="s">
        <v>46</v>
      </c>
      <c r="U14" s="1846" t="s">
        <v>176</v>
      </c>
      <c r="V14" s="1918">
        <v>31239</v>
      </c>
      <c r="W14" s="1926"/>
      <c r="X14" s="1919"/>
    </row>
    <row r="15" spans="1:25" ht="22.5" customHeight="1" x14ac:dyDescent="0.25">
      <c r="A15" s="100" t="s">
        <v>38</v>
      </c>
      <c r="B15" s="1918">
        <v>570756</v>
      </c>
      <c r="C15" s="1919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78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1918">
        <v>10</v>
      </c>
      <c r="R15" s="1919"/>
      <c r="S15" s="1846">
        <v>2</v>
      </c>
      <c r="T15" s="1893"/>
      <c r="U15" s="1846" t="s">
        <v>64</v>
      </c>
      <c r="V15" s="1920">
        <v>10729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1920"/>
      <c r="R16" s="1920"/>
      <c r="S16" s="1851"/>
      <c r="T16" s="1912" t="s">
        <v>55</v>
      </c>
      <c r="U16" s="1912"/>
      <c r="V16" s="1925">
        <f>Y12</f>
        <v>94398.462499999994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1883"/>
      <c r="R17" s="1883"/>
      <c r="S17" s="1848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96965</v>
      </c>
      <c r="C18" s="1919"/>
      <c r="D18" s="1852">
        <f>E12</f>
        <v>0</v>
      </c>
      <c r="E18" s="1852">
        <f>G12</f>
        <v>0</v>
      </c>
      <c r="F18" s="1852">
        <f>I12</f>
        <v>0</v>
      </c>
      <c r="G18" s="1852">
        <f>K12</f>
        <v>0</v>
      </c>
      <c r="H18" s="1851"/>
      <c r="I18" s="1852">
        <f>U12</f>
        <v>0</v>
      </c>
      <c r="J18" s="1851"/>
      <c r="K18" s="1852">
        <f>W12</f>
        <v>1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1920"/>
      <c r="R18" s="1920"/>
      <c r="S18" s="1846"/>
      <c r="T18" s="1912" t="s">
        <v>57</v>
      </c>
      <c r="U18" s="1912"/>
      <c r="V18" s="1920">
        <v>620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473791</v>
      </c>
      <c r="C19" s="1919"/>
      <c r="D19" s="1851">
        <f>D15+D16+D17-D18</f>
        <v>500</v>
      </c>
      <c r="E19" s="1851">
        <f t="shared" ref="E19:N19" si="13">E15+E16+E17-E18</f>
        <v>1500</v>
      </c>
      <c r="F19" s="1851">
        <f t="shared" si="13"/>
        <v>2000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1918">
        <f t="shared" si="14"/>
        <v>10</v>
      </c>
      <c r="R19" s="1919"/>
      <c r="S19" s="1846">
        <f>S15+S16-S17-S18</f>
        <v>2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456023.83750000002</v>
      </c>
      <c r="C20" s="1945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594833.03750000009</v>
      </c>
      <c r="C21" s="1951"/>
      <c r="O21" s="1855"/>
      <c r="P21" s="1855"/>
      <c r="Q21" s="1855"/>
      <c r="R21" s="1855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220000</v>
      </c>
      <c r="D22" s="1949"/>
      <c r="E22" s="1949"/>
      <c r="F22" s="1949">
        <f>C22-D22+E22</f>
        <v>220000</v>
      </c>
      <c r="G22" s="1855"/>
      <c r="Q22" s="1855"/>
      <c r="R22" s="1855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1855"/>
      <c r="B23" s="1947"/>
      <c r="C23" s="1950"/>
      <c r="D23" s="1950"/>
      <c r="E23" s="1950"/>
      <c r="F23" s="1950"/>
      <c r="G23" s="1855"/>
      <c r="Q23" s="1855"/>
      <c r="R23" s="1855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1855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1893" t="s">
        <v>47</v>
      </c>
      <c r="U24" s="51" t="s">
        <v>62</v>
      </c>
      <c r="V24" s="1921">
        <f>V14+V16+V17-V18-V19-V20-V22+V23-V21</f>
        <v>125017.46249999999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10729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855"/>
      <c r="J33" s="1855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E23C2-06BC-44FF-8C32-37C3D1CA288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1900" t="s">
        <v>546</v>
      </c>
      <c r="U3" s="1900"/>
      <c r="V3" s="1900"/>
      <c r="W3" s="1900"/>
      <c r="X3" s="1900"/>
      <c r="Y3" s="1900"/>
    </row>
    <row r="4" spans="1:25" s="1845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544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845" customFormat="1" ht="25.5" customHeight="1" x14ac:dyDescent="0.25">
      <c r="A5" s="1901"/>
      <c r="B5" s="1901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846" t="s">
        <v>71</v>
      </c>
      <c r="C6" s="1849">
        <v>25944</v>
      </c>
      <c r="D6" s="1850">
        <f t="shared" ref="D6:D11" si="0">0.9725*C6</f>
        <v>25230.54</v>
      </c>
      <c r="E6" s="1849"/>
      <c r="F6" s="1850">
        <f>67.1*E6</f>
        <v>0</v>
      </c>
      <c r="G6" s="1849">
        <v>200</v>
      </c>
      <c r="H6" s="1849">
        <f>28.2*G6</f>
        <v>5640</v>
      </c>
      <c r="I6" s="1849">
        <v>370</v>
      </c>
      <c r="J6" s="1849">
        <f>18.5*I6</f>
        <v>6845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/>
      <c r="X6" s="19">
        <f>W6*100</f>
        <v>0</v>
      </c>
      <c r="Y6" s="20">
        <f t="shared" ref="Y6:Y12" si="1">D6+F6+H6+J6+L6+N6+P6+R6+T6+V6+X6</f>
        <v>37715.54</v>
      </c>
    </row>
    <row r="7" spans="1:25" ht="31.5" customHeight="1" x14ac:dyDescent="0.25">
      <c r="A7" s="12">
        <v>1984225578</v>
      </c>
      <c r="B7" s="1846" t="s">
        <v>509</v>
      </c>
      <c r="C7" s="1849">
        <v>24558</v>
      </c>
      <c r="D7" s="1850">
        <f t="shared" si="0"/>
        <v>23882.655000000002</v>
      </c>
      <c r="E7" s="1849"/>
      <c r="F7" s="1849">
        <f t="shared" ref="F7:F11" si="2">67.1*E7</f>
        <v>0</v>
      </c>
      <c r="G7" s="1849">
        <v>400</v>
      </c>
      <c r="H7" s="1849">
        <f t="shared" ref="H7:H11" si="3">28.2*G7</f>
        <v>11280</v>
      </c>
      <c r="I7" s="1849">
        <v>120</v>
      </c>
      <c r="J7" s="1849">
        <f t="shared" ref="J7:J11" si="4">18.5*I7</f>
        <v>2220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37382.654999999999</v>
      </c>
    </row>
    <row r="8" spans="1:25" ht="35.25" customHeight="1" x14ac:dyDescent="0.25">
      <c r="A8" s="12">
        <v>1967020280</v>
      </c>
      <c r="B8" s="1846" t="s">
        <v>427</v>
      </c>
      <c r="C8" s="1849">
        <v>25447</v>
      </c>
      <c r="D8" s="1850">
        <f t="shared" si="0"/>
        <v>24747.2075</v>
      </c>
      <c r="E8" s="1849"/>
      <c r="F8" s="1849">
        <f t="shared" si="2"/>
        <v>0</v>
      </c>
      <c r="G8" s="1849">
        <v>400</v>
      </c>
      <c r="H8" s="1850">
        <f t="shared" si="3"/>
        <v>11280</v>
      </c>
      <c r="I8" s="1849">
        <v>340</v>
      </c>
      <c r="J8" s="1849">
        <f t="shared" si="4"/>
        <v>6290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42317.207500000004</v>
      </c>
    </row>
    <row r="9" spans="1:25" ht="38.25" customHeight="1" x14ac:dyDescent="0.25">
      <c r="A9" s="12">
        <v>1984225580</v>
      </c>
      <c r="B9" s="1846" t="s">
        <v>75</v>
      </c>
      <c r="C9" s="1849">
        <v>34636</v>
      </c>
      <c r="D9" s="1850">
        <f t="shared" si="0"/>
        <v>33683.51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33683.51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110585</v>
      </c>
      <c r="D12" s="18">
        <f t="shared" si="12"/>
        <v>107543.91250000001</v>
      </c>
      <c r="E12" s="18">
        <f t="shared" si="12"/>
        <v>0</v>
      </c>
      <c r="F12" s="18">
        <f t="shared" si="12"/>
        <v>0</v>
      </c>
      <c r="G12" s="18">
        <f t="shared" si="12"/>
        <v>1000</v>
      </c>
      <c r="H12" s="18">
        <f t="shared" si="12"/>
        <v>28200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151098.91250000001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1958" t="s">
        <v>479</v>
      </c>
      <c r="R14" s="1959"/>
      <c r="S14" s="1854" t="s">
        <v>401</v>
      </c>
      <c r="T14" s="1893" t="s">
        <v>46</v>
      </c>
      <c r="U14" s="1846" t="s">
        <v>176</v>
      </c>
      <c r="V14" s="1918">
        <v>125017</v>
      </c>
      <c r="W14" s="1926"/>
      <c r="X14" s="1919"/>
    </row>
    <row r="15" spans="1:25" ht="22.5" customHeight="1" x14ac:dyDescent="0.25">
      <c r="A15" s="100" t="s">
        <v>38</v>
      </c>
      <c r="B15" s="1918">
        <v>473791</v>
      </c>
      <c r="C15" s="1919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77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1918">
        <v>10</v>
      </c>
      <c r="R15" s="1919"/>
      <c r="S15" s="1846">
        <v>2</v>
      </c>
      <c r="T15" s="1893"/>
      <c r="U15" s="1846" t="s">
        <v>64</v>
      </c>
      <c r="V15" s="1920">
        <v>10729</v>
      </c>
      <c r="W15" s="1920"/>
      <c r="X15" s="1920"/>
    </row>
    <row r="16" spans="1:25" ht="24.75" customHeight="1" x14ac:dyDescent="0.25">
      <c r="A16" s="100" t="s">
        <v>39</v>
      </c>
      <c r="B16" s="1918">
        <v>103896</v>
      </c>
      <c r="C16" s="1919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1920"/>
      <c r="R16" s="1920"/>
      <c r="S16" s="1851"/>
      <c r="T16" s="1912" t="s">
        <v>55</v>
      </c>
      <c r="U16" s="1912"/>
      <c r="V16" s="1925">
        <f>Y12</f>
        <v>151098.91250000001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1883"/>
      <c r="R17" s="1883"/>
      <c r="S17" s="1848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110585</v>
      </c>
      <c r="C18" s="1919"/>
      <c r="D18" s="1852">
        <f>E12</f>
        <v>0</v>
      </c>
      <c r="E18" s="1852">
        <f>G12</f>
        <v>1000</v>
      </c>
      <c r="F18" s="1852">
        <f>I12</f>
        <v>830</v>
      </c>
      <c r="G18" s="1852">
        <f>K12</f>
        <v>0</v>
      </c>
      <c r="H18" s="1851"/>
      <c r="I18" s="1852">
        <f>U12</f>
        <v>0</v>
      </c>
      <c r="J18" s="1851"/>
      <c r="K18" s="1852">
        <f>W12</f>
        <v>0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1920"/>
      <c r="R18" s="1920"/>
      <c r="S18" s="1846"/>
      <c r="T18" s="1912" t="s">
        <v>57</v>
      </c>
      <c r="U18" s="1912"/>
      <c r="V18" s="1920">
        <v>520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467102</v>
      </c>
      <c r="C19" s="1919"/>
      <c r="D19" s="1851">
        <f>D15+D16+D17-D18</f>
        <v>500</v>
      </c>
      <c r="E19" s="1851">
        <f t="shared" ref="E19:N19" si="13">E15+E16+E17-E18</f>
        <v>500</v>
      </c>
      <c r="F19" s="1851">
        <f t="shared" si="13"/>
        <v>1170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1918">
        <f t="shared" si="14"/>
        <v>10</v>
      </c>
      <c r="R19" s="1919"/>
      <c r="S19" s="1846">
        <f>S15+S16-S17-S18</f>
        <v>2</v>
      </c>
      <c r="T19" s="1914" t="s">
        <v>48</v>
      </c>
      <c r="U19" s="49" t="s">
        <v>58</v>
      </c>
      <c r="V19" s="1920">
        <v>220000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449585.67499999999</v>
      </c>
      <c r="C20" s="1945"/>
      <c r="D20" s="290">
        <f>D19*19.3</f>
        <v>9650</v>
      </c>
      <c r="E20" s="290">
        <f>27.9368*E19</f>
        <v>13968.400000000001</v>
      </c>
      <c r="F20" s="290">
        <f>18.31*F19</f>
        <v>21422.699999999997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545260.77500000002</v>
      </c>
      <c r="C21" s="1951"/>
      <c r="O21" s="1855"/>
      <c r="P21" s="1855"/>
      <c r="Q21" s="1855"/>
      <c r="R21" s="1855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220000</v>
      </c>
      <c r="D22" s="1949">
        <v>220000</v>
      </c>
      <c r="E22" s="1949">
        <v>100000</v>
      </c>
      <c r="F22" s="1949">
        <f>C22-D22+E22</f>
        <v>100000</v>
      </c>
      <c r="G22" s="1855"/>
      <c r="Q22" s="1855"/>
      <c r="R22" s="1855"/>
      <c r="T22" s="1909" t="s">
        <v>83</v>
      </c>
      <c r="U22" s="50" t="s">
        <v>60</v>
      </c>
      <c r="V22" s="1920">
        <v>239740</v>
      </c>
      <c r="W22" s="1920"/>
      <c r="X22" s="1920"/>
      <c r="Y22" s="1927"/>
    </row>
    <row r="23" spans="1:25" ht="39.75" customHeight="1" x14ac:dyDescent="0.25">
      <c r="A23" s="1855"/>
      <c r="B23" s="1947"/>
      <c r="C23" s="1950"/>
      <c r="D23" s="1950"/>
      <c r="E23" s="1950"/>
      <c r="F23" s="1950"/>
      <c r="G23" s="1855"/>
      <c r="Q23" s="1855"/>
      <c r="R23" s="1855"/>
      <c r="T23" s="1910"/>
      <c r="U23" s="50" t="s">
        <v>61</v>
      </c>
      <c r="V23" s="1920">
        <v>220000</v>
      </c>
      <c r="W23" s="1920"/>
      <c r="X23" s="1920"/>
      <c r="Y23" s="1927"/>
    </row>
    <row r="24" spans="1:25" ht="48" customHeight="1" x14ac:dyDescent="0.25">
      <c r="A24" s="1855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1893" t="s">
        <v>47</v>
      </c>
      <c r="U24" s="51" t="s">
        <v>62</v>
      </c>
      <c r="V24" s="1921">
        <f>V14+V16+V17-V18-V19-V20-V22+V23-V21</f>
        <v>35855.912499999977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30469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855"/>
      <c r="J33" s="1855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1B3E3-448B-4553-A923-F5CD649B3ADE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1900" t="s">
        <v>547</v>
      </c>
      <c r="U3" s="1900"/>
      <c r="V3" s="1900"/>
      <c r="W3" s="1900"/>
      <c r="X3" s="1900"/>
      <c r="Y3" s="1900"/>
    </row>
    <row r="4" spans="1:25" s="1861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544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861" customFormat="1" ht="25.5" customHeight="1" x14ac:dyDescent="0.25">
      <c r="A5" s="1901"/>
      <c r="B5" s="1901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859" t="s">
        <v>71</v>
      </c>
      <c r="C6" s="1857">
        <v>28329</v>
      </c>
      <c r="D6" s="1856">
        <f t="shared" ref="D6:D11" si="0">0.9725*C6</f>
        <v>27549.952499999999</v>
      </c>
      <c r="E6" s="1857"/>
      <c r="F6" s="1856">
        <f>67.1*E6</f>
        <v>0</v>
      </c>
      <c r="G6" s="1857">
        <v>300</v>
      </c>
      <c r="H6" s="1857">
        <f>28.2*G6</f>
        <v>8460</v>
      </c>
      <c r="I6" s="1857">
        <v>460</v>
      </c>
      <c r="J6" s="1857">
        <f>18.5*I6</f>
        <v>8510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44519.952499999999</v>
      </c>
    </row>
    <row r="7" spans="1:25" ht="31.5" customHeight="1" x14ac:dyDescent="0.25">
      <c r="A7" s="12">
        <v>1984225578</v>
      </c>
      <c r="B7" s="1859" t="s">
        <v>509</v>
      </c>
      <c r="C7" s="1857">
        <v>27543</v>
      </c>
      <c r="D7" s="1856">
        <f t="shared" si="0"/>
        <v>26785.567500000001</v>
      </c>
      <c r="E7" s="1857"/>
      <c r="F7" s="1857">
        <f t="shared" ref="F7:F11" si="2">67.1*E7</f>
        <v>0</v>
      </c>
      <c r="G7" s="1857">
        <v>100</v>
      </c>
      <c r="H7" s="1857">
        <f t="shared" ref="H7:H11" si="3">28.2*G7</f>
        <v>2820</v>
      </c>
      <c r="I7" s="1857">
        <v>180</v>
      </c>
      <c r="J7" s="1857">
        <f t="shared" ref="J7:J11" si="4">18.5*I7</f>
        <v>3330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/>
      <c r="X7" s="19">
        <f t="shared" ref="X7:X11" si="11">W7*100</f>
        <v>0</v>
      </c>
      <c r="Y7" s="20">
        <f t="shared" si="1"/>
        <v>32935.567500000005</v>
      </c>
    </row>
    <row r="8" spans="1:25" ht="35.25" customHeight="1" x14ac:dyDescent="0.25">
      <c r="A8" s="12">
        <v>1967020280</v>
      </c>
      <c r="B8" s="1859" t="s">
        <v>427</v>
      </c>
      <c r="C8" s="1857">
        <v>23680</v>
      </c>
      <c r="D8" s="1856">
        <f t="shared" si="0"/>
        <v>23028.799999999999</v>
      </c>
      <c r="E8" s="1857"/>
      <c r="F8" s="1857">
        <f t="shared" si="2"/>
        <v>0</v>
      </c>
      <c r="G8" s="1857">
        <v>100</v>
      </c>
      <c r="H8" s="1856">
        <f t="shared" si="3"/>
        <v>2820</v>
      </c>
      <c r="I8" s="1857">
        <v>530</v>
      </c>
      <c r="J8" s="1857">
        <f t="shared" si="4"/>
        <v>9805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/>
      <c r="X8" s="19">
        <f t="shared" si="11"/>
        <v>0</v>
      </c>
      <c r="Y8" s="20">
        <f t="shared" si="1"/>
        <v>35653.800000000003</v>
      </c>
    </row>
    <row r="9" spans="1:25" ht="38.25" customHeight="1" x14ac:dyDescent="0.25">
      <c r="A9" s="12">
        <v>1984225580</v>
      </c>
      <c r="B9" s="1859" t="s">
        <v>75</v>
      </c>
      <c r="C9" s="1857">
        <v>31030</v>
      </c>
      <c r="D9" s="1856">
        <f t="shared" si="0"/>
        <v>30176.674999999999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30176.674999999999</v>
      </c>
    </row>
    <row r="10" spans="1:25" ht="35.25" customHeight="1" x14ac:dyDescent="0.25">
      <c r="A10" s="12">
        <v>1409935199</v>
      </c>
      <c r="C10" s="1857"/>
      <c r="D10" s="1856">
        <f t="shared" si="0"/>
        <v>0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110582</v>
      </c>
      <c r="D12" s="18">
        <f t="shared" si="12"/>
        <v>107540.99500000001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1170</v>
      </c>
      <c r="J12" s="18">
        <f t="shared" si="12"/>
        <v>21645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143285.995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30" t="s">
        <v>429</v>
      </c>
      <c r="N14" s="30" t="s">
        <v>442</v>
      </c>
      <c r="O14" s="1865" t="s">
        <v>114</v>
      </c>
      <c r="P14" s="30" t="s">
        <v>70</v>
      </c>
      <c r="Q14" s="1958" t="s">
        <v>479</v>
      </c>
      <c r="R14" s="1959"/>
      <c r="S14" s="1865" t="s">
        <v>401</v>
      </c>
      <c r="T14" s="1893" t="s">
        <v>46</v>
      </c>
      <c r="U14" s="1859" t="s">
        <v>176</v>
      </c>
      <c r="V14" s="1918">
        <v>35856</v>
      </c>
      <c r="W14" s="1926"/>
      <c r="X14" s="1919"/>
    </row>
    <row r="15" spans="1:25" ht="22.5" customHeight="1" x14ac:dyDescent="0.25">
      <c r="A15" s="100" t="s">
        <v>38</v>
      </c>
      <c r="B15" s="1918">
        <v>467102</v>
      </c>
      <c r="C15" s="1919"/>
      <c r="D15" s="1862">
        <v>500</v>
      </c>
      <c r="E15" s="1862">
        <v>500</v>
      </c>
      <c r="F15" s="1862">
        <v>1170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1918">
        <v>10</v>
      </c>
      <c r="R15" s="1919"/>
      <c r="S15" s="1859">
        <v>2</v>
      </c>
      <c r="T15" s="1893"/>
      <c r="U15" s="1859" t="s">
        <v>64</v>
      </c>
      <c r="V15" s="1920">
        <v>30469</v>
      </c>
      <c r="W15" s="1920"/>
      <c r="X15" s="1920"/>
    </row>
    <row r="16" spans="1:25" ht="24.75" customHeight="1" x14ac:dyDescent="0.25">
      <c r="A16" s="100" t="s">
        <v>39</v>
      </c>
      <c r="B16" s="1918">
        <v>112623</v>
      </c>
      <c r="C16" s="1919"/>
      <c r="D16" s="1862"/>
      <c r="E16" s="1862"/>
      <c r="F16" s="1862">
        <v>2000</v>
      </c>
      <c r="G16" s="1862"/>
      <c r="H16" s="1862"/>
      <c r="I16" s="1862"/>
      <c r="J16" s="1862"/>
      <c r="K16" s="1862"/>
      <c r="L16" s="1862"/>
      <c r="M16" s="1862"/>
      <c r="N16" s="1862"/>
      <c r="O16" s="1862"/>
      <c r="P16" s="1862"/>
      <c r="Q16" s="1920"/>
      <c r="R16" s="1920"/>
      <c r="S16" s="1862"/>
      <c r="T16" s="1912" t="s">
        <v>55</v>
      </c>
      <c r="U16" s="1912"/>
      <c r="V16" s="1925">
        <f>Y12</f>
        <v>143285.995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1883"/>
      <c r="R17" s="1883"/>
      <c r="S17" s="1858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110582</v>
      </c>
      <c r="C18" s="1919"/>
      <c r="D18" s="1864">
        <f>E12</f>
        <v>0</v>
      </c>
      <c r="E18" s="1864">
        <f>G12</f>
        <v>500</v>
      </c>
      <c r="F18" s="1864">
        <f>I12</f>
        <v>1170</v>
      </c>
      <c r="G18" s="1864">
        <f>K12</f>
        <v>0</v>
      </c>
      <c r="H18" s="1862"/>
      <c r="I18" s="1864">
        <f>U12</f>
        <v>0</v>
      </c>
      <c r="J18" s="1862"/>
      <c r="K18" s="1864">
        <f>W12</f>
        <v>0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1920"/>
      <c r="R18" s="1920"/>
      <c r="S18" s="1859"/>
      <c r="T18" s="1912" t="s">
        <v>57</v>
      </c>
      <c r="U18" s="1912"/>
      <c r="V18" s="1920">
        <v>620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469143</v>
      </c>
      <c r="C19" s="1919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77</v>
      </c>
      <c r="L19" s="1862">
        <f t="shared" si="13"/>
        <v>0</v>
      </c>
      <c r="M19" s="1862">
        <f t="shared" si="13"/>
        <v>0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1918">
        <f t="shared" si="14"/>
        <v>10</v>
      </c>
      <c r="R19" s="1919"/>
      <c r="S19" s="1859">
        <f>S15+S16-S17-S18</f>
        <v>2</v>
      </c>
      <c r="T19" s="1914" t="s">
        <v>48</v>
      </c>
      <c r="U19" s="49" t="s">
        <v>58</v>
      </c>
      <c r="V19" s="1920">
        <v>100000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451550.13750000001</v>
      </c>
      <c r="C20" s="1945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>
        <v>60000</v>
      </c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548454.13749999995</v>
      </c>
      <c r="C21" s="1951"/>
      <c r="O21" s="1866"/>
      <c r="P21" s="1866"/>
      <c r="Q21" s="1866"/>
      <c r="R21" s="1866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100000</v>
      </c>
      <c r="D22" s="1949">
        <v>100000</v>
      </c>
      <c r="E22" s="1949">
        <v>92000</v>
      </c>
      <c r="F22" s="1949">
        <f>C22-D22+E22</f>
        <v>92000</v>
      </c>
      <c r="G22" s="1866"/>
      <c r="Q22" s="1866"/>
      <c r="R22" s="1866"/>
      <c r="T22" s="1909" t="s">
        <v>83</v>
      </c>
      <c r="U22" s="50" t="s">
        <v>60</v>
      </c>
      <c r="V22" s="1920">
        <v>140920</v>
      </c>
      <c r="W22" s="1920"/>
      <c r="X22" s="1920"/>
      <c r="Y22" s="1927"/>
    </row>
    <row r="23" spans="1:25" ht="39.75" customHeight="1" x14ac:dyDescent="0.25">
      <c r="A23" s="1866"/>
      <c r="B23" s="1947"/>
      <c r="C23" s="1950"/>
      <c r="D23" s="1950"/>
      <c r="E23" s="1950"/>
      <c r="F23" s="1950"/>
      <c r="G23" s="1866"/>
      <c r="Q23" s="1866"/>
      <c r="R23" s="1866"/>
      <c r="T23" s="1910"/>
      <c r="U23" s="50" t="s">
        <v>61</v>
      </c>
      <c r="V23" s="1920">
        <v>160000</v>
      </c>
      <c r="W23" s="1920"/>
      <c r="X23" s="1920"/>
      <c r="Y23" s="1927"/>
    </row>
    <row r="24" spans="1:25" ht="48" customHeight="1" x14ac:dyDescent="0.25">
      <c r="A24" s="1866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1893" t="s">
        <v>47</v>
      </c>
      <c r="U24" s="51" t="s">
        <v>62</v>
      </c>
      <c r="V24" s="1921">
        <f>V14+V16+V17-V18-V19-V20-V22+V23-V21</f>
        <v>37601.994999999995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11389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866"/>
      <c r="J33" s="1866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60EF3-200A-4DED-A237-61C1A67BACC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1900" t="s">
        <v>548</v>
      </c>
      <c r="U3" s="1900"/>
      <c r="V3" s="1900"/>
      <c r="W3" s="1900"/>
      <c r="X3" s="1900"/>
      <c r="Y3" s="1900"/>
    </row>
    <row r="4" spans="1:25" s="1861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544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861" customFormat="1" ht="25.5" customHeight="1" x14ac:dyDescent="0.25">
      <c r="A5" s="1901"/>
      <c r="B5" s="1901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859" t="s">
        <v>71</v>
      </c>
      <c r="C6" s="1857">
        <v>22690</v>
      </c>
      <c r="D6" s="1856">
        <f t="shared" ref="D6:D11" si="0">0.9725*C6</f>
        <v>22066.025000000001</v>
      </c>
      <c r="E6" s="1857"/>
      <c r="F6" s="1856">
        <f>67.1*E6</f>
        <v>0</v>
      </c>
      <c r="G6" s="1857"/>
      <c r="H6" s="1857">
        <f>28.2*G6</f>
        <v>0</v>
      </c>
      <c r="I6" s="1857"/>
      <c r="J6" s="1857">
        <f>18.5*I6</f>
        <v>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22066.025000000001</v>
      </c>
    </row>
    <row r="7" spans="1:25" ht="31.5" customHeight="1" x14ac:dyDescent="0.25">
      <c r="A7" s="12">
        <v>1984225578</v>
      </c>
      <c r="B7" s="1859" t="s">
        <v>509</v>
      </c>
      <c r="C7" s="1857">
        <v>22913</v>
      </c>
      <c r="D7" s="1856">
        <f t="shared" si="0"/>
        <v>22282.892500000002</v>
      </c>
      <c r="E7" s="1857"/>
      <c r="F7" s="1857">
        <f t="shared" ref="F7:F11" si="2">67.1*E7</f>
        <v>0</v>
      </c>
      <c r="G7" s="1857"/>
      <c r="H7" s="1857">
        <f t="shared" ref="H7:H11" si="3">28.2*G7</f>
        <v>0</v>
      </c>
      <c r="I7" s="1857"/>
      <c r="J7" s="1857">
        <f t="shared" ref="J7:J11" si="4">18.5*I7</f>
        <v>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>
        <v>1</v>
      </c>
      <c r="X7" s="19">
        <f t="shared" ref="X7:X11" si="11">W7*100</f>
        <v>100</v>
      </c>
      <c r="Y7" s="20">
        <f t="shared" si="1"/>
        <v>22382.892500000002</v>
      </c>
    </row>
    <row r="8" spans="1:25" ht="35.25" customHeight="1" x14ac:dyDescent="0.25">
      <c r="A8" s="12">
        <v>1967020280</v>
      </c>
      <c r="B8" s="1859" t="s">
        <v>427</v>
      </c>
      <c r="C8" s="1857">
        <v>21369</v>
      </c>
      <c r="D8" s="1856">
        <f t="shared" si="0"/>
        <v>20781.352500000001</v>
      </c>
      <c r="E8" s="1857"/>
      <c r="F8" s="1857">
        <f t="shared" si="2"/>
        <v>0</v>
      </c>
      <c r="G8" s="1857"/>
      <c r="H8" s="1856">
        <f t="shared" si="3"/>
        <v>0</v>
      </c>
      <c r="I8" s="1857"/>
      <c r="J8" s="1857">
        <f t="shared" si="4"/>
        <v>0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>
        <v>1</v>
      </c>
      <c r="X8" s="19">
        <f t="shared" si="11"/>
        <v>100</v>
      </c>
      <c r="Y8" s="20">
        <f t="shared" si="1"/>
        <v>20881.352500000001</v>
      </c>
    </row>
    <row r="9" spans="1:25" ht="38.25" customHeight="1" x14ac:dyDescent="0.25">
      <c r="A9" s="12">
        <v>1984225580</v>
      </c>
      <c r="B9" s="1859" t="s">
        <v>75</v>
      </c>
      <c r="C9" s="1857">
        <v>33815</v>
      </c>
      <c r="D9" s="1856">
        <f t="shared" si="0"/>
        <v>32885.087500000001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32885.087500000001</v>
      </c>
    </row>
    <row r="10" spans="1:25" ht="35.25" customHeight="1" x14ac:dyDescent="0.25">
      <c r="A10" s="12">
        <v>1409935199</v>
      </c>
      <c r="C10" s="1857">
        <v>10283</v>
      </c>
      <c r="D10" s="1856">
        <f t="shared" si="0"/>
        <v>10000.217500000001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111070</v>
      </c>
      <c r="D12" s="18">
        <f t="shared" si="12"/>
        <v>108015.57500000001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108215.57500000001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1865" t="s">
        <v>549</v>
      </c>
      <c r="N14" s="30" t="s">
        <v>442</v>
      </c>
      <c r="O14" s="1865" t="s">
        <v>114</v>
      </c>
      <c r="P14" s="30" t="s">
        <v>70</v>
      </c>
      <c r="Q14" s="1958" t="s">
        <v>479</v>
      </c>
      <c r="R14" s="1959"/>
      <c r="S14" s="1865" t="s">
        <v>401</v>
      </c>
      <c r="T14" s="1893" t="s">
        <v>46</v>
      </c>
      <c r="U14" s="1859" t="s">
        <v>176</v>
      </c>
      <c r="V14" s="1918">
        <v>37602</v>
      </c>
      <c r="W14" s="1926"/>
      <c r="X14" s="1919"/>
    </row>
    <row r="15" spans="1:25" ht="22.5" customHeight="1" x14ac:dyDescent="0.25">
      <c r="A15" s="100" t="s">
        <v>38</v>
      </c>
      <c r="B15" s="1918">
        <v>469143</v>
      </c>
      <c r="C15" s="1919"/>
      <c r="D15" s="1862">
        <v>500</v>
      </c>
      <c r="E15" s="1862">
        <v>0</v>
      </c>
      <c r="F15" s="1862">
        <v>2000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1918">
        <v>10</v>
      </c>
      <c r="R15" s="1919"/>
      <c r="S15" s="1859">
        <v>2</v>
      </c>
      <c r="T15" s="1893"/>
      <c r="U15" s="1859" t="s">
        <v>64</v>
      </c>
      <c r="V15" s="1920">
        <v>11389</v>
      </c>
      <c r="W15" s="1920"/>
      <c r="X15" s="1920"/>
    </row>
    <row r="16" spans="1:25" ht="24.75" customHeight="1" x14ac:dyDescent="0.25">
      <c r="A16" s="100" t="s">
        <v>39</v>
      </c>
      <c r="B16" s="1918">
        <v>207792</v>
      </c>
      <c r="C16" s="1919"/>
      <c r="D16" s="1862"/>
      <c r="E16" s="1862"/>
      <c r="F16" s="1862"/>
      <c r="G16" s="1862"/>
      <c r="H16" s="1862"/>
      <c r="I16" s="1862"/>
      <c r="J16" s="1862"/>
      <c r="K16" s="1862"/>
      <c r="L16" s="1862"/>
      <c r="M16" s="1862">
        <v>15</v>
      </c>
      <c r="N16" s="1862"/>
      <c r="O16" s="1862"/>
      <c r="P16" s="1862"/>
      <c r="Q16" s="1920"/>
      <c r="R16" s="1920"/>
      <c r="S16" s="1862"/>
      <c r="T16" s="1912" t="s">
        <v>55</v>
      </c>
      <c r="U16" s="1912"/>
      <c r="V16" s="1925">
        <f>Y12</f>
        <v>108215.57500000001</v>
      </c>
      <c r="W16" s="1925"/>
      <c r="X16" s="1920"/>
    </row>
    <row r="17" spans="1:25" ht="28.5" customHeight="1" x14ac:dyDescent="0.25">
      <c r="A17" s="101" t="s">
        <v>44</v>
      </c>
      <c r="B17" s="1918">
        <v>374</v>
      </c>
      <c r="C17" s="1919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1883"/>
      <c r="R17" s="1883"/>
      <c r="S17" s="1858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111070</v>
      </c>
      <c r="C18" s="1919"/>
      <c r="D18" s="1864">
        <f>E12</f>
        <v>0</v>
      </c>
      <c r="E18" s="1864">
        <f>G12</f>
        <v>0</v>
      </c>
      <c r="F18" s="1864">
        <f>I12</f>
        <v>0</v>
      </c>
      <c r="G18" s="1864">
        <f>K12</f>
        <v>0</v>
      </c>
      <c r="H18" s="1862"/>
      <c r="I18" s="1864">
        <f>U12</f>
        <v>0</v>
      </c>
      <c r="J18" s="1862"/>
      <c r="K18" s="1864">
        <f>W12</f>
        <v>2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1920"/>
      <c r="R18" s="1920"/>
      <c r="S18" s="1859"/>
      <c r="T18" s="1912" t="s">
        <v>57</v>
      </c>
      <c r="U18" s="1912"/>
      <c r="V18" s="1920">
        <v>3766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566239</v>
      </c>
      <c r="C19" s="1919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75</v>
      </c>
      <c r="L19" s="1862">
        <f t="shared" si="13"/>
        <v>0</v>
      </c>
      <c r="M19" s="1862">
        <f t="shared" si="13"/>
        <v>15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1918">
        <f t="shared" si="14"/>
        <v>10</v>
      </c>
      <c r="R19" s="1919"/>
      <c r="S19" s="1859">
        <f>S15+S16-S17-S18</f>
        <v>2</v>
      </c>
      <c r="T19" s="1914" t="s">
        <v>48</v>
      </c>
      <c r="U19" s="49" t="s">
        <v>58</v>
      </c>
      <c r="V19" s="1920">
        <v>92000</v>
      </c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545005.03749999998</v>
      </c>
      <c r="C20" s="1945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648759.03749999998</v>
      </c>
      <c r="C21" s="1951"/>
      <c r="O21" s="1866"/>
      <c r="P21" s="1866"/>
      <c r="Q21" s="1866"/>
      <c r="R21" s="1866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92000</v>
      </c>
      <c r="D22" s="1949">
        <v>92000</v>
      </c>
      <c r="E22" s="1949">
        <v>200000</v>
      </c>
      <c r="F22" s="1949">
        <f>C22-D22+E22</f>
        <v>200000</v>
      </c>
      <c r="G22" s="1866"/>
      <c r="Q22" s="1866"/>
      <c r="R22" s="1866"/>
      <c r="T22" s="1909" t="s">
        <v>83</v>
      </c>
      <c r="U22" s="50" t="s">
        <v>60</v>
      </c>
      <c r="V22" s="1920">
        <v>96480</v>
      </c>
      <c r="W22" s="1920"/>
      <c r="X22" s="1920"/>
      <c r="Y22" s="1927"/>
    </row>
    <row r="23" spans="1:25" ht="39.75" customHeight="1" x14ac:dyDescent="0.25">
      <c r="A23" s="1866"/>
      <c r="B23" s="1947"/>
      <c r="C23" s="1950"/>
      <c r="D23" s="1950"/>
      <c r="E23" s="1950"/>
      <c r="F23" s="1950"/>
      <c r="G23" s="1866"/>
      <c r="Q23" s="1866"/>
      <c r="R23" s="1866"/>
      <c r="T23" s="1910"/>
      <c r="U23" s="50" t="s">
        <v>61</v>
      </c>
      <c r="V23" s="1920">
        <v>92000</v>
      </c>
      <c r="W23" s="1920"/>
      <c r="X23" s="1920"/>
      <c r="Y23" s="1927"/>
    </row>
    <row r="24" spans="1:25" ht="48" customHeight="1" x14ac:dyDescent="0.25">
      <c r="A24" s="1866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1893" t="s">
        <v>47</v>
      </c>
      <c r="U24" s="51" t="s">
        <v>62</v>
      </c>
      <c r="V24" s="1921">
        <f>V14+V16+V17-V18-V19-V20-V22+V23-V21</f>
        <v>45571.575000000012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15869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866"/>
      <c r="J33" s="1866"/>
      <c r="K33" s="1938"/>
      <c r="L33" s="193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E883C-F0A8-49E4-9FB0-321EC6F71869}">
  <sheetPr>
    <pageSetUpPr fitToPage="1"/>
  </sheetPr>
  <dimension ref="A1:Y33"/>
  <sheetViews>
    <sheetView tabSelected="1" topLeftCell="D8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98" t="s">
        <v>148</v>
      </c>
      <c r="B1" s="1898"/>
      <c r="C1" s="1898"/>
      <c r="D1" s="1898"/>
      <c r="E1" s="1898"/>
      <c r="F1" s="1898"/>
      <c r="G1" s="1898"/>
      <c r="H1" s="1898"/>
      <c r="I1" s="1898"/>
      <c r="J1" s="1898"/>
      <c r="K1" s="1898"/>
      <c r="L1" s="1898"/>
      <c r="M1" s="1898"/>
      <c r="N1" s="1898"/>
      <c r="O1" s="1898"/>
      <c r="P1" s="1898"/>
      <c r="Q1" s="1898"/>
      <c r="R1" s="1898"/>
      <c r="S1" s="1898"/>
      <c r="T1" s="1898"/>
      <c r="U1" s="1898"/>
      <c r="V1" s="1898"/>
      <c r="W1" s="1898"/>
      <c r="X1" s="1898"/>
      <c r="Y1" s="1898"/>
    </row>
    <row r="2" spans="1:25" ht="21.6" customHeight="1" x14ac:dyDescent="0.25">
      <c r="A2" s="1899" t="s">
        <v>383</v>
      </c>
      <c r="B2" s="1899"/>
      <c r="C2" s="1899"/>
      <c r="D2" s="1899"/>
      <c r="E2" s="1899"/>
      <c r="F2" s="1899"/>
      <c r="G2" s="1899"/>
      <c r="H2" s="1899"/>
      <c r="I2" s="1899"/>
      <c r="J2" s="1899"/>
      <c r="K2" s="1899"/>
      <c r="L2" s="1899"/>
      <c r="M2" s="1899"/>
      <c r="N2" s="1899"/>
      <c r="O2" s="1899"/>
      <c r="P2" s="1899"/>
      <c r="Q2" s="1899"/>
      <c r="R2" s="1899"/>
      <c r="S2" s="1899"/>
      <c r="T2" s="1899"/>
      <c r="U2" s="1899"/>
      <c r="V2" s="1899"/>
      <c r="W2" s="1899"/>
      <c r="X2" s="1899"/>
      <c r="Y2" s="1899"/>
    </row>
    <row r="3" spans="1:25" ht="21" customHeight="1" x14ac:dyDescent="0.25">
      <c r="A3" s="1867"/>
      <c r="B3" s="1867"/>
      <c r="C3" s="1867"/>
      <c r="D3" s="1867"/>
      <c r="E3" s="1867"/>
      <c r="F3" s="1867"/>
      <c r="G3" s="1867"/>
      <c r="H3" s="1867"/>
      <c r="I3" s="1867"/>
      <c r="J3" s="1867"/>
      <c r="K3" s="1867"/>
      <c r="L3" s="1867"/>
      <c r="M3" s="1867"/>
      <c r="N3" s="1867"/>
      <c r="O3" s="1867"/>
      <c r="P3" s="1867"/>
      <c r="Q3" s="1867"/>
      <c r="R3" s="1867"/>
      <c r="S3" s="1867"/>
      <c r="T3" s="1900" t="s">
        <v>550</v>
      </c>
      <c r="U3" s="1900"/>
      <c r="V3" s="1900"/>
      <c r="W3" s="1900"/>
      <c r="X3" s="1900"/>
      <c r="Y3" s="1900"/>
    </row>
    <row r="4" spans="1:25" s="1867" customFormat="1" ht="18" customHeight="1" x14ac:dyDescent="0.25">
      <c r="A4" s="1901" t="s">
        <v>25</v>
      </c>
      <c r="B4" s="1901" t="s">
        <v>26</v>
      </c>
      <c r="C4" s="1902" t="s">
        <v>27</v>
      </c>
      <c r="D4" s="1902"/>
      <c r="E4" s="1902" t="s">
        <v>544</v>
      </c>
      <c r="F4" s="1902"/>
      <c r="G4" s="1902" t="s">
        <v>65</v>
      </c>
      <c r="H4" s="1902"/>
      <c r="I4" s="1902" t="s">
        <v>29</v>
      </c>
      <c r="J4" s="1902"/>
      <c r="K4" s="1903" t="s">
        <v>14</v>
      </c>
      <c r="L4" s="1904"/>
      <c r="M4" s="1903" t="s">
        <v>429</v>
      </c>
      <c r="N4" s="1904"/>
      <c r="O4" s="1903" t="s">
        <v>441</v>
      </c>
      <c r="P4" s="1904"/>
      <c r="Q4" s="1903" t="s">
        <v>114</v>
      </c>
      <c r="R4" s="1904"/>
      <c r="S4" s="1902" t="s">
        <v>35</v>
      </c>
      <c r="T4" s="1902"/>
      <c r="U4" s="1903" t="s">
        <v>17</v>
      </c>
      <c r="V4" s="1904"/>
      <c r="W4" s="1905" t="s">
        <v>36</v>
      </c>
      <c r="X4" s="1906"/>
      <c r="Y4" s="1896" t="s">
        <v>30</v>
      </c>
    </row>
    <row r="5" spans="1:25" s="1867" customFormat="1" ht="25.5" customHeight="1" x14ac:dyDescent="0.25">
      <c r="A5" s="1901"/>
      <c r="B5" s="1901"/>
      <c r="C5" s="1869" t="s">
        <v>42</v>
      </c>
      <c r="D5" s="1869" t="s">
        <v>43</v>
      </c>
      <c r="E5" s="1869" t="s">
        <v>42</v>
      </c>
      <c r="F5" s="1869" t="s">
        <v>43</v>
      </c>
      <c r="G5" s="1869" t="s">
        <v>42</v>
      </c>
      <c r="H5" s="1869" t="s">
        <v>43</v>
      </c>
      <c r="I5" s="1869" t="s">
        <v>42</v>
      </c>
      <c r="J5" s="1869" t="s">
        <v>43</v>
      </c>
      <c r="K5" s="1869" t="s">
        <v>42</v>
      </c>
      <c r="L5" s="1869" t="s">
        <v>43</v>
      </c>
      <c r="M5" s="1869" t="s">
        <v>42</v>
      </c>
      <c r="N5" s="1869" t="s">
        <v>43</v>
      </c>
      <c r="O5" s="1869" t="s">
        <v>42</v>
      </c>
      <c r="P5" s="1869" t="s">
        <v>43</v>
      </c>
      <c r="Q5" s="1869" t="s">
        <v>42</v>
      </c>
      <c r="R5" s="18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97"/>
    </row>
    <row r="6" spans="1:25" ht="34.5" customHeight="1" x14ac:dyDescent="0.25">
      <c r="A6" s="12">
        <v>1409935200</v>
      </c>
      <c r="B6" s="1868" t="s">
        <v>71</v>
      </c>
      <c r="C6" s="1871">
        <v>31645</v>
      </c>
      <c r="D6" s="1872">
        <f t="shared" ref="D6:D11" si="0">0.9725*C6</f>
        <v>30774.762500000001</v>
      </c>
      <c r="E6" s="1871"/>
      <c r="F6" s="1872">
        <f>67.1*E6</f>
        <v>0</v>
      </c>
      <c r="G6" s="1871"/>
      <c r="H6" s="1871">
        <f>28.2*G6</f>
        <v>0</v>
      </c>
      <c r="I6" s="1871"/>
      <c r="J6" s="1871">
        <f>18.5*I6</f>
        <v>0</v>
      </c>
      <c r="K6" s="1871"/>
      <c r="L6" s="1872">
        <f>28.2368*K6</f>
        <v>0</v>
      </c>
      <c r="M6" s="1871"/>
      <c r="N6" s="1872">
        <f>M6*47.6525</f>
        <v>0</v>
      </c>
      <c r="O6" s="1871"/>
      <c r="P6" s="1872">
        <f>O6*8.9</f>
        <v>0</v>
      </c>
      <c r="Q6" s="1872"/>
      <c r="R6" s="1872">
        <f>241*Q6</f>
        <v>0</v>
      </c>
      <c r="S6" s="1871"/>
      <c r="T6" s="1871">
        <f>241*S6</f>
        <v>0</v>
      </c>
      <c r="U6" s="1871"/>
      <c r="V6" s="1871">
        <f>332*U6</f>
        <v>0</v>
      </c>
      <c r="W6" s="1871"/>
      <c r="X6" s="19">
        <f>W6*100</f>
        <v>0</v>
      </c>
      <c r="Y6" s="20">
        <f t="shared" ref="Y6:Y12" si="1">D6+F6+H6+J6+L6+N6+P6+R6+T6+V6+X6</f>
        <v>30774.762500000001</v>
      </c>
    </row>
    <row r="7" spans="1:25" ht="31.5" customHeight="1" x14ac:dyDescent="0.25">
      <c r="A7" s="12">
        <v>1984225578</v>
      </c>
      <c r="B7" s="1868" t="s">
        <v>509</v>
      </c>
      <c r="C7" s="1871">
        <v>22199</v>
      </c>
      <c r="D7" s="1872">
        <f t="shared" si="0"/>
        <v>21588.5275</v>
      </c>
      <c r="E7" s="1871"/>
      <c r="F7" s="1871">
        <f t="shared" ref="F7:F11" si="2">67.1*E7</f>
        <v>0</v>
      </c>
      <c r="G7" s="1871"/>
      <c r="H7" s="1871">
        <f t="shared" ref="H7:H11" si="3">28.2*G7</f>
        <v>0</v>
      </c>
      <c r="I7" s="1871"/>
      <c r="J7" s="1871">
        <f t="shared" ref="J7:J11" si="4">18.5*I7</f>
        <v>0</v>
      </c>
      <c r="K7" s="1871"/>
      <c r="L7" s="1872">
        <f t="shared" ref="L7:L11" si="5">28.2368*K7</f>
        <v>0</v>
      </c>
      <c r="M7" s="1871"/>
      <c r="N7" s="1872">
        <f t="shared" ref="N7:N11" si="6">M7*47.6525</f>
        <v>0</v>
      </c>
      <c r="O7" s="1871"/>
      <c r="P7" s="1872">
        <f t="shared" ref="P7:P11" si="7">O7*8.9</f>
        <v>0</v>
      </c>
      <c r="Q7" s="1872"/>
      <c r="R7" s="1872">
        <f t="shared" ref="R7:R11" si="8">241*Q7</f>
        <v>0</v>
      </c>
      <c r="S7" s="1871"/>
      <c r="T7" s="1871">
        <f t="shared" ref="T7:T10" si="9">241*S7</f>
        <v>0</v>
      </c>
      <c r="U7" s="1871">
        <v>25</v>
      </c>
      <c r="V7" s="1871">
        <f t="shared" ref="V7:V11" si="10">332*U7</f>
        <v>8300</v>
      </c>
      <c r="W7" s="1871"/>
      <c r="X7" s="19">
        <f t="shared" ref="X7:X11" si="11">W7*100</f>
        <v>0</v>
      </c>
      <c r="Y7" s="20">
        <f t="shared" si="1"/>
        <v>29888.5275</v>
      </c>
    </row>
    <row r="8" spans="1:25" ht="35.25" customHeight="1" x14ac:dyDescent="0.25">
      <c r="A8" s="12">
        <v>1967020280</v>
      </c>
      <c r="B8" s="1868" t="s">
        <v>427</v>
      </c>
      <c r="C8" s="1871">
        <v>24831</v>
      </c>
      <c r="D8" s="1872">
        <f t="shared" si="0"/>
        <v>24148.147499999999</v>
      </c>
      <c r="E8" s="1871"/>
      <c r="F8" s="1871">
        <f t="shared" si="2"/>
        <v>0</v>
      </c>
      <c r="G8" s="1871"/>
      <c r="H8" s="1872">
        <f t="shared" si="3"/>
        <v>0</v>
      </c>
      <c r="I8" s="1871"/>
      <c r="J8" s="1871">
        <f t="shared" si="4"/>
        <v>0</v>
      </c>
      <c r="K8" s="1871"/>
      <c r="L8" s="1872">
        <f t="shared" si="5"/>
        <v>0</v>
      </c>
      <c r="M8" s="1871"/>
      <c r="N8" s="1872">
        <f t="shared" si="6"/>
        <v>0</v>
      </c>
      <c r="O8" s="1871"/>
      <c r="P8" s="1872">
        <f t="shared" si="7"/>
        <v>0</v>
      </c>
      <c r="Q8" s="1872"/>
      <c r="R8" s="1872">
        <f t="shared" si="8"/>
        <v>0</v>
      </c>
      <c r="S8" s="1871"/>
      <c r="T8" s="1871">
        <f t="shared" si="9"/>
        <v>0</v>
      </c>
      <c r="U8" s="1871">
        <v>5</v>
      </c>
      <c r="V8" s="1871">
        <f t="shared" si="10"/>
        <v>1660</v>
      </c>
      <c r="W8" s="1871"/>
      <c r="X8" s="19">
        <f t="shared" si="11"/>
        <v>0</v>
      </c>
      <c r="Y8" s="20">
        <f t="shared" si="1"/>
        <v>25808.147499999999</v>
      </c>
    </row>
    <row r="9" spans="1:25" ht="38.25" customHeight="1" x14ac:dyDescent="0.25">
      <c r="A9" s="12">
        <v>1984225580</v>
      </c>
      <c r="B9" s="1868" t="s">
        <v>75</v>
      </c>
      <c r="C9" s="1871">
        <v>36442</v>
      </c>
      <c r="D9" s="1872">
        <f t="shared" si="0"/>
        <v>35439.845000000001</v>
      </c>
      <c r="E9" s="1871"/>
      <c r="F9" s="1871">
        <f t="shared" si="2"/>
        <v>0</v>
      </c>
      <c r="G9" s="1871"/>
      <c r="H9" s="1871">
        <f t="shared" si="3"/>
        <v>0</v>
      </c>
      <c r="I9" s="1871"/>
      <c r="J9" s="1871">
        <f t="shared" si="4"/>
        <v>0</v>
      </c>
      <c r="K9" s="1871"/>
      <c r="L9" s="1872">
        <f t="shared" si="5"/>
        <v>0</v>
      </c>
      <c r="M9" s="1871"/>
      <c r="N9" s="1872">
        <f t="shared" si="6"/>
        <v>0</v>
      </c>
      <c r="O9" s="1871"/>
      <c r="P9" s="1872">
        <f t="shared" si="7"/>
        <v>0</v>
      </c>
      <c r="Q9" s="1872"/>
      <c r="R9" s="1872">
        <f t="shared" si="8"/>
        <v>0</v>
      </c>
      <c r="S9" s="1871"/>
      <c r="T9" s="1871">
        <f t="shared" si="9"/>
        <v>0</v>
      </c>
      <c r="U9" s="1871"/>
      <c r="V9" s="1871">
        <f t="shared" si="10"/>
        <v>0</v>
      </c>
      <c r="W9" s="1871"/>
      <c r="X9" s="19">
        <f t="shared" si="11"/>
        <v>0</v>
      </c>
      <c r="Y9" s="20">
        <f t="shared" si="1"/>
        <v>35439.845000000001</v>
      </c>
    </row>
    <row r="10" spans="1:25" ht="35.25" customHeight="1" x14ac:dyDescent="0.25">
      <c r="A10" s="12">
        <v>1409935199</v>
      </c>
      <c r="C10" s="1871"/>
      <c r="D10" s="1872">
        <f t="shared" si="0"/>
        <v>0</v>
      </c>
      <c r="E10" s="1871"/>
      <c r="F10" s="1871">
        <f t="shared" si="2"/>
        <v>0</v>
      </c>
      <c r="G10" s="1871"/>
      <c r="H10" s="1871">
        <f t="shared" si="3"/>
        <v>0</v>
      </c>
      <c r="I10" s="1871"/>
      <c r="J10" s="1871">
        <f t="shared" si="4"/>
        <v>0</v>
      </c>
      <c r="K10" s="1871"/>
      <c r="L10" s="1872">
        <f t="shared" si="5"/>
        <v>0</v>
      </c>
      <c r="M10" s="1871"/>
      <c r="N10" s="1872">
        <f t="shared" si="6"/>
        <v>0</v>
      </c>
      <c r="O10" s="1871"/>
      <c r="P10" s="1872">
        <f t="shared" si="7"/>
        <v>0</v>
      </c>
      <c r="Q10" s="1872"/>
      <c r="R10" s="1872">
        <f t="shared" si="8"/>
        <v>0</v>
      </c>
      <c r="S10" s="1871"/>
      <c r="T10" s="1871">
        <f t="shared" si="9"/>
        <v>0</v>
      </c>
      <c r="U10" s="1871"/>
      <c r="V10" s="1871">
        <f t="shared" si="10"/>
        <v>0</v>
      </c>
      <c r="W10" s="187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70"/>
      <c r="C11" s="1871"/>
      <c r="D11" s="1872">
        <f t="shared" si="0"/>
        <v>0</v>
      </c>
      <c r="E11" s="1871"/>
      <c r="F11" s="1871">
        <f t="shared" si="2"/>
        <v>0</v>
      </c>
      <c r="G11" s="1871"/>
      <c r="H11" s="1871">
        <f t="shared" si="3"/>
        <v>0</v>
      </c>
      <c r="I11" s="1871"/>
      <c r="J11" s="1871">
        <f t="shared" si="4"/>
        <v>0</v>
      </c>
      <c r="K11" s="1871"/>
      <c r="L11" s="1872">
        <f t="shared" si="5"/>
        <v>0</v>
      </c>
      <c r="M11" s="1871"/>
      <c r="N11" s="1872">
        <f t="shared" si="6"/>
        <v>0</v>
      </c>
      <c r="O11" s="1871"/>
      <c r="P11" s="1872">
        <f t="shared" si="7"/>
        <v>0</v>
      </c>
      <c r="Q11" s="1872"/>
      <c r="R11" s="1872">
        <f t="shared" si="8"/>
        <v>0</v>
      </c>
      <c r="S11" s="1871"/>
      <c r="T11" s="1871">
        <f>341*S11</f>
        <v>0</v>
      </c>
      <c r="U11" s="1871"/>
      <c r="V11" s="1871">
        <f t="shared" si="10"/>
        <v>0</v>
      </c>
      <c r="W11" s="18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93" t="s">
        <v>31</v>
      </c>
      <c r="B12" s="1893"/>
      <c r="C12" s="18">
        <f t="shared" ref="C12:X12" si="12">SUM(C6:C11)</f>
        <v>115117</v>
      </c>
      <c r="D12" s="18">
        <f t="shared" si="12"/>
        <v>111951.2825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1"/>
        <v>121911.2825</v>
      </c>
    </row>
    <row r="14" spans="1:25" ht="43.5" customHeight="1" x14ac:dyDescent="0.25">
      <c r="A14" s="30" t="s">
        <v>32</v>
      </c>
      <c r="B14" s="1894" t="s">
        <v>27</v>
      </c>
      <c r="C14" s="1894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76" t="s">
        <v>174</v>
      </c>
      <c r="K14" s="30" t="s">
        <v>36</v>
      </c>
      <c r="L14" s="1876" t="s">
        <v>403</v>
      </c>
      <c r="M14" s="1876" t="s">
        <v>549</v>
      </c>
      <c r="N14" s="30" t="s">
        <v>442</v>
      </c>
      <c r="O14" s="1876" t="s">
        <v>114</v>
      </c>
      <c r="P14" s="30" t="s">
        <v>70</v>
      </c>
      <c r="Q14" s="1958" t="s">
        <v>479</v>
      </c>
      <c r="R14" s="1959"/>
      <c r="S14" s="1876" t="s">
        <v>401</v>
      </c>
      <c r="T14" s="1893" t="s">
        <v>46</v>
      </c>
      <c r="U14" s="1868" t="s">
        <v>176</v>
      </c>
      <c r="V14" s="1918">
        <v>45572</v>
      </c>
      <c r="W14" s="1926"/>
      <c r="X14" s="1919"/>
    </row>
    <row r="15" spans="1:25" ht="22.5" customHeight="1" x14ac:dyDescent="0.25">
      <c r="A15" s="100" t="s">
        <v>38</v>
      </c>
      <c r="B15" s="1918">
        <v>566239</v>
      </c>
      <c r="C15" s="1919"/>
      <c r="D15" s="1873">
        <v>500</v>
      </c>
      <c r="E15" s="1873">
        <v>0</v>
      </c>
      <c r="F15" s="1873">
        <v>2000</v>
      </c>
      <c r="G15" s="1873">
        <v>0</v>
      </c>
      <c r="H15" s="1873">
        <v>38</v>
      </c>
      <c r="I15" s="1873">
        <v>70</v>
      </c>
      <c r="J15" s="1873">
        <v>4</v>
      </c>
      <c r="K15" s="1873">
        <v>75</v>
      </c>
      <c r="L15" s="1873">
        <v>0</v>
      </c>
      <c r="M15" s="1873">
        <v>15</v>
      </c>
      <c r="N15" s="1873">
        <v>0</v>
      </c>
      <c r="O15" s="1873">
        <v>0</v>
      </c>
      <c r="P15" s="1873">
        <v>100</v>
      </c>
      <c r="Q15" s="1918">
        <v>10</v>
      </c>
      <c r="R15" s="1919"/>
      <c r="S15" s="1868">
        <v>2</v>
      </c>
      <c r="T15" s="1893"/>
      <c r="U15" s="1868" t="s">
        <v>64</v>
      </c>
      <c r="V15" s="1920">
        <v>15869</v>
      </c>
      <c r="W15" s="1920"/>
      <c r="X15" s="1920"/>
    </row>
    <row r="16" spans="1:25" ht="24.75" customHeight="1" x14ac:dyDescent="0.25">
      <c r="A16" s="100" t="s">
        <v>39</v>
      </c>
      <c r="B16" s="1918"/>
      <c r="C16" s="1919"/>
      <c r="D16" s="1873"/>
      <c r="E16" s="1873"/>
      <c r="F16" s="1873"/>
      <c r="G16" s="1873"/>
      <c r="H16" s="1873"/>
      <c r="I16" s="1873"/>
      <c r="J16" s="1873"/>
      <c r="K16" s="1873"/>
      <c r="L16" s="1873"/>
      <c r="M16" s="1873"/>
      <c r="N16" s="1873"/>
      <c r="O16" s="1873"/>
      <c r="P16" s="1873"/>
      <c r="Q16" s="1920"/>
      <c r="R16" s="1920"/>
      <c r="S16" s="1873"/>
      <c r="T16" s="1912" t="s">
        <v>55</v>
      </c>
      <c r="U16" s="1912"/>
      <c r="V16" s="1925">
        <f>Y12</f>
        <v>121911.2825</v>
      </c>
      <c r="W16" s="1925"/>
      <c r="X16" s="1920"/>
    </row>
    <row r="17" spans="1:25" ht="28.5" customHeight="1" x14ac:dyDescent="0.25">
      <c r="A17" s="101" t="s">
        <v>44</v>
      </c>
      <c r="B17" s="1918"/>
      <c r="C17" s="1919"/>
      <c r="D17" s="1873"/>
      <c r="E17" s="1873"/>
      <c r="F17" s="1873"/>
      <c r="G17" s="1873"/>
      <c r="H17" s="1873"/>
      <c r="I17" s="1873"/>
      <c r="J17" s="1873"/>
      <c r="K17" s="1873"/>
      <c r="L17" s="1873"/>
      <c r="M17" s="1873"/>
      <c r="N17" s="1873"/>
      <c r="O17" s="1873"/>
      <c r="P17" s="1873"/>
      <c r="Q17" s="1883"/>
      <c r="R17" s="1883"/>
      <c r="S17" s="1870"/>
      <c r="T17" s="1952" t="s">
        <v>521</v>
      </c>
      <c r="U17" s="1953"/>
      <c r="V17" s="1954"/>
      <c r="W17" s="1954"/>
      <c r="X17" s="1954"/>
    </row>
    <row r="18" spans="1:25" ht="27" customHeight="1" x14ac:dyDescent="0.25">
      <c r="A18" s="100" t="s">
        <v>40</v>
      </c>
      <c r="B18" s="1922">
        <f>C12</f>
        <v>115117</v>
      </c>
      <c r="C18" s="1919"/>
      <c r="D18" s="1874">
        <f>E12</f>
        <v>0</v>
      </c>
      <c r="E18" s="1874">
        <f>G12</f>
        <v>0</v>
      </c>
      <c r="F18" s="1874">
        <f>I12</f>
        <v>0</v>
      </c>
      <c r="G18" s="1874">
        <f>K12</f>
        <v>0</v>
      </c>
      <c r="H18" s="1873"/>
      <c r="I18" s="1874">
        <f>U12</f>
        <v>30</v>
      </c>
      <c r="J18" s="1873"/>
      <c r="K18" s="1874">
        <f>W12</f>
        <v>0</v>
      </c>
      <c r="L18" s="1873"/>
      <c r="M18" s="1874">
        <f>M12</f>
        <v>0</v>
      </c>
      <c r="N18" s="1874">
        <f>O12</f>
        <v>0</v>
      </c>
      <c r="O18" s="1875">
        <f>Q12</f>
        <v>0</v>
      </c>
      <c r="P18" s="1874"/>
      <c r="Q18" s="1920"/>
      <c r="R18" s="1920"/>
      <c r="S18" s="1868"/>
      <c r="T18" s="1912" t="s">
        <v>57</v>
      </c>
      <c r="U18" s="1912"/>
      <c r="V18" s="1920">
        <v>620</v>
      </c>
      <c r="W18" s="1920"/>
      <c r="X18" s="1920"/>
      <c r="Y18" s="1927"/>
    </row>
    <row r="19" spans="1:25" ht="25.5" customHeight="1" x14ac:dyDescent="0.25">
      <c r="A19" s="100" t="s">
        <v>41</v>
      </c>
      <c r="B19" s="1918">
        <f>B15+B16+B17-B18</f>
        <v>451122</v>
      </c>
      <c r="C19" s="1919"/>
      <c r="D19" s="1873">
        <f>D15+D16+D17-D18</f>
        <v>500</v>
      </c>
      <c r="E19" s="1873">
        <f t="shared" ref="E19:N19" si="13">E15+E16+E17-E18</f>
        <v>0</v>
      </c>
      <c r="F19" s="1873">
        <f t="shared" si="13"/>
        <v>2000</v>
      </c>
      <c r="G19" s="1873">
        <f t="shared" si="13"/>
        <v>0</v>
      </c>
      <c r="H19" s="1873">
        <f t="shared" si="13"/>
        <v>38</v>
      </c>
      <c r="I19" s="1873">
        <f t="shared" si="13"/>
        <v>40</v>
      </c>
      <c r="J19" s="1873">
        <f t="shared" si="13"/>
        <v>4</v>
      </c>
      <c r="K19" s="1873">
        <f t="shared" si="13"/>
        <v>75</v>
      </c>
      <c r="L19" s="1873">
        <f t="shared" si="13"/>
        <v>0</v>
      </c>
      <c r="M19" s="1873">
        <f t="shared" si="13"/>
        <v>15</v>
      </c>
      <c r="N19" s="1873">
        <f t="shared" si="13"/>
        <v>0</v>
      </c>
      <c r="O19" s="1873">
        <f>O15+O16+O17-O18</f>
        <v>0</v>
      </c>
      <c r="P19" s="1873">
        <f t="shared" ref="P19:Q19" si="14">P15+P16+P17-P18</f>
        <v>100</v>
      </c>
      <c r="Q19" s="1918">
        <f t="shared" si="14"/>
        <v>10</v>
      </c>
      <c r="R19" s="1919"/>
      <c r="S19" s="1868">
        <f>S15+S16-S17-S18</f>
        <v>2</v>
      </c>
      <c r="T19" s="1914" t="s">
        <v>48</v>
      </c>
      <c r="U19" s="49" t="s">
        <v>58</v>
      </c>
      <c r="V19" s="1920"/>
      <c r="W19" s="1920"/>
      <c r="X19" s="1920"/>
      <c r="Y19" s="1927"/>
    </row>
    <row r="20" spans="1:25" ht="23.25" customHeight="1" x14ac:dyDescent="0.25">
      <c r="A20" s="289" t="s">
        <v>187</v>
      </c>
      <c r="B20" s="1944">
        <f>B19*0.9625</f>
        <v>434204.92499999999</v>
      </c>
      <c r="C20" s="1945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12920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1944">
        <f>470*Q19</f>
        <v>4700</v>
      </c>
      <c r="R20" s="1945"/>
      <c r="S20" s="290">
        <f>341*S19</f>
        <v>682</v>
      </c>
      <c r="T20" s="1915"/>
      <c r="U20" s="49" t="s">
        <v>59</v>
      </c>
      <c r="V20" s="1920"/>
      <c r="W20" s="1920"/>
      <c r="X20" s="1920"/>
      <c r="Y20" s="1927"/>
    </row>
    <row r="21" spans="1:25" ht="32.25" customHeight="1" x14ac:dyDescent="0.25">
      <c r="A21" s="291" t="s">
        <v>186</v>
      </c>
      <c r="B21" s="1951">
        <f>SUM(B20:S20)</f>
        <v>528268.92500000005</v>
      </c>
      <c r="C21" s="1951"/>
      <c r="O21" s="1877"/>
      <c r="P21" s="1877"/>
      <c r="Q21" s="1877"/>
      <c r="R21" s="1877"/>
      <c r="T21" s="1952" t="s">
        <v>518</v>
      </c>
      <c r="U21" s="1953"/>
      <c r="V21" s="1955"/>
      <c r="W21" s="1956"/>
      <c r="X21" s="1957"/>
      <c r="Y21" s="1927"/>
    </row>
    <row r="22" spans="1:25" ht="35.25" customHeight="1" x14ac:dyDescent="0.25">
      <c r="A22" s="15"/>
      <c r="B22" s="1946" t="s">
        <v>49</v>
      </c>
      <c r="C22" s="1949">
        <v>200000</v>
      </c>
      <c r="D22" s="1949"/>
      <c r="E22" s="1949"/>
      <c r="F22" s="1949">
        <f>C22-D22+E22</f>
        <v>200000</v>
      </c>
      <c r="G22" s="1877"/>
      <c r="Q22" s="1877"/>
      <c r="R22" s="1877"/>
      <c r="T22" s="1909" t="s">
        <v>83</v>
      </c>
      <c r="U22" s="50" t="s">
        <v>60</v>
      </c>
      <c r="V22" s="1920"/>
      <c r="W22" s="1920"/>
      <c r="X22" s="1920"/>
      <c r="Y22" s="1927"/>
    </row>
    <row r="23" spans="1:25" ht="39.75" customHeight="1" x14ac:dyDescent="0.25">
      <c r="A23" s="1877"/>
      <c r="B23" s="1947"/>
      <c r="C23" s="1950"/>
      <c r="D23" s="1950"/>
      <c r="E23" s="1950"/>
      <c r="F23" s="1950"/>
      <c r="G23" s="1877"/>
      <c r="Q23" s="1877"/>
      <c r="R23" s="1877"/>
      <c r="T23" s="1910"/>
      <c r="U23" s="50" t="s">
        <v>61</v>
      </c>
      <c r="V23" s="1920"/>
      <c r="W23" s="1920"/>
      <c r="X23" s="1920"/>
      <c r="Y23" s="1927"/>
    </row>
    <row r="24" spans="1:25" ht="48" customHeight="1" x14ac:dyDescent="0.25">
      <c r="A24" s="1877"/>
      <c r="B24" s="1948"/>
      <c r="C24" s="290" t="s">
        <v>46</v>
      </c>
      <c r="D24" s="290" t="s">
        <v>50</v>
      </c>
      <c r="E24" s="290" t="s">
        <v>51</v>
      </c>
      <c r="F24" s="290" t="s">
        <v>52</v>
      </c>
      <c r="G24" s="1877"/>
      <c r="Q24" s="1877"/>
      <c r="R24" s="1877"/>
      <c r="T24" s="1893" t="s">
        <v>47</v>
      </c>
      <c r="U24" s="51" t="s">
        <v>62</v>
      </c>
      <c r="V24" s="1921">
        <f>V14+V16+V17-V18-V19-V20-V22+V23-V21</f>
        <v>166863.2825</v>
      </c>
      <c r="W24" s="1921"/>
      <c r="X24" s="1921"/>
      <c r="Y24" s="1927"/>
    </row>
    <row r="25" spans="1:25" ht="40.5" customHeight="1" x14ac:dyDescent="0.25">
      <c r="T25" s="1893"/>
      <c r="U25" s="51" t="s">
        <v>63</v>
      </c>
      <c r="V25" s="1920">
        <f>V15+V22-V23</f>
        <v>15869</v>
      </c>
      <c r="W25" s="1920"/>
      <c r="X25" s="192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38"/>
      <c r="J32" s="1938"/>
      <c r="K32" s="1938"/>
      <c r="L32" s="1938"/>
    </row>
    <row r="33" spans="9:12" x14ac:dyDescent="0.25">
      <c r="I33" s="1877"/>
      <c r="J33" s="1877"/>
      <c r="K33" s="1938"/>
      <c r="L33" s="193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6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297</vt:i4>
      </vt:variant>
    </vt:vector>
  </HeadingPairs>
  <TitlesOfParts>
    <vt:vector size="297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  <vt:lpstr>01.10.24  (224)</vt:lpstr>
      <vt:lpstr>02.10.24  (225)</vt:lpstr>
      <vt:lpstr>03.10.24  (226)</vt:lpstr>
      <vt:lpstr>05.10.24  (227)</vt:lpstr>
      <vt:lpstr>06.10.24  (228)</vt:lpstr>
      <vt:lpstr>07.10.24  (229)</vt:lpstr>
      <vt:lpstr>08.10.24  (230)</vt:lpstr>
      <vt:lpstr>09.10.24  (231)</vt:lpstr>
      <vt:lpstr>10.10.24  (232)</vt:lpstr>
      <vt:lpstr>12.10.24  (233)</vt:lpstr>
      <vt:lpstr>14.10.24  (234)</vt:lpstr>
      <vt:lpstr>15.10.24  (235)</vt:lpstr>
      <vt:lpstr>16.10.24  (236)</vt:lpstr>
      <vt:lpstr>17.10.24  (237)</vt:lpstr>
      <vt:lpstr>19.10.24  (238)</vt:lpstr>
      <vt:lpstr>20.10.24  (239)</vt:lpstr>
      <vt:lpstr>21.10.24  (240)</vt:lpstr>
      <vt:lpstr>22.10.24  (241)</vt:lpstr>
      <vt:lpstr>23.10.24  (242)</vt:lpstr>
      <vt:lpstr>24.10.24  (243)</vt:lpstr>
      <vt:lpstr>26.10.24  (244)</vt:lpstr>
      <vt:lpstr>27.10.24  (245)</vt:lpstr>
      <vt:lpstr>28.10.24  (246)</vt:lpstr>
      <vt:lpstr>29.10.24  (247)</vt:lpstr>
      <vt:lpstr>30.10.24  (248)</vt:lpstr>
      <vt:lpstr>31.10.24  (249)</vt:lpstr>
      <vt:lpstr>02.11.24  (250)</vt:lpstr>
      <vt:lpstr>03.11.24  (251)</vt:lpstr>
      <vt:lpstr>04.11.24  (252)</vt:lpstr>
      <vt:lpstr>05.11.24  (253)</vt:lpstr>
      <vt:lpstr>06.11.24  (254)</vt:lpstr>
      <vt:lpstr>07.11.24  (255)</vt:lpstr>
      <vt:lpstr>09.11.24  (256)</vt:lpstr>
      <vt:lpstr>10.11.24  (257)</vt:lpstr>
      <vt:lpstr>11.11.24  (258)</vt:lpstr>
      <vt:lpstr>12.11.24  (259)</vt:lpstr>
      <vt:lpstr>13.11.24  (260)</vt:lpstr>
      <vt:lpstr>14.11.24  (261)</vt:lpstr>
      <vt:lpstr>16.11.24  (262)</vt:lpstr>
      <vt:lpstr>17.11.24  (263)</vt:lpstr>
      <vt:lpstr>18.11.24  (264)</vt:lpstr>
      <vt:lpstr>19.11.24  (265)</vt:lpstr>
      <vt:lpstr>20.11.24  (266)</vt:lpstr>
      <vt:lpstr>21.11.24  (267)</vt:lpstr>
      <vt:lpstr>23.11.24  (268)</vt:lpstr>
      <vt:lpstr>24.11.24  (269)</vt:lpstr>
      <vt:lpstr>25.11.24  (270)</vt:lpstr>
      <vt:lpstr>26.11.24  (271)</vt:lpstr>
      <vt:lpstr>27.11.24  (272)</vt:lpstr>
      <vt:lpstr>28.11.24  (273)</vt:lpstr>
      <vt:lpstr>30.11.24  (274)</vt:lpstr>
      <vt:lpstr>01.12.24  (275)</vt:lpstr>
      <vt:lpstr>02.12.24  (276)</vt:lpstr>
      <vt:lpstr>03.12.24  (277)</vt:lpstr>
      <vt:lpstr>04.12.24  (278)</vt:lpstr>
      <vt:lpstr>05.12.24  (279)</vt:lpstr>
      <vt:lpstr>07.12.24  (280)</vt:lpstr>
      <vt:lpstr>08.12.24  (281)</vt:lpstr>
      <vt:lpstr>09.12.24  (282)</vt:lpstr>
      <vt:lpstr>10.12.24  (283)</vt:lpstr>
      <vt:lpstr>11.12.24  (284)</vt:lpstr>
      <vt:lpstr>12.12.24  (285)</vt:lpstr>
      <vt:lpstr>14.12.24  (286)</vt:lpstr>
      <vt:lpstr>15.12.24  (287)</vt:lpstr>
      <vt:lpstr>16.12.24  (288)</vt:lpstr>
      <vt:lpstr>17.12.24  (289)</vt:lpstr>
      <vt:lpstr>18.12.24  (290)</vt:lpstr>
      <vt:lpstr>19.12.24  (291)</vt:lpstr>
      <vt:lpstr>21.12.24  (292)</vt:lpstr>
      <vt:lpstr>22.12.24  (293)</vt:lpstr>
      <vt:lpstr>23.12.24  (294)</vt:lpstr>
      <vt:lpstr>24.12.24  (295)</vt:lpstr>
      <vt:lpstr>25.12.24  (296)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 Ahmad</cp:lastModifiedBy>
  <cp:lastPrinted>2024-12-25T13:36:29Z</cp:lastPrinted>
  <dcterms:created xsi:type="dcterms:W3CDTF">2023-07-12T08:43:23Z</dcterms:created>
  <dcterms:modified xsi:type="dcterms:W3CDTF">2024-12-25T13:43:17Z</dcterms:modified>
</cp:coreProperties>
</file>